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charts/chart5.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onnections.xml" ContentType="application/vnd.openxmlformats-officedocument.spreadsheetml.connection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O:\Statistikk og analyse\Livstatistikk\Faste statistikker\MA\2020\Q3-2020\Publisert\"/>
    </mc:Choice>
  </mc:AlternateContent>
  <xr:revisionPtr revIDLastSave="0" documentId="13_ncr:1_{2E4BD953-D1D2-45C7-B8A8-C55F78769551}" xr6:coauthVersionLast="45" xr6:coauthVersionMax="45" xr10:uidLastSave="{00000000-0000-0000-0000-000000000000}"/>
  <bookViews>
    <workbookView xWindow="28680" yWindow="-120" windowWidth="29040" windowHeight="15840" tabRatio="835" activeTab="1" xr2:uid="{00000000-000D-0000-FFFF-FFFF00000000}"/>
  </bookViews>
  <sheets>
    <sheet name="Forside" sheetId="6" r:id="rId1"/>
    <sheet name="Innhold" sheetId="7" r:id="rId2"/>
    <sheet name="Figurer" sheetId="8" r:id="rId3"/>
    <sheet name="Tabel 1.1" sheetId="9" r:id="rId4"/>
    <sheet name="Tabell 1.2" sheetId="10" r:id="rId5"/>
    <sheet name="Tabell 1.3" sheetId="58" r:id="rId6"/>
    <sheet name="Skjema total MA" sheetId="4" r:id="rId7"/>
    <sheet name="Danica Pensjonsforsikring" sheetId="18" r:id="rId8"/>
    <sheet name="DNB Bedriftspensjon" sheetId="27" r:id="rId9"/>
    <sheet name="DNB Livsforsikring" sheetId="13" r:id="rId10"/>
    <sheet name="Eika Forsikring AS" sheetId="19" r:id="rId11"/>
    <sheet name="Fremtind Livsforsikring" sheetId="16" r:id="rId12"/>
    <sheet name="Frende Livsforsikring" sheetId="20" r:id="rId13"/>
    <sheet name="Frende Skadeforsikring" sheetId="21" r:id="rId14"/>
    <sheet name="Gjensidige Forsikring" sheetId="22" r:id="rId15"/>
    <sheet name="Gjensidige Pensjon" sheetId="23" r:id="rId16"/>
    <sheet name="Handelsbanken Liv" sheetId="24" r:id="rId17"/>
    <sheet name="If Skadeforsikring NUF" sheetId="25" r:id="rId18"/>
    <sheet name="Insr" sheetId="41" r:id="rId19"/>
    <sheet name="KLP" sheetId="26" r:id="rId20"/>
    <sheet name="KLP Skadeforsikring AS" sheetId="51" r:id="rId21"/>
    <sheet name="Landkreditt Forsikring" sheetId="40" r:id="rId22"/>
    <sheet name="Nordea Liv " sheetId="29" r:id="rId23"/>
    <sheet name="Oslo Pensjonsforsikring" sheetId="34" r:id="rId24"/>
    <sheet name="Protector Forsikring" sheetId="72" r:id="rId25"/>
    <sheet name="SHB Liv" sheetId="35" r:id="rId26"/>
    <sheet name="Sparebank 1" sheetId="33" r:id="rId27"/>
    <sheet name="Storebrand Livsforsikring" sheetId="37" r:id="rId28"/>
    <sheet name="Telenor Forsikring" sheetId="38" r:id="rId29"/>
    <sheet name="Tryg Forsikring" sheetId="39" r:id="rId30"/>
    <sheet name="WaterCircle F" sheetId="74" r:id="rId31"/>
    <sheet name="Tabell 4" sheetId="65" r:id="rId32"/>
    <sheet name="Tabell 6" sheetId="62" r:id="rId33"/>
    <sheet name="Tabell 8 " sheetId="75" r:id="rId34"/>
    <sheet name="Noter og kommentarer" sheetId="3" r:id="rId35"/>
  </sheets>
  <externalReferences>
    <externalReference r:id="rId36"/>
    <externalReference r:id="rId37"/>
    <externalReference r:id="rId38"/>
  </externalReferences>
  <definedNames>
    <definedName name="Dag">#REF!</definedName>
    <definedName name="Dager">#REF!</definedName>
    <definedName name="dato">#REF!</definedName>
    <definedName name="Feilmelding">#REF!</definedName>
    <definedName name="FilNavn">[1]Oppslagstabeller!$N$5</definedName>
    <definedName name="Fjorårstall">#REF!</definedName>
    <definedName name="Koder2a">#REF!</definedName>
    <definedName name="kvartal">#REF!</definedName>
    <definedName name="Måned">#REF!</definedName>
    <definedName name="OppslagsKolonneDataVerdi">#REF!</definedName>
    <definedName name="OppslagsKolonneSelskapNavn">#REF!</definedName>
    <definedName name="Selskap">[1]Oppslagstabeller!$N$4</definedName>
    <definedName name="SelskapKolonneIndeks">[1]!Tabell3[#All]</definedName>
    <definedName name="SelskapListe">#REF!</definedName>
    <definedName name="Selskapsliste">[1]Oppslagstabeller!$A$1:$G$36</definedName>
    <definedName name="UtfylteTall">#REF!</definedName>
    <definedName name="_xlnm.Print_Area" localSheetId="11">'Fremtind Livsforsikring'!$A$1:$M$137</definedName>
    <definedName name="_xlnm.Print_Area" localSheetId="18">Insr!$A$1:$M$137</definedName>
    <definedName name="_xlnm.Print_Area" localSheetId="34">'Noter og kommentarer'!$A$1:$L$43</definedName>
    <definedName name="_xlnm.Print_Area" localSheetId="6">'Skjema total MA'!$A$1:$J$138</definedName>
    <definedName name="år">#REF!</definedName>
    <definedName name="ÅrFratrek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7" i="4" l="1"/>
  <c r="J9" i="9" l="1"/>
  <c r="N145" i="8" l="1"/>
  <c r="M145" i="8"/>
  <c r="N139" i="8"/>
  <c r="M139" i="8"/>
  <c r="N115" i="8"/>
  <c r="M115" i="8"/>
  <c r="N89" i="8"/>
  <c r="M89" i="8"/>
  <c r="N58" i="8"/>
  <c r="M58" i="8"/>
  <c r="N37" i="8"/>
  <c r="M37" i="8"/>
  <c r="L7" i="74" l="1"/>
  <c r="K8" i="74"/>
  <c r="M8" i="74" s="1"/>
  <c r="K7" i="74"/>
  <c r="M7" i="74" s="1"/>
  <c r="H33" i="18" l="1"/>
  <c r="H32" i="18"/>
  <c r="H31" i="18"/>
  <c r="H30" i="18"/>
  <c r="D32" i="13"/>
  <c r="D31" i="13"/>
  <c r="D30" i="13"/>
  <c r="D32" i="20"/>
  <c r="D30" i="20"/>
  <c r="D31" i="24"/>
  <c r="D33" i="41"/>
  <c r="D32" i="41"/>
  <c r="D31" i="41"/>
  <c r="D30" i="41"/>
  <c r="D32" i="29"/>
  <c r="D31" i="29"/>
  <c r="D30" i="29"/>
  <c r="D31" i="33"/>
  <c r="D30" i="33"/>
  <c r="D31" i="37"/>
  <c r="D30" i="37"/>
  <c r="D25" i="13"/>
  <c r="D24" i="13"/>
  <c r="D23" i="13"/>
  <c r="D25" i="20"/>
  <c r="D23" i="20"/>
  <c r="D24" i="24"/>
  <c r="D27" i="41"/>
  <c r="D26" i="41"/>
  <c r="D25" i="41"/>
  <c r="D24" i="41"/>
  <c r="D23" i="41"/>
  <c r="D24" i="29"/>
  <c r="D23" i="29"/>
  <c r="D24" i="33"/>
  <c r="D23" i="33"/>
  <c r="D24" i="37"/>
  <c r="D23" i="37"/>
  <c r="H25" i="13"/>
  <c r="H24" i="13"/>
  <c r="H23" i="13"/>
  <c r="H26" i="20"/>
  <c r="H25" i="20"/>
  <c r="H26" i="23"/>
  <c r="H24" i="23"/>
  <c r="H23" i="23"/>
  <c r="H27" i="41"/>
  <c r="H26" i="41"/>
  <c r="H25" i="41"/>
  <c r="H24" i="41"/>
  <c r="H23" i="41"/>
  <c r="H26" i="29"/>
  <c r="H25" i="29"/>
  <c r="H23" i="29"/>
  <c r="H26" i="35"/>
  <c r="H23" i="35"/>
  <c r="H26" i="33"/>
  <c r="H25" i="33"/>
  <c r="H24" i="33"/>
  <c r="H23" i="33"/>
  <c r="H26" i="37"/>
  <c r="H25" i="37"/>
  <c r="H24" i="37"/>
  <c r="H23" i="37"/>
  <c r="H32" i="13"/>
  <c r="H31" i="13"/>
  <c r="H30" i="13"/>
  <c r="H33" i="20"/>
  <c r="H32" i="20"/>
  <c r="H33" i="23"/>
  <c r="H32" i="23"/>
  <c r="H31" i="23"/>
  <c r="H30" i="23"/>
  <c r="H33" i="41"/>
  <c r="H32" i="41"/>
  <c r="H31" i="41"/>
  <c r="H30" i="41"/>
  <c r="H33" i="29"/>
  <c r="H32" i="29"/>
  <c r="H31" i="29"/>
  <c r="H30" i="29"/>
  <c r="H33" i="35"/>
  <c r="H31" i="35"/>
  <c r="H30" i="35"/>
  <c r="H33" i="33"/>
  <c r="H32" i="33"/>
  <c r="H31" i="33"/>
  <c r="H30" i="33"/>
  <c r="H33" i="37"/>
  <c r="H32" i="37"/>
  <c r="H31" i="37"/>
  <c r="H30" i="37"/>
  <c r="L33" i="41"/>
  <c r="L32" i="41"/>
  <c r="L31" i="41"/>
  <c r="L30" i="41"/>
  <c r="L27" i="41"/>
  <c r="L26" i="41"/>
  <c r="L25" i="41"/>
  <c r="L24" i="41"/>
  <c r="L23" i="41"/>
  <c r="L8" i="74"/>
  <c r="H26" i="18"/>
  <c r="H25" i="18"/>
  <c r="H24" i="18"/>
  <c r="H23" i="18"/>
  <c r="G31" i="9" l="1"/>
  <c r="G73" i="9" l="1"/>
  <c r="M79" i="8"/>
  <c r="B13" i="9"/>
  <c r="F85" i="62" l="1"/>
  <c r="E85" i="62"/>
  <c r="F79" i="62"/>
  <c r="E79" i="62"/>
  <c r="F54" i="62"/>
  <c r="E54" i="62"/>
  <c r="E60" i="62" s="1"/>
  <c r="F50" i="62"/>
  <c r="F60" i="62" s="1"/>
  <c r="F39" i="62"/>
  <c r="E39" i="62"/>
  <c r="F35" i="62"/>
  <c r="E35" i="62"/>
  <c r="F20" i="62"/>
  <c r="E20" i="62"/>
  <c r="F16" i="62"/>
  <c r="F27" i="62" s="1"/>
  <c r="F29" i="62" s="1"/>
  <c r="E16" i="62"/>
  <c r="E27" i="62" s="1"/>
  <c r="E29" i="62" s="1"/>
  <c r="F40" i="65"/>
  <c r="E40" i="65"/>
  <c r="F29" i="65"/>
  <c r="E29" i="65"/>
  <c r="F21" i="65"/>
  <c r="E21" i="65"/>
  <c r="F14" i="65"/>
  <c r="E14" i="65"/>
  <c r="F45" i="62" l="1"/>
  <c r="F62" i="62" s="1"/>
  <c r="E45" i="62"/>
  <c r="E62" i="62" s="1"/>
  <c r="E64" i="62" s="1"/>
  <c r="E91" i="62"/>
  <c r="F91" i="62"/>
  <c r="E34" i="65"/>
  <c r="E41" i="65" s="1"/>
  <c r="E43" i="65" s="1"/>
  <c r="E45" i="65" s="1"/>
  <c r="F34" i="65"/>
  <c r="F41" i="65" s="1"/>
  <c r="F43" i="65" s="1"/>
  <c r="F45" i="65" s="1"/>
  <c r="F64" i="62"/>
  <c r="U85" i="62"/>
  <c r="U79" i="62"/>
  <c r="T79" i="62"/>
  <c r="T91" i="62" s="1"/>
  <c r="U54" i="62"/>
  <c r="U50" i="62"/>
  <c r="U39" i="62"/>
  <c r="U35" i="62"/>
  <c r="U45" i="62" s="1"/>
  <c r="T29" i="62"/>
  <c r="T64" i="62" s="1"/>
  <c r="U20" i="62"/>
  <c r="U16" i="62"/>
  <c r="AG85" i="62"/>
  <c r="AG91" i="62" s="1"/>
  <c r="AF85" i="62"/>
  <c r="AF91" i="62" s="1"/>
  <c r="AG79" i="62"/>
  <c r="AG54" i="62"/>
  <c r="AF54" i="62"/>
  <c r="AF60" i="62" s="1"/>
  <c r="AF62" i="62" s="1"/>
  <c r="AG50" i="62"/>
  <c r="AG39" i="62"/>
  <c r="AG35" i="62"/>
  <c r="AF29" i="62"/>
  <c r="AG20" i="62"/>
  <c r="AG16" i="62"/>
  <c r="AG45" i="62" l="1"/>
  <c r="AG62" i="62" s="1"/>
  <c r="U27" i="62"/>
  <c r="U29" i="62" s="1"/>
  <c r="AG60" i="62"/>
  <c r="AG27" i="62"/>
  <c r="AG29" i="62" s="1"/>
  <c r="U60" i="62"/>
  <c r="U62" i="62" s="1"/>
  <c r="U91" i="62"/>
  <c r="AF64" i="62"/>
  <c r="U64" i="62" l="1"/>
  <c r="AG64" i="62"/>
  <c r="I85" i="62"/>
  <c r="H85" i="62"/>
  <c r="I79" i="62"/>
  <c r="H79" i="62"/>
  <c r="H69" i="62"/>
  <c r="I54" i="62"/>
  <c r="H54" i="62"/>
  <c r="H60" i="62" s="1"/>
  <c r="I50" i="62"/>
  <c r="I39" i="62"/>
  <c r="H39" i="62"/>
  <c r="I35" i="62"/>
  <c r="H35" i="62"/>
  <c r="H45" i="62" s="1"/>
  <c r="I20" i="62"/>
  <c r="H20" i="62"/>
  <c r="I16" i="62"/>
  <c r="H16" i="62"/>
  <c r="I40" i="65"/>
  <c r="H40" i="65"/>
  <c r="I29" i="65"/>
  <c r="H29" i="65"/>
  <c r="I21" i="65"/>
  <c r="H21" i="65"/>
  <c r="I14" i="65"/>
  <c r="H14" i="65"/>
  <c r="I91" i="62" l="1"/>
  <c r="I45" i="62"/>
  <c r="I27" i="62"/>
  <c r="I29" i="62" s="1"/>
  <c r="H91" i="62"/>
  <c r="H62" i="62"/>
  <c r="H27" i="62"/>
  <c r="H29" i="62" s="1"/>
  <c r="H34" i="65"/>
  <c r="H41" i="65" s="1"/>
  <c r="H43" i="65" s="1"/>
  <c r="H45" i="65" s="1"/>
  <c r="H64" i="62"/>
  <c r="I34" i="65"/>
  <c r="I41" i="65" s="1"/>
  <c r="I43" i="65" s="1"/>
  <c r="I45" i="65" s="1"/>
  <c r="I60" i="62"/>
  <c r="I62" i="62" s="1"/>
  <c r="I64" i="62" l="1"/>
  <c r="C85" i="62"/>
  <c r="B85" i="62"/>
  <c r="C79" i="62"/>
  <c r="B79" i="62"/>
  <c r="C59" i="62"/>
  <c r="C54" i="62" s="1"/>
  <c r="B59" i="62"/>
  <c r="B54" i="62" s="1"/>
  <c r="B60" i="62" s="1"/>
  <c r="C50" i="62"/>
  <c r="C39" i="62"/>
  <c r="B39" i="62"/>
  <c r="B45" i="62" s="1"/>
  <c r="C35" i="62"/>
  <c r="C28" i="62"/>
  <c r="B28" i="62"/>
  <c r="C20" i="62"/>
  <c r="B20" i="62"/>
  <c r="B27" i="62" s="1"/>
  <c r="C16" i="62"/>
  <c r="C40" i="65"/>
  <c r="B40" i="65"/>
  <c r="C23" i="65"/>
  <c r="C29" i="65" s="1"/>
  <c r="B23" i="65"/>
  <c r="B29" i="65" s="1"/>
  <c r="C19" i="65"/>
  <c r="C21" i="65" s="1"/>
  <c r="B19" i="65"/>
  <c r="B21" i="65" s="1"/>
  <c r="C11" i="65"/>
  <c r="B11" i="65"/>
  <c r="B14" i="65" s="1"/>
  <c r="B29" i="62" l="1"/>
  <c r="B91" i="62"/>
  <c r="C91" i="62"/>
  <c r="C45" i="62"/>
  <c r="B62" i="62"/>
  <c r="C27" i="62"/>
  <c r="C14" i="65"/>
  <c r="AS11" i="65"/>
  <c r="B64" i="62"/>
  <c r="C29" i="62"/>
  <c r="C60" i="62"/>
  <c r="C62" i="62" s="1"/>
  <c r="B34" i="65"/>
  <c r="B41" i="65" s="1"/>
  <c r="B43" i="65" s="1"/>
  <c r="B45" i="65" s="1"/>
  <c r="C34" i="65"/>
  <c r="C41" i="65" s="1"/>
  <c r="C43" i="65" s="1"/>
  <c r="C45" i="65" s="1"/>
  <c r="AD40" i="65"/>
  <c r="AC40" i="65"/>
  <c r="AD29" i="65"/>
  <c r="AC29" i="65"/>
  <c r="AD21" i="65"/>
  <c r="AC21" i="65"/>
  <c r="AD14" i="65"/>
  <c r="AC14" i="65"/>
  <c r="AD86" i="62"/>
  <c r="AC86" i="62"/>
  <c r="AD85" i="62"/>
  <c r="AD79" i="62"/>
  <c r="AC77" i="62"/>
  <c r="AC79" i="62" s="1"/>
  <c r="AD54" i="62"/>
  <c r="AD50" i="62"/>
  <c r="AD39" i="62"/>
  <c r="AC39" i="62"/>
  <c r="AD35" i="62"/>
  <c r="AC35" i="62"/>
  <c r="AD34" i="62"/>
  <c r="AC28" i="62"/>
  <c r="AD20" i="62"/>
  <c r="AC20" i="62"/>
  <c r="AD16" i="62"/>
  <c r="AC16" i="62"/>
  <c r="AD15" i="62"/>
  <c r="AA14" i="75"/>
  <c r="Z14" i="75"/>
  <c r="C64" i="62" l="1"/>
  <c r="AC45" i="62"/>
  <c r="AC62" i="62" s="1"/>
  <c r="AD91" i="62"/>
  <c r="AD27" i="62"/>
  <c r="AD29" i="62" s="1"/>
  <c r="AD60" i="62"/>
  <c r="AC27" i="62"/>
  <c r="AC29" i="62" s="1"/>
  <c r="AC64" i="62" s="1"/>
  <c r="AC34" i="65"/>
  <c r="AC41" i="65" s="1"/>
  <c r="AC43" i="65" s="1"/>
  <c r="AC45" i="65" s="1"/>
  <c r="AD34" i="65"/>
  <c r="AD41" i="65" s="1"/>
  <c r="AD43" i="65" s="1"/>
  <c r="AD45" i="65" s="1"/>
  <c r="AD45" i="62"/>
  <c r="AC91" i="62"/>
  <c r="AD62" i="62" l="1"/>
  <c r="AD64" i="62" s="1"/>
  <c r="O85" i="62"/>
  <c r="N85" i="62"/>
  <c r="O79" i="62"/>
  <c r="O91" i="62" s="1"/>
  <c r="N79" i="62"/>
  <c r="N91" i="62" s="1"/>
  <c r="O55" i="62"/>
  <c r="O54" i="62" s="1"/>
  <c r="N55" i="62"/>
  <c r="N54" i="62"/>
  <c r="N60" i="62" s="1"/>
  <c r="O50" i="62"/>
  <c r="O39" i="62"/>
  <c r="N39" i="62"/>
  <c r="O35" i="62"/>
  <c r="O45" i="62" s="1"/>
  <c r="N35" i="62"/>
  <c r="O20" i="62"/>
  <c r="N20" i="62"/>
  <c r="O16" i="62"/>
  <c r="O27" i="62" s="1"/>
  <c r="O29" i="62" s="1"/>
  <c r="N16" i="62"/>
  <c r="O40" i="65"/>
  <c r="N40" i="65"/>
  <c r="O29" i="65"/>
  <c r="N29" i="65"/>
  <c r="O21" i="65"/>
  <c r="N21" i="65"/>
  <c r="O14" i="65"/>
  <c r="N14" i="65"/>
  <c r="N34" i="65" s="1"/>
  <c r="N41" i="65" s="1"/>
  <c r="N43" i="65" s="1"/>
  <c r="N45" i="65" s="1"/>
  <c r="N27" i="62" l="1"/>
  <c r="N29" i="62" s="1"/>
  <c r="N45" i="62"/>
  <c r="N62" i="62" s="1"/>
  <c r="O34" i="65"/>
  <c r="O41" i="65" s="1"/>
  <c r="O43" i="65" s="1"/>
  <c r="O45" i="65" s="1"/>
  <c r="O60" i="62"/>
  <c r="O62" i="62" s="1"/>
  <c r="O64" i="62" s="1"/>
  <c r="N64" i="62" l="1"/>
  <c r="AM85" i="62"/>
  <c r="AL85" i="62"/>
  <c r="AM79" i="62"/>
  <c r="AL79" i="62"/>
  <c r="AL91" i="62" s="1"/>
  <c r="AM54" i="62"/>
  <c r="AL54" i="62"/>
  <c r="AM53" i="62"/>
  <c r="AM50" i="62" s="1"/>
  <c r="AL50" i="62"/>
  <c r="AM39" i="62"/>
  <c r="AL39" i="62"/>
  <c r="AM38" i="62"/>
  <c r="AM35" i="62" s="1"/>
  <c r="AM45" i="62" s="1"/>
  <c r="AL38" i="62"/>
  <c r="AL35" i="62"/>
  <c r="AM28" i="62"/>
  <c r="AL28" i="62"/>
  <c r="AM20" i="62"/>
  <c r="AL20" i="62"/>
  <c r="AM19" i="62"/>
  <c r="AM16" i="62" s="1"/>
  <c r="AM27" i="62" s="1"/>
  <c r="AL19" i="62"/>
  <c r="AL16" i="62" s="1"/>
  <c r="AM40" i="65"/>
  <c r="AL40" i="65"/>
  <c r="AM29" i="65"/>
  <c r="AL29" i="65"/>
  <c r="AM19" i="65"/>
  <c r="AM21" i="65" s="1"/>
  <c r="AL19" i="65"/>
  <c r="AL21" i="65" s="1"/>
  <c r="AM14" i="65"/>
  <c r="AL14" i="65"/>
  <c r="AM29" i="62" l="1"/>
  <c r="AM60" i="62"/>
  <c r="AM62" i="62" s="1"/>
  <c r="AM34" i="65"/>
  <c r="AM41" i="65" s="1"/>
  <c r="AM43" i="65" s="1"/>
  <c r="AM45" i="65" s="1"/>
  <c r="AL45" i="62"/>
  <c r="AL60" i="62"/>
  <c r="AL62" i="62" s="1"/>
  <c r="AM91" i="62"/>
  <c r="AL34" i="65"/>
  <c r="AL41" i="65" s="1"/>
  <c r="AL43" i="65" s="1"/>
  <c r="AL45" i="65" s="1"/>
  <c r="AL27" i="62"/>
  <c r="AL29" i="62" s="1"/>
  <c r="AD14" i="75"/>
  <c r="AC14" i="75"/>
  <c r="AJ85" i="62"/>
  <c r="AI85" i="62"/>
  <c r="AJ79" i="62"/>
  <c r="AI79" i="62"/>
  <c r="AI91" i="62" s="1"/>
  <c r="AJ54" i="62"/>
  <c r="AI54" i="62"/>
  <c r="AI60" i="62" s="1"/>
  <c r="AJ50" i="62"/>
  <c r="AJ39" i="62"/>
  <c r="AI39" i="62"/>
  <c r="AJ35" i="62"/>
  <c r="AI35" i="62"/>
  <c r="AJ20" i="62"/>
  <c r="AI20" i="62"/>
  <c r="AJ16" i="62"/>
  <c r="AI16" i="62"/>
  <c r="AJ40" i="65"/>
  <c r="AI40" i="65"/>
  <c r="AJ29" i="65"/>
  <c r="AI29" i="65"/>
  <c r="AJ21" i="65"/>
  <c r="AI21" i="65"/>
  <c r="AJ14" i="65"/>
  <c r="AI14" i="65"/>
  <c r="AM64" i="62" l="1"/>
  <c r="AJ45" i="62"/>
  <c r="AJ91" i="62"/>
  <c r="AI27" i="62"/>
  <c r="AI29" i="62" s="1"/>
  <c r="AJ60" i="62"/>
  <c r="AJ62" i="62" s="1"/>
  <c r="AJ34" i="65"/>
  <c r="AJ41" i="65" s="1"/>
  <c r="AJ43" i="65" s="1"/>
  <c r="AJ45" i="65" s="1"/>
  <c r="AL64" i="62"/>
  <c r="AJ27" i="62"/>
  <c r="AJ29" i="62" s="1"/>
  <c r="AI45" i="62"/>
  <c r="AI62" i="62" s="1"/>
  <c r="AI64" i="62" s="1"/>
  <c r="AI34" i="65"/>
  <c r="AI41" i="65" s="1"/>
  <c r="AI43" i="65" s="1"/>
  <c r="AI45" i="65" s="1"/>
  <c r="AJ64" i="62" l="1"/>
  <c r="AA85" i="62"/>
  <c r="Z85" i="62"/>
  <c r="AA79" i="62"/>
  <c r="AA91" i="62" s="1"/>
  <c r="Z79" i="62"/>
  <c r="Z91" i="62" s="1"/>
  <c r="AA54" i="62"/>
  <c r="Z54" i="62"/>
  <c r="Z60" i="62" s="1"/>
  <c r="AA50" i="62"/>
  <c r="AA60" i="62" s="1"/>
  <c r="AA39" i="62"/>
  <c r="Z39" i="62"/>
  <c r="AA35" i="62"/>
  <c r="Z35" i="62"/>
  <c r="Z45" i="62" s="1"/>
  <c r="AA20" i="62"/>
  <c r="Z20" i="62"/>
  <c r="Z27" i="62" s="1"/>
  <c r="Z29" i="62" s="1"/>
  <c r="AA16" i="62"/>
  <c r="AA27" i="62" s="1"/>
  <c r="AA29" i="62" s="1"/>
  <c r="AA40" i="65"/>
  <c r="Z40" i="65"/>
  <c r="AA29" i="65"/>
  <c r="Z29" i="65"/>
  <c r="AA21" i="65"/>
  <c r="Z21" i="65"/>
  <c r="AA14" i="65"/>
  <c r="Z14" i="65"/>
  <c r="AA45" i="62" l="1"/>
  <c r="Z34" i="65"/>
  <c r="Z41" i="65" s="1"/>
  <c r="Z43" i="65" s="1"/>
  <c r="Z45" i="65" s="1"/>
  <c r="AA62" i="62"/>
  <c r="AA64" i="62" s="1"/>
  <c r="AA34" i="65"/>
  <c r="AA41" i="65" s="1"/>
  <c r="AA43" i="65" s="1"/>
  <c r="AA45" i="65" s="1"/>
  <c r="Z62" i="62"/>
  <c r="Z64" i="62" s="1"/>
  <c r="U40" i="65"/>
  <c r="T40" i="65"/>
  <c r="U29" i="65"/>
  <c r="T29" i="65"/>
  <c r="U21" i="65"/>
  <c r="T21" i="65"/>
  <c r="U14" i="65"/>
  <c r="T14" i="65"/>
  <c r="AG40" i="65"/>
  <c r="AF40" i="65"/>
  <c r="AG29" i="65"/>
  <c r="AF29" i="65"/>
  <c r="AG21" i="65"/>
  <c r="AF21" i="65"/>
  <c r="AG14" i="65"/>
  <c r="AF14" i="65"/>
  <c r="U34" i="65" l="1"/>
  <c r="U41" i="65" s="1"/>
  <c r="U43" i="65" s="1"/>
  <c r="U45" i="65" s="1"/>
  <c r="T34" i="65"/>
  <c r="T41" i="65" s="1"/>
  <c r="T43" i="65" s="1"/>
  <c r="T45" i="65" s="1"/>
  <c r="AF34" i="65"/>
  <c r="AF41" i="65" s="1"/>
  <c r="AF43" i="65" s="1"/>
  <c r="AF45" i="65" s="1"/>
  <c r="AG34" i="65"/>
  <c r="AG41" i="65" s="1"/>
  <c r="AG43" i="65" s="1"/>
  <c r="AG45" i="65" s="1"/>
  <c r="L85" i="62"/>
  <c r="L79" i="62"/>
  <c r="L54" i="62"/>
  <c r="L50" i="62"/>
  <c r="L60" i="62" s="1"/>
  <c r="L39" i="62"/>
  <c r="L35" i="62"/>
  <c r="L20" i="62"/>
  <c r="L16" i="62"/>
  <c r="L40" i="65"/>
  <c r="L29" i="65"/>
  <c r="L21" i="65"/>
  <c r="L14" i="65"/>
  <c r="L34" i="65" s="1"/>
  <c r="L41" i="65" s="1"/>
  <c r="L43" i="65" s="1"/>
  <c r="L45" i="65" s="1"/>
  <c r="L27" i="62" l="1"/>
  <c r="L91" i="62"/>
  <c r="L45" i="62"/>
  <c r="L62" i="62" s="1"/>
  <c r="L64" i="62" s="1"/>
  <c r="R85" i="62"/>
  <c r="Q85" i="62"/>
  <c r="R79" i="62"/>
  <c r="R91" i="62" s="1"/>
  <c r="Q79" i="62"/>
  <c r="R59" i="62"/>
  <c r="R54" i="62" s="1"/>
  <c r="Q54" i="62"/>
  <c r="Q60" i="62" s="1"/>
  <c r="R50" i="62"/>
  <c r="R44" i="62"/>
  <c r="Q44" i="62"/>
  <c r="R39" i="62"/>
  <c r="Q39" i="62"/>
  <c r="R35" i="62"/>
  <c r="R45" i="62" s="1"/>
  <c r="Q35" i="62"/>
  <c r="R28" i="62"/>
  <c r="Q28" i="62"/>
  <c r="R20" i="62"/>
  <c r="R27" i="62" s="1"/>
  <c r="Q20" i="62"/>
  <c r="Q16" i="62"/>
  <c r="R40" i="65"/>
  <c r="Q40" i="65"/>
  <c r="Q29" i="65"/>
  <c r="R23" i="65"/>
  <c r="R29" i="65" s="1"/>
  <c r="Q21" i="65"/>
  <c r="R19" i="65"/>
  <c r="R21" i="65" s="1"/>
  <c r="R14" i="65"/>
  <c r="Q14" i="65"/>
  <c r="Q91" i="62" l="1"/>
  <c r="Q45" i="62"/>
  <c r="Q62" i="62" s="1"/>
  <c r="R60" i="62"/>
  <c r="Q34" i="65"/>
  <c r="Q41" i="65" s="1"/>
  <c r="Q43" i="65" s="1"/>
  <c r="Q45" i="65" s="1"/>
  <c r="Q27" i="62"/>
  <c r="Q29" i="62" s="1"/>
  <c r="R29" i="62"/>
  <c r="R62" i="62"/>
  <c r="R34" i="65"/>
  <c r="R41" i="65" s="1"/>
  <c r="R43" i="65" s="1"/>
  <c r="R45" i="65" s="1"/>
  <c r="R64" i="62" l="1"/>
  <c r="AS64" i="62" s="1"/>
  <c r="Q64" i="62"/>
  <c r="B54" i="9" l="1"/>
  <c r="AJ18" i="75" l="1"/>
  <c r="AI18" i="75"/>
  <c r="J18" i="75"/>
  <c r="AJ16" i="75"/>
  <c r="AI16" i="75"/>
  <c r="J16" i="75"/>
  <c r="D16" i="75"/>
  <c r="AK14" i="75"/>
  <c r="AH14" i="75"/>
  <c r="AE14" i="75"/>
  <c r="AB14" i="75"/>
  <c r="Y14" i="75"/>
  <c r="G14" i="75"/>
  <c r="V14" i="75"/>
  <c r="S14" i="75"/>
  <c r="P14" i="75"/>
  <c r="M14" i="75"/>
  <c r="J14" i="75"/>
  <c r="AK12" i="75"/>
  <c r="J12" i="75"/>
  <c r="D12" i="75"/>
  <c r="AK11" i="75"/>
  <c r="J11" i="75"/>
  <c r="D11" i="75"/>
  <c r="AK16" i="75" l="1"/>
  <c r="AK18" i="75"/>
  <c r="D13" i="9"/>
  <c r="AS89" i="62"/>
  <c r="AS88" i="62"/>
  <c r="AS87" i="62"/>
  <c r="AS84" i="62"/>
  <c r="AS83" i="62"/>
  <c r="AS82" i="62"/>
  <c r="AS81" i="62"/>
  <c r="AS78" i="62"/>
  <c r="AS76" i="62"/>
  <c r="AS75" i="62"/>
  <c r="AS74" i="62"/>
  <c r="AS73" i="62"/>
  <c r="AS71" i="62"/>
  <c r="AS70" i="62"/>
  <c r="AS68" i="62"/>
  <c r="AS61" i="62"/>
  <c r="AS58" i="62"/>
  <c r="AS57" i="62"/>
  <c r="AS56" i="62"/>
  <c r="AS53" i="62"/>
  <c r="AS52" i="62"/>
  <c r="AS51" i="62"/>
  <c r="AS49" i="62"/>
  <c r="AS48" i="62"/>
  <c r="AS46" i="62"/>
  <c r="AS43" i="62"/>
  <c r="AS42" i="62"/>
  <c r="AS41" i="62"/>
  <c r="AS40" i="62"/>
  <c r="AS37" i="62"/>
  <c r="AS36" i="62"/>
  <c r="AS34" i="62"/>
  <c r="AS33" i="62"/>
  <c r="AS26" i="62"/>
  <c r="AS25" i="62"/>
  <c r="AS24" i="62"/>
  <c r="AS23" i="62"/>
  <c r="AS22" i="62"/>
  <c r="AS21" i="62"/>
  <c r="AS18" i="62"/>
  <c r="AS17" i="62"/>
  <c r="AS15" i="62"/>
  <c r="AS14" i="62"/>
  <c r="AR89" i="62"/>
  <c r="AR88" i="62"/>
  <c r="AR87" i="62"/>
  <c r="AR86" i="62"/>
  <c r="AR84" i="62"/>
  <c r="AR83" i="62"/>
  <c r="AR82" i="62"/>
  <c r="AR81" i="62"/>
  <c r="AR78" i="62"/>
  <c r="AR77" i="62"/>
  <c r="AR76" i="62"/>
  <c r="AR75" i="62"/>
  <c r="AR74" i="62"/>
  <c r="AR73" i="62"/>
  <c r="AR71" i="62"/>
  <c r="AR70" i="62"/>
  <c r="AR69" i="62"/>
  <c r="AR68" i="62"/>
  <c r="AR61" i="62"/>
  <c r="AR58" i="62"/>
  <c r="AR57" i="62"/>
  <c r="AR56" i="62"/>
  <c r="AR53" i="62"/>
  <c r="AR52" i="62"/>
  <c r="AR51" i="62"/>
  <c r="AR49" i="62"/>
  <c r="AR48" i="62"/>
  <c r="AR46" i="62"/>
  <c r="AR44" i="62"/>
  <c r="AR43" i="62"/>
  <c r="AR42" i="62"/>
  <c r="AR41" i="62"/>
  <c r="AR40" i="62"/>
  <c r="AR37" i="62"/>
  <c r="AR36" i="62"/>
  <c r="AR33" i="62"/>
  <c r="AR26" i="62"/>
  <c r="AR25" i="62"/>
  <c r="AR24" i="62"/>
  <c r="AR23" i="62"/>
  <c r="AR22" i="62"/>
  <c r="AR21" i="62"/>
  <c r="AR18" i="62"/>
  <c r="AR17" i="62"/>
  <c r="AR15" i="62"/>
  <c r="AR14" i="62"/>
  <c r="AP89" i="62"/>
  <c r="AP88" i="62"/>
  <c r="AP87" i="62"/>
  <c r="AP84" i="62"/>
  <c r="AP83" i="62"/>
  <c r="AP82" i="62"/>
  <c r="AP81" i="62"/>
  <c r="AP78" i="62"/>
  <c r="AP76" i="62"/>
  <c r="AP75" i="62"/>
  <c r="AP74" i="62"/>
  <c r="AP73" i="62"/>
  <c r="AP71" i="62"/>
  <c r="AP70" i="62"/>
  <c r="AP68" i="62"/>
  <c r="AP61" i="62"/>
  <c r="AP58" i="62"/>
  <c r="AP57" i="62"/>
  <c r="AP56" i="62"/>
  <c r="AP53" i="62"/>
  <c r="AP52" i="62"/>
  <c r="AP51" i="62"/>
  <c r="AP49" i="62"/>
  <c r="AP48" i="62"/>
  <c r="AP46" i="62"/>
  <c r="AP43" i="62"/>
  <c r="AP42" i="62"/>
  <c r="AP41" i="62"/>
  <c r="AP40" i="62"/>
  <c r="AP37" i="62"/>
  <c r="AP36" i="62"/>
  <c r="AP34" i="62"/>
  <c r="AP33" i="62"/>
  <c r="AP26" i="62"/>
  <c r="AP25" i="62"/>
  <c r="AP24" i="62"/>
  <c r="AP23" i="62"/>
  <c r="AP22" i="62"/>
  <c r="AP21" i="62"/>
  <c r="AP18" i="62"/>
  <c r="AP17" i="62"/>
  <c r="AP15" i="62"/>
  <c r="AP14" i="62"/>
  <c r="AO89" i="62"/>
  <c r="AO88" i="62"/>
  <c r="AO87" i="62"/>
  <c r="AO86" i="62"/>
  <c r="AO84" i="62"/>
  <c r="AO83" i="62"/>
  <c r="AO82" i="62"/>
  <c r="AO81" i="62"/>
  <c r="AO78" i="62"/>
  <c r="AO77" i="62"/>
  <c r="AO76" i="62"/>
  <c r="AO75" i="62"/>
  <c r="AO74" i="62"/>
  <c r="AO73" i="62"/>
  <c r="AO71" i="62"/>
  <c r="AO70" i="62"/>
  <c r="AO69" i="62"/>
  <c r="AO68" i="62"/>
  <c r="AO61" i="62"/>
  <c r="AO58" i="62"/>
  <c r="AO57" i="62"/>
  <c r="AO56" i="62"/>
  <c r="AO53" i="62"/>
  <c r="AO52" i="62"/>
  <c r="AO51" i="62"/>
  <c r="AO49" i="62"/>
  <c r="AO48" i="62"/>
  <c r="AO46" i="62"/>
  <c r="AO44" i="62"/>
  <c r="AO43" i="62"/>
  <c r="AO42" i="62"/>
  <c r="AO41" i="62"/>
  <c r="AO40" i="62"/>
  <c r="AO37" i="62"/>
  <c r="AO36" i="62"/>
  <c r="AO33" i="62"/>
  <c r="AO26" i="62"/>
  <c r="AO25" i="62"/>
  <c r="AO24" i="62"/>
  <c r="AO23" i="62"/>
  <c r="AO22" i="62"/>
  <c r="AO21" i="62"/>
  <c r="AO18" i="62"/>
  <c r="AO17" i="62"/>
  <c r="AO15" i="62"/>
  <c r="AO14" i="62"/>
  <c r="M89" i="62"/>
  <c r="M86" i="62"/>
  <c r="M81" i="62"/>
  <c r="M79" i="62"/>
  <c r="M77" i="62"/>
  <c r="M74" i="62"/>
  <c r="M73" i="62"/>
  <c r="M69" i="62"/>
  <c r="M68" i="62"/>
  <c r="M59" i="62"/>
  <c r="M56" i="62"/>
  <c r="M55" i="62"/>
  <c r="M46" i="62"/>
  <c r="M44" i="62"/>
  <c r="M41" i="62"/>
  <c r="M40" i="62"/>
  <c r="M39" i="62"/>
  <c r="M28" i="62"/>
  <c r="M25" i="62"/>
  <c r="M22" i="62"/>
  <c r="M21" i="62"/>
  <c r="M20" i="62"/>
  <c r="AS20" i="65"/>
  <c r="AS17" i="65"/>
  <c r="AS16" i="65"/>
  <c r="AS15" i="65"/>
  <c r="AS13" i="65"/>
  <c r="AS12" i="65"/>
  <c r="AR20" i="65"/>
  <c r="AR17" i="65"/>
  <c r="AR16" i="65"/>
  <c r="AR15" i="65"/>
  <c r="AR13" i="65"/>
  <c r="AR12" i="65"/>
  <c r="AP44" i="65"/>
  <c r="AP42" i="65"/>
  <c r="AP39" i="65"/>
  <c r="AP38" i="65"/>
  <c r="AP37" i="65"/>
  <c r="AP33" i="65"/>
  <c r="AP32" i="65"/>
  <c r="AP31" i="65"/>
  <c r="AP30" i="65"/>
  <c r="AP28" i="65"/>
  <c r="AP27" i="65"/>
  <c r="AP26" i="65"/>
  <c r="AP25" i="65"/>
  <c r="AP24" i="65"/>
  <c r="AP20" i="65"/>
  <c r="AP17" i="65"/>
  <c r="AP16" i="65"/>
  <c r="AP15" i="65"/>
  <c r="AP13" i="65"/>
  <c r="AP12" i="65"/>
  <c r="AO44" i="65"/>
  <c r="AO42" i="65"/>
  <c r="AO39" i="65"/>
  <c r="AO38" i="65"/>
  <c r="AO37" i="65"/>
  <c r="AO33" i="65"/>
  <c r="AO32" i="65"/>
  <c r="AO31" i="65"/>
  <c r="AO30" i="65"/>
  <c r="AO28" i="65"/>
  <c r="AO27" i="65"/>
  <c r="AO26" i="65"/>
  <c r="AO25" i="65"/>
  <c r="AO24" i="65"/>
  <c r="AO20" i="65"/>
  <c r="AO17" i="65"/>
  <c r="AO16" i="65"/>
  <c r="AO15" i="65"/>
  <c r="AO13" i="65"/>
  <c r="AO12" i="65"/>
  <c r="M42" i="65"/>
  <c r="M40" i="65"/>
  <c r="M39" i="65"/>
  <c r="M38" i="65"/>
  <c r="M37" i="65"/>
  <c r="M32" i="65"/>
  <c r="M29" i="65"/>
  <c r="M27" i="65"/>
  <c r="M24" i="65"/>
  <c r="M23" i="65"/>
  <c r="M21" i="65"/>
  <c r="M20" i="65"/>
  <c r="M19" i="65"/>
  <c r="M17" i="65"/>
  <c r="M16" i="65"/>
  <c r="M15" i="65"/>
  <c r="M13" i="65"/>
  <c r="M12" i="65"/>
  <c r="M11" i="65"/>
  <c r="H31" i="9"/>
  <c r="H73" i="9" l="1"/>
  <c r="N79" i="8"/>
  <c r="C31" i="9"/>
  <c r="D8" i="74"/>
  <c r="M13" i="8"/>
  <c r="D54" i="9"/>
  <c r="M45" i="62"/>
  <c r="M60" i="62"/>
  <c r="M91" i="62"/>
  <c r="M27" i="62"/>
  <c r="M54" i="62"/>
  <c r="M85" i="62"/>
  <c r="M14" i="65"/>
  <c r="D48" i="74"/>
  <c r="D7" i="74"/>
  <c r="C73" i="9" l="1"/>
  <c r="N31" i="8"/>
  <c r="D47" i="74"/>
  <c r="B31" i="9"/>
  <c r="M31" i="8" s="1"/>
  <c r="M29" i="62"/>
  <c r="M62" i="62"/>
  <c r="M34" i="65"/>
  <c r="B73" i="9" l="1"/>
  <c r="D73" i="9" s="1"/>
  <c r="D31" i="9"/>
  <c r="AP11" i="65"/>
  <c r="AS59" i="62"/>
  <c r="AP59" i="62"/>
  <c r="AR11" i="65"/>
  <c r="AO11" i="65"/>
  <c r="AO59" i="62"/>
  <c r="AR59" i="62"/>
  <c r="AO23" i="65"/>
  <c r="AP23" i="65"/>
  <c r="M64" i="62"/>
  <c r="M41" i="65"/>
  <c r="M43" i="65" l="1"/>
  <c r="AP77" i="62" l="1"/>
  <c r="AS77" i="62"/>
  <c r="AO34" i="62"/>
  <c r="AR34" i="62"/>
  <c r="AP86" i="62"/>
  <c r="AS86" i="62"/>
  <c r="M45" i="65"/>
  <c r="AR55" i="62" l="1"/>
  <c r="AO55" i="62"/>
  <c r="AP55" i="62"/>
  <c r="AS55" i="62"/>
  <c r="AR19" i="62" l="1"/>
  <c r="AO19" i="62"/>
  <c r="AP19" i="62"/>
  <c r="AS19" i="62"/>
  <c r="AO50" i="62"/>
  <c r="AR50" i="62"/>
  <c r="AO28" i="62"/>
  <c r="AR28" i="62"/>
  <c r="AR38" i="62"/>
  <c r="AO38" i="62"/>
  <c r="AP19" i="65"/>
  <c r="AS19" i="65"/>
  <c r="AP38" i="62"/>
  <c r="AS38" i="62"/>
  <c r="AP69" i="62" l="1"/>
  <c r="AS69" i="62"/>
  <c r="AO16" i="62" l="1"/>
  <c r="AR16" i="62"/>
  <c r="AP40" i="65" l="1"/>
  <c r="AO40" i="65"/>
  <c r="AP29" i="65"/>
  <c r="AO29" i="65"/>
  <c r="AS14" i="65" l="1"/>
  <c r="AP14" i="65"/>
  <c r="AR14" i="65"/>
  <c r="AO14" i="65"/>
  <c r="AS50" i="62"/>
  <c r="AP50" i="62"/>
  <c r="AO20" i="62"/>
  <c r="AR20" i="62"/>
  <c r="AR19" i="65"/>
  <c r="AO19" i="65"/>
  <c r="AR79" i="62"/>
  <c r="AO79" i="62"/>
  <c r="AR35" i="62"/>
  <c r="AO35" i="62"/>
  <c r="AP79" i="62"/>
  <c r="AS79" i="62"/>
  <c r="AS35" i="62"/>
  <c r="AP35" i="62"/>
  <c r="AO54" i="62"/>
  <c r="AR54" i="62"/>
  <c r="AS20" i="62"/>
  <c r="AP20" i="62"/>
  <c r="AS28" i="62"/>
  <c r="AP28" i="62"/>
  <c r="AR39" i="62"/>
  <c r="AO39" i="62"/>
  <c r="AS85" i="62"/>
  <c r="AP85" i="62"/>
  <c r="AP16" i="62"/>
  <c r="AS16" i="62"/>
  <c r="AS54" i="62"/>
  <c r="AP54" i="62"/>
  <c r="AS21" i="65"/>
  <c r="AP21" i="65"/>
  <c r="AO85" i="62"/>
  <c r="AR85" i="62"/>
  <c r="AP44" i="62"/>
  <c r="AS44" i="62"/>
  <c r="AP91" i="62" l="1"/>
  <c r="AS91" i="62"/>
  <c r="AO60" i="62"/>
  <c r="AR60" i="62"/>
  <c r="AO45" i="62"/>
  <c r="AR45" i="62"/>
  <c r="AO34" i="65"/>
  <c r="AP34" i="65"/>
  <c r="AS60" i="62"/>
  <c r="AP60" i="62"/>
  <c r="AO91" i="62"/>
  <c r="AR91" i="62"/>
  <c r="AO21" i="65"/>
  <c r="AR21" i="65"/>
  <c r="AS45" i="62"/>
  <c r="AP45" i="62"/>
  <c r="AR27" i="62"/>
  <c r="AO27" i="62"/>
  <c r="AP27" i="62"/>
  <c r="AS27" i="62"/>
  <c r="AP39" i="62"/>
  <c r="AS39" i="62"/>
  <c r="AS62" i="62" l="1"/>
  <c r="AP62" i="62"/>
  <c r="AO62" i="62"/>
  <c r="AR62" i="62"/>
  <c r="AP29" i="62"/>
  <c r="AS29" i="62"/>
  <c r="AO41" i="65"/>
  <c r="AO29" i="62"/>
  <c r="AR29" i="62"/>
  <c r="AP41" i="65"/>
  <c r="V73" i="62"/>
  <c r="V25" i="62"/>
  <c r="AH25" i="62"/>
  <c r="AH20" i="62"/>
  <c r="AO64" i="62" l="1"/>
  <c r="AR64" i="62"/>
  <c r="AP45" i="65"/>
  <c r="AP43" i="65"/>
  <c r="AO45" i="65"/>
  <c r="AO43" i="65"/>
  <c r="AP64" i="62"/>
  <c r="AH27" i="62"/>
  <c r="F29" i="4" l="1"/>
  <c r="B29" i="4"/>
  <c r="B22" i="4"/>
  <c r="E29" i="4"/>
  <c r="E22" i="4"/>
  <c r="F22" i="4"/>
  <c r="C22" i="4"/>
  <c r="C29" i="4"/>
  <c r="J76" i="62" l="1"/>
  <c r="AS8" i="62" l="1"/>
  <c r="AR8" i="62"/>
  <c r="AP8" i="62"/>
  <c r="AO8" i="62"/>
  <c r="AS8" i="65"/>
  <c r="AR8" i="65"/>
  <c r="AP8" i="65"/>
  <c r="AO8" i="65"/>
  <c r="K32" i="13" l="1"/>
  <c r="J30" i="29"/>
  <c r="F33" i="4"/>
  <c r="F32" i="4"/>
  <c r="E32" i="4"/>
  <c r="E31" i="4"/>
  <c r="F30" i="4"/>
  <c r="J30" i="23" l="1"/>
  <c r="E33" i="4"/>
  <c r="J30" i="18"/>
  <c r="F31" i="4"/>
  <c r="J33" i="35"/>
  <c r="F25" i="4"/>
  <c r="K33" i="20"/>
  <c r="E24" i="4"/>
  <c r="E30" i="4"/>
  <c r="F24" i="4"/>
  <c r="F26" i="4"/>
  <c r="C24" i="4"/>
  <c r="E26" i="4"/>
  <c r="B30" i="4"/>
  <c r="C23" i="4"/>
  <c r="C31" i="4"/>
  <c r="C25" i="4"/>
  <c r="B24" i="4"/>
  <c r="E25" i="4"/>
  <c r="C30" i="4"/>
  <c r="B23" i="4"/>
  <c r="B31" i="4"/>
  <c r="B32" i="4"/>
  <c r="C32" i="4"/>
  <c r="B25" i="4"/>
  <c r="E23" i="4"/>
  <c r="F23" i="4"/>
  <c r="J33" i="23"/>
  <c r="J33" i="20"/>
  <c r="L33" i="20" s="1"/>
  <c r="J33" i="33"/>
  <c r="J33" i="29"/>
  <c r="J25" i="29"/>
  <c r="J25" i="20"/>
  <c r="J25" i="13"/>
  <c r="J32" i="18"/>
  <c r="J32" i="33"/>
  <c r="J32" i="29"/>
  <c r="J32" i="23"/>
  <c r="J26" i="18"/>
  <c r="J26" i="37"/>
  <c r="J26" i="33"/>
  <c r="J26" i="35"/>
  <c r="J26" i="29"/>
  <c r="J26" i="23"/>
  <c r="J26" i="20"/>
  <c r="K23" i="33"/>
  <c r="J33" i="18"/>
  <c r="J33" i="37"/>
  <c r="K31" i="23"/>
  <c r="K25" i="18"/>
  <c r="K25" i="37"/>
  <c r="K25" i="33"/>
  <c r="K25" i="29"/>
  <c r="K25" i="20"/>
  <c r="K25" i="13"/>
  <c r="K23" i="37"/>
  <c r="K23" i="20"/>
  <c r="K32" i="18"/>
  <c r="K32" i="33"/>
  <c r="K32" i="29"/>
  <c r="K32" i="23"/>
  <c r="K33" i="23"/>
  <c r="K32" i="20"/>
  <c r="K26" i="18"/>
  <c r="K26" i="33"/>
  <c r="K26" i="29"/>
  <c r="K26" i="20"/>
  <c r="K23" i="35"/>
  <c r="K23" i="13"/>
  <c r="K33" i="18"/>
  <c r="K33" i="33"/>
  <c r="K33" i="29"/>
  <c r="J23" i="20"/>
  <c r="L23" i="20" s="1"/>
  <c r="K26" i="35"/>
  <c r="J23" i="37"/>
  <c r="K26" i="37"/>
  <c r="K26" i="23"/>
  <c r="K31" i="13"/>
  <c r="J23" i="18"/>
  <c r="J23" i="29"/>
  <c r="L23" i="29" s="1"/>
  <c r="J23" i="23"/>
  <c r="J25" i="18"/>
  <c r="L25" i="18" s="1"/>
  <c r="J25" i="37"/>
  <c r="L25" i="37" s="1"/>
  <c r="J25" i="33"/>
  <c r="L25" i="33" s="1"/>
  <c r="K24" i="24"/>
  <c r="K24" i="23"/>
  <c r="K24" i="13"/>
  <c r="K31" i="18"/>
  <c r="K31" i="33"/>
  <c r="K31" i="29"/>
  <c r="J23" i="35"/>
  <c r="J23" i="13"/>
  <c r="K30" i="20"/>
  <c r="K30" i="13"/>
  <c r="K24" i="18"/>
  <c r="K24" i="33"/>
  <c r="K24" i="29"/>
  <c r="J31" i="37"/>
  <c r="J31" i="24"/>
  <c r="J31" i="35"/>
  <c r="J31" i="13"/>
  <c r="J24" i="18"/>
  <c r="L24" i="18" s="1"/>
  <c r="J24" i="37"/>
  <c r="J24" i="33"/>
  <c r="J24" i="29"/>
  <c r="L24" i="29" s="1"/>
  <c r="J24" i="24"/>
  <c r="L24" i="24" s="1"/>
  <c r="J24" i="23"/>
  <c r="L24" i="23" s="1"/>
  <c r="J24" i="13"/>
  <c r="L24" i="13" s="1"/>
  <c r="K23" i="18"/>
  <c r="K23" i="29"/>
  <c r="K23" i="23"/>
  <c r="J31" i="18"/>
  <c r="L31" i="18" s="1"/>
  <c r="J31" i="33"/>
  <c r="L31" i="33" s="1"/>
  <c r="J31" i="29"/>
  <c r="L31" i="29" s="1"/>
  <c r="J31" i="23"/>
  <c r="K24" i="37"/>
  <c r="K30" i="37"/>
  <c r="J30" i="13"/>
  <c r="J23" i="33"/>
  <c r="J30" i="33"/>
  <c r="J30" i="35"/>
  <c r="J32" i="20"/>
  <c r="J32" i="13"/>
  <c r="L32" i="13" s="1"/>
  <c r="J30" i="37"/>
  <c r="L30" i="37" s="1"/>
  <c r="J30" i="20"/>
  <c r="L30" i="20" s="1"/>
  <c r="J32" i="37"/>
  <c r="K30" i="18"/>
  <c r="K30" i="33"/>
  <c r="K30" i="29"/>
  <c r="L30" i="29" s="1"/>
  <c r="K30" i="23"/>
  <c r="K32" i="37"/>
  <c r="K30" i="35"/>
  <c r="K31" i="37"/>
  <c r="K33" i="37"/>
  <c r="K31" i="35"/>
  <c r="K33" i="35"/>
  <c r="K31" i="24"/>
  <c r="L25" i="29" l="1"/>
  <c r="L32" i="37"/>
  <c r="L30" i="35"/>
  <c r="L31" i="13"/>
  <c r="L26" i="35"/>
  <c r="L26" i="33"/>
  <c r="L33" i="37"/>
  <c r="L26" i="37"/>
  <c r="L23" i="37"/>
  <c r="L24" i="37"/>
  <c r="L31" i="37"/>
  <c r="L30" i="33"/>
  <c r="L33" i="33"/>
  <c r="L32" i="33"/>
  <c r="L24" i="33"/>
  <c r="L23" i="33"/>
  <c r="L33" i="35"/>
  <c r="L31" i="35"/>
  <c r="L23" i="35"/>
  <c r="L26" i="29"/>
  <c r="L32" i="29"/>
  <c r="L33" i="29"/>
  <c r="L31" i="24"/>
  <c r="L31" i="23"/>
  <c r="L32" i="23"/>
  <c r="L26" i="23"/>
  <c r="L23" i="23"/>
  <c r="L33" i="23"/>
  <c r="L30" i="23"/>
  <c r="L26" i="20"/>
  <c r="L32" i="20"/>
  <c r="L25" i="20"/>
  <c r="L23" i="13"/>
  <c r="L30" i="13"/>
  <c r="L25" i="13"/>
  <c r="L23" i="18"/>
  <c r="L26" i="18"/>
  <c r="L32" i="18"/>
  <c r="L30" i="18"/>
  <c r="L33" i="18"/>
  <c r="J9" i="72"/>
  <c r="E31" i="13" l="1"/>
  <c r="E31" i="37"/>
  <c r="E31" i="33"/>
  <c r="E31" i="24"/>
  <c r="E31" i="29"/>
  <c r="E23" i="13"/>
  <c r="E23" i="20"/>
  <c r="E23" i="37"/>
  <c r="E23" i="33"/>
  <c r="E23" i="29"/>
  <c r="E25" i="20"/>
  <c r="E25" i="13"/>
  <c r="E30" i="13"/>
  <c r="E30" i="20"/>
  <c r="E30" i="37"/>
  <c r="E30" i="29"/>
  <c r="E30" i="33"/>
  <c r="E32" i="20"/>
  <c r="E32" i="13"/>
  <c r="E32" i="29"/>
  <c r="E24" i="24"/>
  <c r="E24" i="13"/>
  <c r="E24" i="29"/>
  <c r="E24" i="33"/>
  <c r="E24" i="37"/>
  <c r="K7" i="72"/>
  <c r="K9" i="72"/>
  <c r="L9" i="72" s="1"/>
  <c r="J7" i="72"/>
  <c r="D48" i="72"/>
  <c r="D7" i="72"/>
  <c r="D9" i="72"/>
  <c r="AN44" i="65"/>
  <c r="AK44" i="65"/>
  <c r="AB44" i="65"/>
  <c r="G44" i="65"/>
  <c r="Y44" i="65"/>
  <c r="S44" i="65"/>
  <c r="J44" i="65"/>
  <c r="AN42" i="65"/>
  <c r="AK42" i="65"/>
  <c r="AE42" i="65"/>
  <c r="AB42" i="65"/>
  <c r="V42" i="65"/>
  <c r="S42" i="65"/>
  <c r="P42" i="65"/>
  <c r="J42" i="65"/>
  <c r="D42" i="65"/>
  <c r="AN40" i="65"/>
  <c r="AK40" i="65"/>
  <c r="AE40" i="65"/>
  <c r="AB40" i="65"/>
  <c r="G40" i="65"/>
  <c r="Y40" i="65"/>
  <c r="V40" i="65"/>
  <c r="S40" i="65"/>
  <c r="P40" i="65"/>
  <c r="J40" i="65"/>
  <c r="D40" i="65"/>
  <c r="AN39" i="65"/>
  <c r="AK39" i="65"/>
  <c r="AE39" i="65"/>
  <c r="AB39" i="65"/>
  <c r="G39" i="65"/>
  <c r="Y39" i="65"/>
  <c r="S39" i="65"/>
  <c r="P39" i="65"/>
  <c r="J39" i="65"/>
  <c r="AN38" i="65"/>
  <c r="AK38" i="65"/>
  <c r="AE38" i="65"/>
  <c r="AB38" i="65"/>
  <c r="G38" i="65"/>
  <c r="Y38" i="65"/>
  <c r="S38" i="65"/>
  <c r="P38" i="65"/>
  <c r="J38" i="65"/>
  <c r="AN37" i="65"/>
  <c r="AK37" i="65"/>
  <c r="AE37" i="65"/>
  <c r="AB37" i="65"/>
  <c r="G37" i="65"/>
  <c r="Y37" i="65"/>
  <c r="V37" i="65"/>
  <c r="S37" i="65"/>
  <c r="P37" i="65"/>
  <c r="J37" i="65"/>
  <c r="D37" i="65"/>
  <c r="AN33" i="65"/>
  <c r="AK33" i="65"/>
  <c r="AB33" i="65"/>
  <c r="G33" i="65"/>
  <c r="Y33" i="65"/>
  <c r="J33" i="65"/>
  <c r="AN32" i="65"/>
  <c r="AK32" i="65"/>
  <c r="AH32" i="65"/>
  <c r="AE32" i="65"/>
  <c r="AB32" i="65"/>
  <c r="G32" i="65"/>
  <c r="Y32" i="65"/>
  <c r="V32" i="65"/>
  <c r="S32" i="65"/>
  <c r="P32" i="65"/>
  <c r="J32" i="65"/>
  <c r="D32" i="65"/>
  <c r="AN31" i="65"/>
  <c r="AK31" i="65"/>
  <c r="AE31" i="65"/>
  <c r="AB31" i="65"/>
  <c r="Y31" i="65"/>
  <c r="S31" i="65"/>
  <c r="J31" i="65"/>
  <c r="D31" i="65"/>
  <c r="AN30" i="65"/>
  <c r="AK30" i="65"/>
  <c r="AH30" i="65"/>
  <c r="AB30" i="65"/>
  <c r="G30" i="65"/>
  <c r="Y30" i="65"/>
  <c r="S30" i="65"/>
  <c r="J30" i="65"/>
  <c r="D30" i="65"/>
  <c r="AB29" i="65"/>
  <c r="AN28" i="65"/>
  <c r="AK28" i="65"/>
  <c r="AB28" i="65"/>
  <c r="G28" i="65"/>
  <c r="Y28" i="65"/>
  <c r="S28" i="65"/>
  <c r="J28" i="65"/>
  <c r="AN27" i="65"/>
  <c r="AK27" i="65"/>
  <c r="AB27" i="65"/>
  <c r="P27" i="65"/>
  <c r="J27" i="65"/>
  <c r="D27" i="65"/>
  <c r="AN26" i="65"/>
  <c r="AK26" i="65"/>
  <c r="AE26" i="65"/>
  <c r="AB26" i="65"/>
  <c r="G26" i="65"/>
  <c r="Y26" i="65"/>
  <c r="J26" i="65"/>
  <c r="AN25" i="65"/>
  <c r="AK25" i="65"/>
  <c r="AE25" i="65"/>
  <c r="AB25" i="65"/>
  <c r="G25" i="65"/>
  <c r="Y25" i="65"/>
  <c r="S25" i="65"/>
  <c r="J25" i="65"/>
  <c r="D25" i="65"/>
  <c r="AN24" i="65"/>
  <c r="AK24" i="65"/>
  <c r="AE24" i="65"/>
  <c r="AB24" i="65"/>
  <c r="G24" i="65"/>
  <c r="Y24" i="65"/>
  <c r="S24" i="65"/>
  <c r="P24" i="65"/>
  <c r="J24" i="65"/>
  <c r="AN23" i="65"/>
  <c r="AK23" i="65"/>
  <c r="AE23" i="65"/>
  <c r="AB23" i="65"/>
  <c r="G23" i="65"/>
  <c r="Y23" i="65"/>
  <c r="S23" i="65"/>
  <c r="P23" i="65"/>
  <c r="J23" i="65"/>
  <c r="D23" i="65"/>
  <c r="AE21" i="65"/>
  <c r="AN20" i="65"/>
  <c r="AK20" i="65"/>
  <c r="AH20" i="65"/>
  <c r="AB20" i="65"/>
  <c r="G20" i="65"/>
  <c r="Y20" i="65"/>
  <c r="S20" i="65"/>
  <c r="P20" i="65"/>
  <c r="J20" i="65"/>
  <c r="D20" i="65"/>
  <c r="AN19" i="65"/>
  <c r="AK19" i="65"/>
  <c r="AH19" i="65"/>
  <c r="AE19" i="65"/>
  <c r="AB19" i="65"/>
  <c r="G19" i="65"/>
  <c r="Y19" i="65"/>
  <c r="V19" i="65"/>
  <c r="S19" i="65"/>
  <c r="P19" i="65"/>
  <c r="J19" i="65"/>
  <c r="D19" i="65"/>
  <c r="AN17" i="65"/>
  <c r="AK17" i="65"/>
  <c r="AE17" i="65"/>
  <c r="AB17" i="65"/>
  <c r="G17" i="65"/>
  <c r="Y17" i="65"/>
  <c r="P17" i="65"/>
  <c r="J17" i="65"/>
  <c r="AN16" i="65"/>
  <c r="AK16" i="65"/>
  <c r="AH16" i="65"/>
  <c r="AB16" i="65"/>
  <c r="G16" i="65"/>
  <c r="Y16" i="65"/>
  <c r="S16" i="65"/>
  <c r="P16" i="65"/>
  <c r="J16" i="65"/>
  <c r="D16" i="65"/>
  <c r="AN15" i="65"/>
  <c r="AK15" i="65"/>
  <c r="AE15" i="65"/>
  <c r="AB15" i="65"/>
  <c r="G15" i="65"/>
  <c r="Y15" i="65"/>
  <c r="S15" i="65"/>
  <c r="P15" i="65"/>
  <c r="J15" i="65"/>
  <c r="D15" i="65"/>
  <c r="AN14" i="65"/>
  <c r="AB14" i="65"/>
  <c r="AN13" i="65"/>
  <c r="AK13" i="65"/>
  <c r="AH13" i="65"/>
  <c r="AB13" i="65"/>
  <c r="G13" i="65"/>
  <c r="Y13" i="65"/>
  <c r="S13" i="65"/>
  <c r="P13" i="65"/>
  <c r="J13" i="65"/>
  <c r="D13" i="65"/>
  <c r="AN12" i="65"/>
  <c r="AK12" i="65"/>
  <c r="AB12" i="65"/>
  <c r="G12" i="65"/>
  <c r="Y12" i="65"/>
  <c r="S12" i="65"/>
  <c r="P12" i="65"/>
  <c r="J12" i="65"/>
  <c r="D12" i="65"/>
  <c r="AN11" i="65"/>
  <c r="AK11" i="65"/>
  <c r="AH11" i="65"/>
  <c r="AE11" i="65"/>
  <c r="AB11" i="65"/>
  <c r="G11" i="65"/>
  <c r="Y11" i="65"/>
  <c r="V11" i="65"/>
  <c r="S11" i="65"/>
  <c r="P11" i="65"/>
  <c r="J11" i="65"/>
  <c r="D11" i="65"/>
  <c r="AN89" i="62"/>
  <c r="AK89" i="62"/>
  <c r="AE89" i="62"/>
  <c r="AB89" i="62"/>
  <c r="G89" i="62"/>
  <c r="Y89" i="62"/>
  <c r="V89" i="62"/>
  <c r="S89" i="62"/>
  <c r="P89" i="62"/>
  <c r="J89" i="62"/>
  <c r="D89" i="62"/>
  <c r="AN88" i="62"/>
  <c r="AK88" i="62"/>
  <c r="AH88" i="62"/>
  <c r="AE88" i="62"/>
  <c r="AB88" i="62"/>
  <c r="G88" i="62"/>
  <c r="Y88" i="62"/>
  <c r="V88" i="62"/>
  <c r="S88" i="62"/>
  <c r="J88" i="62"/>
  <c r="D88" i="62"/>
  <c r="AK87" i="62"/>
  <c r="AN86" i="62"/>
  <c r="AK86" i="62"/>
  <c r="AE86" i="62"/>
  <c r="AB86" i="62"/>
  <c r="G86" i="62"/>
  <c r="Y86" i="62"/>
  <c r="V86" i="62"/>
  <c r="S86" i="62"/>
  <c r="P86" i="62"/>
  <c r="J86" i="62"/>
  <c r="D86" i="62"/>
  <c r="AN83" i="62"/>
  <c r="AK83" i="62"/>
  <c r="G83" i="62"/>
  <c r="Y83" i="62"/>
  <c r="S83" i="62"/>
  <c r="J83" i="62"/>
  <c r="D83" i="62"/>
  <c r="AN82" i="62"/>
  <c r="AK82" i="62"/>
  <c r="AB82" i="62"/>
  <c r="AN81" i="62"/>
  <c r="AK81" i="62"/>
  <c r="AH81" i="62"/>
  <c r="AB81" i="62"/>
  <c r="G81" i="62"/>
  <c r="Y81" i="62"/>
  <c r="S81" i="62"/>
  <c r="P81" i="62"/>
  <c r="J81" i="62"/>
  <c r="D81" i="62"/>
  <c r="AN77" i="62"/>
  <c r="AK77" i="62"/>
  <c r="AB77" i="62"/>
  <c r="P77" i="62"/>
  <c r="J77" i="62"/>
  <c r="D77" i="62"/>
  <c r="AN76" i="62"/>
  <c r="AK76" i="62"/>
  <c r="AB76" i="62"/>
  <c r="G76" i="62"/>
  <c r="Y76" i="62"/>
  <c r="D76" i="62"/>
  <c r="AN75" i="62"/>
  <c r="AK75" i="62"/>
  <c r="AE75" i="62"/>
  <c r="AB75" i="62"/>
  <c r="G75" i="62"/>
  <c r="Y75" i="62"/>
  <c r="S75" i="62"/>
  <c r="J75" i="62"/>
  <c r="D75" i="62"/>
  <c r="AN74" i="62"/>
  <c r="AK74" i="62"/>
  <c r="AE74" i="62"/>
  <c r="AB74" i="62"/>
  <c r="G74" i="62"/>
  <c r="Y74" i="62"/>
  <c r="S74" i="62"/>
  <c r="P74" i="62"/>
  <c r="J74" i="62"/>
  <c r="D74" i="62"/>
  <c r="AN73" i="62"/>
  <c r="AK73" i="62"/>
  <c r="AE73" i="62"/>
  <c r="AB73" i="62"/>
  <c r="G73" i="62"/>
  <c r="Y73" i="62"/>
  <c r="S73" i="62"/>
  <c r="P73" i="62"/>
  <c r="J73" i="62"/>
  <c r="D73" i="62"/>
  <c r="AN71" i="62"/>
  <c r="AK71" i="62"/>
  <c r="AE71" i="62"/>
  <c r="AB71" i="62"/>
  <c r="Y71" i="62"/>
  <c r="J71" i="62"/>
  <c r="AN70" i="62"/>
  <c r="AK70" i="62"/>
  <c r="AE70" i="62"/>
  <c r="AB70" i="62"/>
  <c r="G70" i="62"/>
  <c r="Y70" i="62"/>
  <c r="S70" i="62"/>
  <c r="J70" i="62"/>
  <c r="AN69" i="62"/>
  <c r="AK69" i="62"/>
  <c r="AH69" i="62"/>
  <c r="AE69" i="62"/>
  <c r="AB69" i="62"/>
  <c r="G69" i="62"/>
  <c r="Y69" i="62"/>
  <c r="V69" i="62"/>
  <c r="S69" i="62"/>
  <c r="P69" i="62"/>
  <c r="J69" i="62"/>
  <c r="D69" i="62"/>
  <c r="AN68" i="62"/>
  <c r="AK68" i="62"/>
  <c r="AH68" i="62"/>
  <c r="AE68" i="62"/>
  <c r="AB68" i="62"/>
  <c r="G68" i="62"/>
  <c r="Y68" i="62"/>
  <c r="V68" i="62"/>
  <c r="S68" i="62"/>
  <c r="P68" i="62"/>
  <c r="J68" i="62"/>
  <c r="D68" i="62"/>
  <c r="AN59" i="62"/>
  <c r="AK59" i="62"/>
  <c r="AB59" i="62"/>
  <c r="Y59" i="62"/>
  <c r="S59" i="62"/>
  <c r="P59" i="62"/>
  <c r="D59" i="62"/>
  <c r="AN58" i="62"/>
  <c r="Y58" i="62"/>
  <c r="AN57" i="62"/>
  <c r="G57" i="62"/>
  <c r="Y57" i="62"/>
  <c r="S57" i="62"/>
  <c r="J57" i="62"/>
  <c r="AN56" i="62"/>
  <c r="AK56" i="62"/>
  <c r="G56" i="62"/>
  <c r="Y56" i="62"/>
  <c r="S56" i="62"/>
  <c r="P56" i="62"/>
  <c r="J56" i="62"/>
  <c r="D56" i="62"/>
  <c r="AN55" i="62"/>
  <c r="AK55" i="62"/>
  <c r="AH55" i="62"/>
  <c r="AB55" i="62"/>
  <c r="G55" i="62"/>
  <c r="Y55" i="62"/>
  <c r="S55" i="62"/>
  <c r="P55" i="62"/>
  <c r="J55" i="62"/>
  <c r="D55" i="62"/>
  <c r="Y53" i="62"/>
  <c r="Y51" i="62"/>
  <c r="AN49" i="62"/>
  <c r="Y49" i="62"/>
  <c r="AT48" i="62"/>
  <c r="AQ48" i="62"/>
  <c r="AK46" i="62"/>
  <c r="AB46" i="62"/>
  <c r="P46" i="62"/>
  <c r="D46" i="62"/>
  <c r="AN44" i="62"/>
  <c r="AK44" i="62"/>
  <c r="AE44" i="62"/>
  <c r="AB44" i="62"/>
  <c r="Y44" i="62"/>
  <c r="S44" i="62"/>
  <c r="P44" i="62"/>
  <c r="J44" i="62"/>
  <c r="D44" i="62"/>
  <c r="AN43" i="62"/>
  <c r="AK43" i="62"/>
  <c r="AE43" i="62"/>
  <c r="AB43" i="62"/>
  <c r="Y43" i="62"/>
  <c r="J43" i="62"/>
  <c r="D43" i="62"/>
  <c r="AN42" i="62"/>
  <c r="AE42" i="62"/>
  <c r="G42" i="62"/>
  <c r="Y42" i="62"/>
  <c r="S42" i="62"/>
  <c r="J42" i="62"/>
  <c r="AN41" i="62"/>
  <c r="AK41" i="62"/>
  <c r="AE41" i="62"/>
  <c r="AB41" i="62"/>
  <c r="G41" i="62"/>
  <c r="Y41" i="62"/>
  <c r="S41" i="62"/>
  <c r="P41" i="62"/>
  <c r="J41" i="62"/>
  <c r="D41" i="62"/>
  <c r="AN40" i="62"/>
  <c r="AK40" i="62"/>
  <c r="AE40" i="62"/>
  <c r="AB40" i="62"/>
  <c r="G40" i="62"/>
  <c r="Y40" i="62"/>
  <c r="P40" i="62"/>
  <c r="J40" i="62"/>
  <c r="D40" i="62"/>
  <c r="AN38" i="62"/>
  <c r="AK38" i="62"/>
  <c r="AE38" i="62"/>
  <c r="AB38" i="62"/>
  <c r="G38" i="62"/>
  <c r="Y38" i="62"/>
  <c r="S38" i="62"/>
  <c r="AN37" i="62"/>
  <c r="AK37" i="62"/>
  <c r="AE37" i="62"/>
  <c r="AB37" i="62"/>
  <c r="Y37" i="62"/>
  <c r="S37" i="62"/>
  <c r="J37" i="62"/>
  <c r="AN36" i="62"/>
  <c r="AK36" i="62"/>
  <c r="AE36" i="62"/>
  <c r="AB36" i="62"/>
  <c r="G36" i="62"/>
  <c r="Y36" i="62"/>
  <c r="S36" i="62"/>
  <c r="J36" i="62"/>
  <c r="J35" i="62"/>
  <c r="AN34" i="62"/>
  <c r="AK34" i="62"/>
  <c r="AE34" i="62"/>
  <c r="AB34" i="62"/>
  <c r="G34" i="62"/>
  <c r="Y34" i="62"/>
  <c r="J34" i="62"/>
  <c r="AK33" i="62"/>
  <c r="AE33" i="62"/>
  <c r="J33" i="62"/>
  <c r="AN28" i="62"/>
  <c r="AK28" i="62"/>
  <c r="AE28" i="62"/>
  <c r="AB28" i="62"/>
  <c r="G28" i="62"/>
  <c r="Y28" i="62"/>
  <c r="S28" i="62"/>
  <c r="P28" i="62"/>
  <c r="J28" i="62"/>
  <c r="D28" i="62"/>
  <c r="V27" i="62"/>
  <c r="AT26" i="62"/>
  <c r="AQ26" i="62"/>
  <c r="AN25" i="62"/>
  <c r="AK25" i="62"/>
  <c r="Y25" i="62"/>
  <c r="P25" i="62"/>
  <c r="J25" i="62"/>
  <c r="AN24" i="62"/>
  <c r="AE24" i="62"/>
  <c r="Y24" i="62"/>
  <c r="J24" i="62"/>
  <c r="AN23" i="62"/>
  <c r="AK23" i="62"/>
  <c r="AE23" i="62"/>
  <c r="AB23" i="62"/>
  <c r="G23" i="62"/>
  <c r="Y23" i="62"/>
  <c r="S23" i="62"/>
  <c r="J23" i="62"/>
  <c r="AN22" i="62"/>
  <c r="AK22" i="62"/>
  <c r="AE22" i="62"/>
  <c r="AB22" i="62"/>
  <c r="G22" i="62"/>
  <c r="Y22" i="62"/>
  <c r="S22" i="62"/>
  <c r="P22" i="62"/>
  <c r="J22" i="62"/>
  <c r="D22" i="62"/>
  <c r="AN21" i="62"/>
  <c r="AK21" i="62"/>
  <c r="AB21" i="62"/>
  <c r="G21" i="62"/>
  <c r="Y21" i="62"/>
  <c r="S21" i="62"/>
  <c r="P21" i="62"/>
  <c r="J21" i="62"/>
  <c r="D21" i="62"/>
  <c r="AN20" i="62"/>
  <c r="AK20" i="62"/>
  <c r="AE20" i="62"/>
  <c r="AB20" i="62"/>
  <c r="G20" i="62"/>
  <c r="Y20" i="62"/>
  <c r="V20" i="62"/>
  <c r="S20" i="62"/>
  <c r="P20" i="62"/>
  <c r="J20" i="62"/>
  <c r="AN19" i="62"/>
  <c r="AK19" i="62"/>
  <c r="AE19" i="62"/>
  <c r="Y19" i="62"/>
  <c r="AN18" i="62"/>
  <c r="AK18" i="62"/>
  <c r="Y18" i="62"/>
  <c r="AN17" i="62"/>
  <c r="AK17" i="62"/>
  <c r="AE17" i="62"/>
  <c r="Y17" i="62"/>
  <c r="AN27" i="62"/>
  <c r="AN15" i="62"/>
  <c r="AK15" i="62"/>
  <c r="AE15" i="62"/>
  <c r="Y15" i="62"/>
  <c r="J15" i="62"/>
  <c r="AK14" i="62"/>
  <c r="Y14" i="62"/>
  <c r="L7" i="72" l="1"/>
  <c r="AT61" i="62"/>
  <c r="AQ61" i="62"/>
  <c r="AQ84" i="62"/>
  <c r="AT84" i="62"/>
  <c r="AQ18" i="62"/>
  <c r="AQ19" i="62"/>
  <c r="AQ21" i="62"/>
  <c r="AT22" i="62"/>
  <c r="AT14" i="62"/>
  <c r="AT37" i="62"/>
  <c r="AT41" i="62"/>
  <c r="AT52" i="62"/>
  <c r="AH54" i="62"/>
  <c r="AK54" i="62"/>
  <c r="AQ59" i="62"/>
  <c r="AQ69" i="62"/>
  <c r="AQ70" i="62"/>
  <c r="G27" i="62"/>
  <c r="AT40" i="62"/>
  <c r="AT46" i="62"/>
  <c r="P14" i="65"/>
  <c r="AQ15" i="65"/>
  <c r="AT16" i="65"/>
  <c r="AQ19" i="65"/>
  <c r="AQ28" i="65"/>
  <c r="AT71" i="62"/>
  <c r="AQ74" i="62"/>
  <c r="AT75" i="62"/>
  <c r="AT81" i="62"/>
  <c r="AQ83" i="62"/>
  <c r="AQ86" i="62"/>
  <c r="AT87" i="62"/>
  <c r="AT89" i="62"/>
  <c r="H26" i="9"/>
  <c r="H67" i="9" s="1"/>
  <c r="D47" i="72"/>
  <c r="G26" i="9"/>
  <c r="G67" i="9" s="1"/>
  <c r="B26" i="9"/>
  <c r="AQ14" i="62"/>
  <c r="AQ15" i="62"/>
  <c r="AB27" i="62"/>
  <c r="AQ37" i="62"/>
  <c r="AQ38" i="62"/>
  <c r="AQ51" i="62"/>
  <c r="AQ52" i="62"/>
  <c r="AT55" i="62"/>
  <c r="AT57" i="62"/>
  <c r="AT68" i="62"/>
  <c r="AQ17" i="65"/>
  <c r="AQ20" i="65"/>
  <c r="Y16" i="62"/>
  <c r="AT28" i="62"/>
  <c r="AQ33" i="62"/>
  <c r="AQ40" i="62"/>
  <c r="AT42" i="62"/>
  <c r="AQ46" i="62"/>
  <c r="AT69" i="62"/>
  <c r="AT76" i="62"/>
  <c r="AQ77" i="62"/>
  <c r="AQ78" i="62"/>
  <c r="AT82" i="62"/>
  <c r="AT12" i="65"/>
  <c r="AQ13" i="65"/>
  <c r="AQ27" i="65"/>
  <c r="AQ33" i="65"/>
  <c r="AQ44" i="65"/>
  <c r="AT15" i="62"/>
  <c r="AT17" i="62"/>
  <c r="AT19" i="62"/>
  <c r="AT21" i="62"/>
  <c r="AT23" i="62"/>
  <c r="AQ25" i="62"/>
  <c r="AT33" i="62"/>
  <c r="AQ41" i="62"/>
  <c r="AQ42" i="62"/>
  <c r="AQ43" i="62"/>
  <c r="AT53" i="62"/>
  <c r="AQ56" i="62"/>
  <c r="AQ68" i="62"/>
  <c r="AT86" i="62"/>
  <c r="AQ87" i="62"/>
  <c r="AQ88" i="62"/>
  <c r="AQ89" i="62"/>
  <c r="AT19" i="65"/>
  <c r="AK35" i="62"/>
  <c r="AB39" i="62"/>
  <c r="AQ58" i="62"/>
  <c r="AQ23" i="62"/>
  <c r="AQ24" i="62"/>
  <c r="AT38" i="62"/>
  <c r="Y39" i="62"/>
  <c r="AT43" i="62"/>
  <c r="AQ44" i="62"/>
  <c r="AT49" i="62"/>
  <c r="AT51" i="62"/>
  <c r="AQ55" i="62"/>
  <c r="AT56" i="62"/>
  <c r="AT58" i="62"/>
  <c r="AT59" i="62"/>
  <c r="AT70" i="62"/>
  <c r="AT74" i="62"/>
  <c r="AQ75" i="62"/>
  <c r="AQ76" i="62"/>
  <c r="AT77" i="62"/>
  <c r="AT78" i="62"/>
  <c r="AQ82" i="62"/>
  <c r="AT15" i="65"/>
  <c r="AT20" i="65"/>
  <c r="J21" i="65"/>
  <c r="AK21" i="65"/>
  <c r="AQ38" i="65"/>
  <c r="AQ39" i="65"/>
  <c r="P29" i="65"/>
  <c r="S54" i="62"/>
  <c r="AN79" i="62"/>
  <c r="AE16" i="62"/>
  <c r="J54" i="62"/>
  <c r="AE14" i="65"/>
  <c r="Y29" i="65"/>
  <c r="AQ40" i="65"/>
  <c r="G85" i="62"/>
  <c r="AK16" i="62"/>
  <c r="D14" i="65"/>
  <c r="AK29" i="65"/>
  <c r="AT18" i="62"/>
  <c r="AQ49" i="62"/>
  <c r="AQ71" i="62"/>
  <c r="AT88" i="62"/>
  <c r="AQ12" i="65"/>
  <c r="AQ26" i="65"/>
  <c r="S35" i="62"/>
  <c r="AN35" i="62"/>
  <c r="AQ36" i="62"/>
  <c r="G39" i="62"/>
  <c r="AE39" i="62"/>
  <c r="AN54" i="62"/>
  <c r="AT73" i="62"/>
  <c r="AN16" i="62"/>
  <c r="AQ17" i="62"/>
  <c r="AQ20" i="62"/>
  <c r="AT24" i="62"/>
  <c r="AQ28" i="62"/>
  <c r="AT34" i="62"/>
  <c r="AT36" i="62"/>
  <c r="AT44" i="62"/>
  <c r="AQ53" i="62"/>
  <c r="D54" i="62"/>
  <c r="P54" i="62"/>
  <c r="AQ73" i="62"/>
  <c r="AK79" i="62"/>
  <c r="AQ81" i="62"/>
  <c r="AT83" i="62"/>
  <c r="Y85" i="62"/>
  <c r="AB85" i="62"/>
  <c r="AQ11" i="65"/>
  <c r="AT13" i="65"/>
  <c r="V14" i="65"/>
  <c r="AQ16" i="65"/>
  <c r="AT17" i="65"/>
  <c r="S21" i="65"/>
  <c r="AQ23" i="65"/>
  <c r="AQ24" i="65"/>
  <c r="AQ25" i="65"/>
  <c r="J29" i="65"/>
  <c r="AQ32" i="65"/>
  <c r="AT25" i="62"/>
  <c r="AQ57" i="62"/>
  <c r="AQ22" i="62"/>
  <c r="AT11" i="65"/>
  <c r="G14" i="65"/>
  <c r="AH34" i="65"/>
  <c r="Y21" i="65"/>
  <c r="AN21" i="65"/>
  <c r="D29" i="65"/>
  <c r="S29" i="65"/>
  <c r="AQ37" i="65"/>
  <c r="J34" i="65"/>
  <c r="Y14" i="65"/>
  <c r="P21" i="65"/>
  <c r="G21" i="65"/>
  <c r="AH21" i="65"/>
  <c r="AN29" i="65"/>
  <c r="AE34" i="65"/>
  <c r="AE29" i="65"/>
  <c r="AQ30" i="65"/>
  <c r="G29" i="65"/>
  <c r="J14" i="65"/>
  <c r="S14" i="65"/>
  <c r="AH14" i="65"/>
  <c r="D21" i="65"/>
  <c r="V21" i="65"/>
  <c r="AK14" i="65"/>
  <c r="AB21" i="65"/>
  <c r="AQ31" i="65"/>
  <c r="AQ42" i="65"/>
  <c r="Y27" i="62"/>
  <c r="V29" i="62"/>
  <c r="J27" i="62"/>
  <c r="P27" i="62"/>
  <c r="D27" i="62"/>
  <c r="S27" i="62"/>
  <c r="AH29" i="62"/>
  <c r="G35" i="62"/>
  <c r="AQ16" i="62"/>
  <c r="AQ34" i="62"/>
  <c r="Y35" i="62"/>
  <c r="S39" i="62"/>
  <c r="AK39" i="62"/>
  <c r="AT16" i="62"/>
  <c r="D20" i="62"/>
  <c r="AT20" i="62"/>
  <c r="AB35" i="62"/>
  <c r="J39" i="62"/>
  <c r="AN39" i="62"/>
  <c r="D39" i="62"/>
  <c r="AE35" i="62"/>
  <c r="P39" i="62"/>
  <c r="G54" i="62"/>
  <c r="J79" i="62"/>
  <c r="S79" i="62"/>
  <c r="Y79" i="62"/>
  <c r="AB79" i="62"/>
  <c r="J85" i="62"/>
  <c r="S85" i="62"/>
  <c r="AN85" i="62"/>
  <c r="Y91" i="62"/>
  <c r="Y50" i="62"/>
  <c r="Y54" i="62"/>
  <c r="AB54" i="62"/>
  <c r="D79" i="62"/>
  <c r="P79" i="62"/>
  <c r="V79" i="62"/>
  <c r="G79" i="62"/>
  <c r="AE79" i="62"/>
  <c r="D85" i="62"/>
  <c r="P85" i="62"/>
  <c r="AH85" i="62"/>
  <c r="AK85" i="62"/>
  <c r="C26" i="9" l="1"/>
  <c r="C67" i="9" s="1"/>
  <c r="AT39" i="62"/>
  <c r="B67" i="9"/>
  <c r="M26" i="8"/>
  <c r="AK27" i="62"/>
  <c r="AQ27" i="62"/>
  <c r="AT27" i="62"/>
  <c r="AE27" i="62"/>
  <c r="AT14" i="65"/>
  <c r="AT21" i="65"/>
  <c r="AQ35" i="62"/>
  <c r="V91" i="62"/>
  <c r="AT79" i="62"/>
  <c r="AQ79" i="62"/>
  <c r="V34" i="65"/>
  <c r="P34" i="65"/>
  <c r="J41" i="65"/>
  <c r="AQ29" i="65"/>
  <c r="AQ14" i="65"/>
  <c r="AK34" i="65"/>
  <c r="AQ21" i="65"/>
  <c r="S34" i="65"/>
  <c r="AE41" i="65"/>
  <c r="AN34" i="65"/>
  <c r="G34" i="65"/>
  <c r="D34" i="65"/>
  <c r="AB34" i="65"/>
  <c r="Y34" i="65"/>
  <c r="G60" i="62"/>
  <c r="AK29" i="62"/>
  <c r="AE29" i="62"/>
  <c r="AQ85" i="62"/>
  <c r="AN60" i="62"/>
  <c r="G91" i="62"/>
  <c r="AT85" i="62"/>
  <c r="AT54" i="62"/>
  <c r="AB91" i="62"/>
  <c r="AT50" i="62"/>
  <c r="AE45" i="62"/>
  <c r="G45" i="62"/>
  <c r="P29" i="62"/>
  <c r="AB29" i="62"/>
  <c r="P91" i="62"/>
  <c r="D91" i="62"/>
  <c r="D45" i="62"/>
  <c r="AH60" i="62"/>
  <c r="AH91" i="62"/>
  <c r="AN45" i="62"/>
  <c r="AN91" i="62"/>
  <c r="P60" i="62"/>
  <c r="AQ50" i="62"/>
  <c r="S45" i="62"/>
  <c r="AB45" i="62"/>
  <c r="AQ54" i="62"/>
  <c r="Y45" i="62"/>
  <c r="AN29" i="62"/>
  <c r="S29" i="62"/>
  <c r="AQ29" i="62"/>
  <c r="D29" i="62"/>
  <c r="AT29" i="62"/>
  <c r="J29" i="62"/>
  <c r="Y29" i="62"/>
  <c r="J60" i="62"/>
  <c r="AE91" i="62"/>
  <c r="Y60" i="62"/>
  <c r="S60" i="62"/>
  <c r="S91" i="62"/>
  <c r="AB60" i="62"/>
  <c r="AK45" i="62"/>
  <c r="AK60" i="62"/>
  <c r="D60" i="62"/>
  <c r="AK91" i="62"/>
  <c r="J91" i="62"/>
  <c r="AT35" i="62"/>
  <c r="J45" i="62"/>
  <c r="AQ39" i="62"/>
  <c r="P45" i="62"/>
  <c r="G29" i="62"/>
  <c r="D67" i="9" l="1"/>
  <c r="N26" i="8"/>
  <c r="AH41" i="65"/>
  <c r="AQ91" i="62"/>
  <c r="AQ34" i="65"/>
  <c r="G41" i="65"/>
  <c r="AE43" i="65"/>
  <c r="S41" i="65"/>
  <c r="J43" i="65"/>
  <c r="P41" i="65"/>
  <c r="Y41" i="65"/>
  <c r="AB41" i="65"/>
  <c r="D41" i="65"/>
  <c r="AQ41" i="65"/>
  <c r="AK41" i="65"/>
  <c r="V41" i="65"/>
  <c r="AN41" i="65"/>
  <c r="AH43" i="65"/>
  <c r="AK64" i="62"/>
  <c r="P64" i="62"/>
  <c r="D62" i="62"/>
  <c r="J62" i="62"/>
  <c r="AQ60" i="62"/>
  <c r="AN64" i="62"/>
  <c r="S62" i="62"/>
  <c r="AN62" i="62"/>
  <c r="AE62" i="62"/>
  <c r="G64" i="62"/>
  <c r="AH62" i="62"/>
  <c r="AK62" i="62"/>
  <c r="AT91" i="62"/>
  <c r="AQ45" i="62"/>
  <c r="G62" i="62"/>
  <c r="P62" i="62"/>
  <c r="AT60" i="62"/>
  <c r="Y64" i="62"/>
  <c r="S64" i="62"/>
  <c r="Y62" i="62"/>
  <c r="AB62" i="62"/>
  <c r="AT45" i="62"/>
  <c r="G33" i="4"/>
  <c r="I33" i="4" l="1"/>
  <c r="H33" i="4"/>
  <c r="AN43" i="65"/>
  <c r="V43" i="65"/>
  <c r="AQ43" i="65"/>
  <c r="D43" i="65"/>
  <c r="Y43" i="65"/>
  <c r="J45" i="65"/>
  <c r="S43" i="65"/>
  <c r="P43" i="65"/>
  <c r="AE45" i="65"/>
  <c r="G43" i="65"/>
  <c r="AH45" i="65"/>
  <c r="AK43" i="65"/>
  <c r="AB43" i="65"/>
  <c r="D64" i="62"/>
  <c r="AB64" i="62"/>
  <c r="AH64" i="62"/>
  <c r="J64" i="62"/>
  <c r="AQ62" i="62"/>
  <c r="AE64" i="62"/>
  <c r="V64" i="62"/>
  <c r="AT62" i="62"/>
  <c r="J33" i="4" l="1"/>
  <c r="AB45" i="65"/>
  <c r="S45" i="65"/>
  <c r="Y45" i="65"/>
  <c r="V45" i="65"/>
  <c r="G45" i="65"/>
  <c r="AK45" i="65"/>
  <c r="P45" i="65"/>
  <c r="D45" i="65"/>
  <c r="AN45" i="65"/>
  <c r="AT64" i="62"/>
  <c r="AQ64" i="62"/>
  <c r="K9" i="18"/>
  <c r="K8" i="18"/>
  <c r="AQ45" i="65" l="1"/>
  <c r="D22" i="18"/>
  <c r="D29" i="18"/>
  <c r="H124" i="18"/>
  <c r="H10" i="18"/>
  <c r="D7" i="18"/>
  <c r="D10" i="18"/>
  <c r="H117" i="18"/>
  <c r="H121" i="18"/>
  <c r="K7" i="18"/>
  <c r="J88" i="18"/>
  <c r="H109" i="18"/>
  <c r="H113" i="18"/>
  <c r="H125" i="18"/>
  <c r="K113" i="18"/>
  <c r="K99" i="18"/>
  <c r="H7" i="18"/>
  <c r="K11" i="18"/>
  <c r="J67" i="18"/>
  <c r="D99" i="18"/>
  <c r="J109" i="18"/>
  <c r="J112" i="18"/>
  <c r="J121" i="18"/>
  <c r="D28" i="18"/>
  <c r="H34" i="18"/>
  <c r="H35" i="18"/>
  <c r="K78" i="18"/>
  <c r="K108" i="18"/>
  <c r="J113" i="18"/>
  <c r="K120" i="18"/>
  <c r="H108" i="18"/>
  <c r="J35" i="18"/>
  <c r="H11" i="18"/>
  <c r="K109" i="18"/>
  <c r="J117" i="18"/>
  <c r="K12" i="18"/>
  <c r="K112" i="18"/>
  <c r="K117" i="18"/>
  <c r="H12" i="18"/>
  <c r="K35" i="18"/>
  <c r="J124" i="18"/>
  <c r="K10" i="18"/>
  <c r="J34" i="18"/>
  <c r="D67" i="18"/>
  <c r="D88" i="18"/>
  <c r="J99" i="18"/>
  <c r="J120" i="18"/>
  <c r="K121" i="18"/>
  <c r="K124" i="18"/>
  <c r="K28" i="18"/>
  <c r="K34" i="18"/>
  <c r="D124" i="18"/>
  <c r="D48" i="18"/>
  <c r="K67" i="18"/>
  <c r="D120" i="18"/>
  <c r="J11" i="18"/>
  <c r="J108" i="18"/>
  <c r="D112" i="18"/>
  <c r="H22" i="18"/>
  <c r="D78" i="18"/>
  <c r="D108" i="18"/>
  <c r="J125" i="18"/>
  <c r="J9" i="18"/>
  <c r="L9" i="18" s="1"/>
  <c r="D9" i="18"/>
  <c r="J28" i="18"/>
  <c r="J12" i="18"/>
  <c r="J7" i="18"/>
  <c r="J10" i="18"/>
  <c r="J8" i="18"/>
  <c r="L8" i="18" s="1"/>
  <c r="D8" i="18"/>
  <c r="J78" i="18"/>
  <c r="K125" i="18"/>
  <c r="K88" i="18"/>
  <c r="B97" i="4" l="1"/>
  <c r="C76" i="4"/>
  <c r="B76" i="4"/>
  <c r="C97" i="4"/>
  <c r="D87" i="18"/>
  <c r="H29" i="18"/>
  <c r="D66" i="18"/>
  <c r="K29" i="18"/>
  <c r="K22" i="18"/>
  <c r="D47" i="18"/>
  <c r="J29" i="18"/>
  <c r="H119" i="18"/>
  <c r="K100" i="18"/>
  <c r="J22" i="18"/>
  <c r="K119" i="18"/>
  <c r="L113" i="18"/>
  <c r="L12" i="18"/>
  <c r="K98" i="18"/>
  <c r="L28" i="18"/>
  <c r="L88" i="18"/>
  <c r="L121" i="18"/>
  <c r="L109" i="18"/>
  <c r="L120" i="18"/>
  <c r="L99" i="18"/>
  <c r="L35" i="18"/>
  <c r="J111" i="18"/>
  <c r="H111" i="18"/>
  <c r="L117" i="18"/>
  <c r="L78" i="18"/>
  <c r="L7" i="18"/>
  <c r="L108" i="18"/>
  <c r="L11" i="18"/>
  <c r="L67" i="18"/>
  <c r="K111" i="18"/>
  <c r="L112" i="18"/>
  <c r="L124" i="18"/>
  <c r="D98" i="18"/>
  <c r="L10" i="18"/>
  <c r="J119" i="18"/>
  <c r="D119" i="18"/>
  <c r="L34" i="18"/>
  <c r="L125" i="18"/>
  <c r="D111" i="18"/>
  <c r="K97" i="37"/>
  <c r="J97" i="37"/>
  <c r="D97" i="29"/>
  <c r="K97" i="33"/>
  <c r="K97" i="29"/>
  <c r="J97" i="13"/>
  <c r="J97" i="33"/>
  <c r="J97" i="29"/>
  <c r="D97" i="37"/>
  <c r="D97" i="13"/>
  <c r="K97" i="13"/>
  <c r="D97" i="33"/>
  <c r="K76" i="37"/>
  <c r="D76" i="33"/>
  <c r="D76" i="37"/>
  <c r="K76" i="29"/>
  <c r="J76" i="13"/>
  <c r="J76" i="37"/>
  <c r="D76" i="29"/>
  <c r="K76" i="33"/>
  <c r="J76" i="33"/>
  <c r="J76" i="29"/>
  <c r="D76" i="13"/>
  <c r="K76" i="13"/>
  <c r="J8" i="37"/>
  <c r="K8" i="37"/>
  <c r="J9" i="37"/>
  <c r="K9" i="37"/>
  <c r="J36" i="37"/>
  <c r="J37" i="37"/>
  <c r="L9" i="37" l="1"/>
  <c r="L8" i="37"/>
  <c r="L76" i="33"/>
  <c r="L119" i="18"/>
  <c r="L97" i="33"/>
  <c r="L97" i="29"/>
  <c r="L76" i="29"/>
  <c r="D77" i="18"/>
  <c r="H68" i="18"/>
  <c r="J68" i="18"/>
  <c r="J66" i="18"/>
  <c r="L29" i="18"/>
  <c r="K79" i="18"/>
  <c r="K77" i="18"/>
  <c r="L22" i="18"/>
  <c r="L76" i="13"/>
  <c r="D97" i="4"/>
  <c r="D76" i="4"/>
  <c r="L97" i="37"/>
  <c r="K68" i="18"/>
  <c r="L76" i="37"/>
  <c r="K87" i="18"/>
  <c r="K89" i="18"/>
  <c r="L97" i="13"/>
  <c r="H100" i="18"/>
  <c r="J100" i="18"/>
  <c r="L100" i="18" s="1"/>
  <c r="J89" i="18"/>
  <c r="H89" i="18"/>
  <c r="H79" i="18"/>
  <c r="J79" i="18"/>
  <c r="I97" i="4"/>
  <c r="I76" i="4"/>
  <c r="L111" i="18"/>
  <c r="H34" i="37"/>
  <c r="H116" i="37"/>
  <c r="D114" i="37"/>
  <c r="D116" i="37"/>
  <c r="J124" i="37"/>
  <c r="H76" i="4"/>
  <c r="H97" i="4"/>
  <c r="K12" i="37"/>
  <c r="K7" i="37"/>
  <c r="H113" i="37"/>
  <c r="H117" i="37"/>
  <c r="J88" i="37"/>
  <c r="K75" i="37"/>
  <c r="K108" i="37"/>
  <c r="K96" i="37"/>
  <c r="K67" i="37"/>
  <c r="J35" i="37"/>
  <c r="J10" i="37"/>
  <c r="D7" i="37"/>
  <c r="K135" i="37"/>
  <c r="K134" i="37"/>
  <c r="K122" i="37"/>
  <c r="D122" i="37"/>
  <c r="H114" i="37"/>
  <c r="H112" i="37"/>
  <c r="J121" i="37"/>
  <c r="H121" i="37"/>
  <c r="K114" i="37"/>
  <c r="K107" i="37"/>
  <c r="K99" i="37"/>
  <c r="J125" i="37"/>
  <c r="K116" i="37"/>
  <c r="K78" i="37"/>
  <c r="D8" i="37"/>
  <c r="H108" i="37"/>
  <c r="D67" i="37"/>
  <c r="K110" i="37"/>
  <c r="J86" i="37"/>
  <c r="K28" i="37"/>
  <c r="H7" i="37"/>
  <c r="D135" i="37"/>
  <c r="H124" i="37"/>
  <c r="J110" i="37"/>
  <c r="D108" i="37"/>
  <c r="D28" i="37"/>
  <c r="D125" i="37"/>
  <c r="K113" i="37"/>
  <c r="J108" i="37"/>
  <c r="D34" i="37"/>
  <c r="K10" i="37"/>
  <c r="K125" i="37"/>
  <c r="J117" i="37"/>
  <c r="J113" i="37"/>
  <c r="D110" i="37"/>
  <c r="J134" i="37"/>
  <c r="H35" i="37"/>
  <c r="J28" i="37"/>
  <c r="K11" i="37"/>
  <c r="J122" i="37"/>
  <c r="J116" i="37"/>
  <c r="K109" i="37"/>
  <c r="D35" i="37"/>
  <c r="J12" i="37"/>
  <c r="J7" i="37"/>
  <c r="H75" i="37"/>
  <c r="D48" i="37"/>
  <c r="K121" i="37"/>
  <c r="J67" i="37"/>
  <c r="H125" i="37"/>
  <c r="D124" i="37"/>
  <c r="H96" i="37"/>
  <c r="K88" i="37"/>
  <c r="J34" i="37"/>
  <c r="D9" i="37"/>
  <c r="J107" i="37"/>
  <c r="D107" i="37"/>
  <c r="K124" i="37"/>
  <c r="D99" i="37"/>
  <c r="D134" i="37"/>
  <c r="D120" i="37"/>
  <c r="J78" i="37"/>
  <c r="D78" i="37"/>
  <c r="J75" i="37"/>
  <c r="D75" i="37"/>
  <c r="J112" i="37"/>
  <c r="D112" i="37"/>
  <c r="J109" i="37"/>
  <c r="J135" i="37"/>
  <c r="K120" i="37"/>
  <c r="J99" i="37"/>
  <c r="J96" i="37"/>
  <c r="D96" i="37"/>
  <c r="K86" i="37"/>
  <c r="J120" i="37"/>
  <c r="J114" i="37"/>
  <c r="H109" i="37"/>
  <c r="D86" i="37"/>
  <c r="K117" i="37"/>
  <c r="K112" i="37"/>
  <c r="D88" i="37"/>
  <c r="H11" i="37"/>
  <c r="D10" i="37"/>
  <c r="K35" i="37"/>
  <c r="D57" i="37"/>
  <c r="D54" i="37"/>
  <c r="K34" i="37"/>
  <c r="H12" i="37"/>
  <c r="K37" i="37"/>
  <c r="D37" i="37"/>
  <c r="H10" i="37"/>
  <c r="K36" i="37"/>
  <c r="D36" i="37"/>
  <c r="J11" i="37"/>
  <c r="L122" i="37" l="1"/>
  <c r="J76" i="4"/>
  <c r="L114" i="37"/>
  <c r="L79" i="18"/>
  <c r="D77" i="37"/>
  <c r="H29" i="37"/>
  <c r="J29" i="37"/>
  <c r="D100" i="37"/>
  <c r="L68" i="18"/>
  <c r="L89" i="18"/>
  <c r="K98" i="37"/>
  <c r="H66" i="18"/>
  <c r="K66" i="18"/>
  <c r="L66" i="18" s="1"/>
  <c r="K77" i="37"/>
  <c r="J79" i="37"/>
  <c r="L110" i="37"/>
  <c r="J97" i="4"/>
  <c r="J100" i="37"/>
  <c r="J66" i="37"/>
  <c r="H87" i="18"/>
  <c r="J87" i="18"/>
  <c r="L87" i="18" s="1"/>
  <c r="H77" i="18"/>
  <c r="J77" i="18"/>
  <c r="L77" i="18" s="1"/>
  <c r="J98" i="18"/>
  <c r="L98" i="18" s="1"/>
  <c r="H98" i="18"/>
  <c r="L116" i="37"/>
  <c r="D89" i="37"/>
  <c r="K22" i="37"/>
  <c r="D49" i="37"/>
  <c r="J22" i="37"/>
  <c r="H22" i="37"/>
  <c r="K29" i="37"/>
  <c r="D29" i="37"/>
  <c r="D22" i="37"/>
  <c r="D87" i="37"/>
  <c r="D56" i="37"/>
  <c r="L88" i="37"/>
  <c r="L124" i="37"/>
  <c r="L12" i="37"/>
  <c r="L78" i="37"/>
  <c r="K111" i="37"/>
  <c r="L7" i="37"/>
  <c r="L135" i="37"/>
  <c r="D53" i="37"/>
  <c r="L28" i="37"/>
  <c r="L96" i="37"/>
  <c r="L34" i="37"/>
  <c r="L109" i="37"/>
  <c r="L67" i="37"/>
  <c r="L99" i="37"/>
  <c r="L108" i="37"/>
  <c r="L134" i="37"/>
  <c r="L10" i="37"/>
  <c r="D47" i="37"/>
  <c r="L107" i="37"/>
  <c r="L75" i="37"/>
  <c r="K119" i="37"/>
  <c r="H111" i="37"/>
  <c r="L86" i="37"/>
  <c r="L121" i="37"/>
  <c r="H119" i="37"/>
  <c r="L35" i="37"/>
  <c r="L120" i="37"/>
  <c r="L11" i="37"/>
  <c r="D119" i="37"/>
  <c r="L117" i="37"/>
  <c r="L125" i="37"/>
  <c r="L113" i="37"/>
  <c r="J111" i="37"/>
  <c r="D111" i="37"/>
  <c r="D66" i="37"/>
  <c r="D98" i="37"/>
  <c r="J119" i="37"/>
  <c r="L112" i="37"/>
  <c r="L29" i="37" l="1"/>
  <c r="K79" i="37"/>
  <c r="L79" i="37" s="1"/>
  <c r="K100" i="37"/>
  <c r="L100" i="37" s="1"/>
  <c r="K87" i="37"/>
  <c r="K89" i="37"/>
  <c r="H68" i="37"/>
  <c r="H79" i="37"/>
  <c r="H100" i="37"/>
  <c r="H77" i="37"/>
  <c r="H98" i="37"/>
  <c r="L22" i="37"/>
  <c r="J68" i="37"/>
  <c r="K68" i="37"/>
  <c r="H89" i="37"/>
  <c r="J89" i="37"/>
  <c r="L111" i="37"/>
  <c r="L119" i="37"/>
  <c r="H87" i="37" l="1"/>
  <c r="L89" i="37"/>
  <c r="J98" i="37"/>
  <c r="L98" i="37" s="1"/>
  <c r="J77" i="37"/>
  <c r="L77" i="37" s="1"/>
  <c r="L68" i="37"/>
  <c r="J87" i="37"/>
  <c r="L87" i="37" s="1"/>
  <c r="H66" i="37"/>
  <c r="K66" i="37"/>
  <c r="L66" i="37" s="1"/>
  <c r="G14" i="58" l="1"/>
  <c r="C14" i="58"/>
  <c r="B13" i="58"/>
  <c r="F13" i="58"/>
  <c r="F22" i="58"/>
  <c r="B22" i="58"/>
  <c r="G21" i="58"/>
  <c r="C21" i="58"/>
  <c r="F17" i="58"/>
  <c r="B17" i="58"/>
  <c r="F28" i="58"/>
  <c r="B28" i="58"/>
  <c r="C26" i="58"/>
  <c r="G26" i="58"/>
  <c r="F29" i="58"/>
  <c r="B29" i="58"/>
  <c r="F11" i="58"/>
  <c r="B11" i="58"/>
  <c r="C13" i="58"/>
  <c r="G13" i="58"/>
  <c r="F20" i="58"/>
  <c r="B20" i="58"/>
  <c r="G22" i="58"/>
  <c r="C22" i="58"/>
  <c r="G17" i="58"/>
  <c r="C17" i="58"/>
  <c r="G28" i="58"/>
  <c r="C28" i="58"/>
  <c r="G29" i="58"/>
  <c r="C29" i="58"/>
  <c r="G11" i="58"/>
  <c r="C11" i="58"/>
  <c r="B12" i="58"/>
  <c r="F12" i="58"/>
  <c r="B10" i="58"/>
  <c r="F10" i="58"/>
  <c r="F9" i="58"/>
  <c r="B9" i="58"/>
  <c r="F19" i="58"/>
  <c r="B19" i="58"/>
  <c r="G20" i="58"/>
  <c r="C20" i="58"/>
  <c r="F18" i="58"/>
  <c r="B18" i="58"/>
  <c r="F27" i="58"/>
  <c r="B27" i="58"/>
  <c r="F30" i="58"/>
  <c r="B30" i="58"/>
  <c r="F25" i="58"/>
  <c r="B25" i="58"/>
  <c r="C12" i="58"/>
  <c r="G12" i="58"/>
  <c r="F14" i="58"/>
  <c r="B14" i="58"/>
  <c r="G10" i="58"/>
  <c r="C10" i="58"/>
  <c r="C9" i="58"/>
  <c r="G9" i="58"/>
  <c r="G19" i="58"/>
  <c r="C19" i="58"/>
  <c r="G18" i="58"/>
  <c r="C18" i="58"/>
  <c r="F21" i="58"/>
  <c r="B21" i="58"/>
  <c r="G27" i="58"/>
  <c r="C27" i="58"/>
  <c r="G30" i="58"/>
  <c r="C30" i="58"/>
  <c r="F26" i="58"/>
  <c r="B26" i="58"/>
  <c r="G25" i="58"/>
  <c r="C25" i="58"/>
  <c r="C8" i="58" l="1"/>
  <c r="D51" i="22" l="1"/>
  <c r="D51" i="39"/>
  <c r="D52" i="39"/>
  <c r="D52" i="22"/>
  <c r="G31" i="4"/>
  <c r="G23" i="4" l="1"/>
  <c r="G24" i="4"/>
  <c r="G30" i="4"/>
  <c r="G25" i="4"/>
  <c r="G32" i="4"/>
  <c r="D32" i="4"/>
  <c r="D24" i="4"/>
  <c r="I23" i="37"/>
  <c r="I25" i="37"/>
  <c r="I25" i="18"/>
  <c r="I30" i="37"/>
  <c r="I30" i="18"/>
  <c r="I31" i="37"/>
  <c r="I31" i="18"/>
  <c r="G26" i="4"/>
  <c r="D25" i="4"/>
  <c r="I24" i="37"/>
  <c r="I24" i="18"/>
  <c r="I32" i="37"/>
  <c r="I32" i="18"/>
  <c r="D30" i="4"/>
  <c r="D31" i="4"/>
  <c r="E29" i="18" l="1"/>
  <c r="E29" i="23"/>
  <c r="E29" i="29"/>
  <c r="E29" i="33"/>
  <c r="E29" i="16"/>
  <c r="E29" i="20"/>
  <c r="E29" i="24"/>
  <c r="E29" i="51"/>
  <c r="E29" i="37"/>
  <c r="E29" i="13"/>
  <c r="I23" i="18"/>
  <c r="D23" i="4"/>
  <c r="I26" i="4"/>
  <c r="H26" i="4"/>
  <c r="F26" i="10"/>
  <c r="F16" i="10"/>
  <c r="F34" i="10"/>
  <c r="I26" i="29"/>
  <c r="I26" i="20"/>
  <c r="I26" i="23"/>
  <c r="I26" i="33"/>
  <c r="I26" i="37"/>
  <c r="I26" i="35"/>
  <c r="I26" i="18"/>
  <c r="G16" i="10"/>
  <c r="G26" i="10"/>
  <c r="G34" i="10"/>
  <c r="M26" i="29" l="1"/>
  <c r="J26" i="4"/>
  <c r="M26" i="20"/>
  <c r="M26" i="23"/>
  <c r="M26" i="35"/>
  <c r="M26" i="37"/>
  <c r="M26" i="33"/>
  <c r="M26" i="18"/>
  <c r="H30" i="58"/>
  <c r="H29" i="58"/>
  <c r="D29" i="58"/>
  <c r="H28" i="58"/>
  <c r="D28" i="58"/>
  <c r="H27" i="58"/>
  <c r="D27" i="58"/>
  <c r="H25" i="58"/>
  <c r="C24" i="58"/>
  <c r="D25" i="58"/>
  <c r="D22" i="58"/>
  <c r="H21" i="58"/>
  <c r="D20" i="58"/>
  <c r="H19" i="58"/>
  <c r="D18" i="58"/>
  <c r="G16" i="58"/>
  <c r="F16" i="58"/>
  <c r="H13" i="58"/>
  <c r="H12" i="58"/>
  <c r="H11" i="58"/>
  <c r="H10" i="58"/>
  <c r="H9" i="58"/>
  <c r="C38" i="58"/>
  <c r="C35" i="58"/>
  <c r="C34" i="58"/>
  <c r="B36" i="58"/>
  <c r="D11" i="58"/>
  <c r="D9" i="58"/>
  <c r="D30" i="58"/>
  <c r="D26" i="58"/>
  <c r="H22" i="58"/>
  <c r="H20" i="58"/>
  <c r="H18" i="58"/>
  <c r="H14" i="58"/>
  <c r="D13" i="58"/>
  <c r="G8" i="58"/>
  <c r="B24" i="58" l="1"/>
  <c r="D24" i="58" s="1"/>
  <c r="B37" i="58"/>
  <c r="B34" i="58"/>
  <c r="D34" i="58" s="1"/>
  <c r="B38" i="58"/>
  <c r="D38" i="58" s="1"/>
  <c r="C37" i="58"/>
  <c r="B35" i="58"/>
  <c r="D35" i="58" s="1"/>
  <c r="C36" i="58"/>
  <c r="D36" i="58" s="1"/>
  <c r="H26" i="58"/>
  <c r="C33" i="58"/>
  <c r="C16" i="58"/>
  <c r="G24" i="58"/>
  <c r="H16" i="58"/>
  <c r="B8" i="58"/>
  <c r="D8" i="58" s="1"/>
  <c r="B33" i="58"/>
  <c r="H17" i="58"/>
  <c r="D10" i="58"/>
  <c r="D12" i="58"/>
  <c r="D14" i="58"/>
  <c r="B16" i="58"/>
  <c r="D17" i="58"/>
  <c r="D19" i="58"/>
  <c r="D21" i="58"/>
  <c r="F8" i="58"/>
  <c r="H8" i="58" s="1"/>
  <c r="F24" i="58"/>
  <c r="D16" i="58" l="1"/>
  <c r="C32" i="58"/>
  <c r="G33" i="58" s="1"/>
  <c r="D37" i="58"/>
  <c r="D33" i="58"/>
  <c r="H24" i="58"/>
  <c r="B32" i="58"/>
  <c r="G34" i="58" l="1"/>
  <c r="G37" i="58"/>
  <c r="G35" i="58"/>
  <c r="G36" i="58"/>
  <c r="D32" i="58"/>
  <c r="G38" i="58"/>
  <c r="F36" i="58"/>
  <c r="F35" i="58"/>
  <c r="F33" i="58"/>
  <c r="H33" i="58" s="1"/>
  <c r="F37" i="58"/>
  <c r="F38" i="58"/>
  <c r="F34" i="58"/>
  <c r="H37" i="58" l="1"/>
  <c r="H34" i="58"/>
  <c r="H36" i="58"/>
  <c r="G32" i="58"/>
  <c r="H38" i="58"/>
  <c r="H35" i="58"/>
  <c r="F32" i="58"/>
  <c r="H32" i="58" l="1"/>
  <c r="E50" i="39" l="1"/>
  <c r="E50" i="22"/>
  <c r="E52" i="39"/>
  <c r="E52" i="22"/>
  <c r="E51" i="22"/>
  <c r="E51" i="39"/>
  <c r="L51" i="10" l="1"/>
  <c r="H11" i="10"/>
  <c r="H16" i="10"/>
  <c r="H26" i="10"/>
  <c r="G56" i="10"/>
  <c r="G60" i="10"/>
  <c r="F60" i="10" l="1"/>
  <c r="F56" i="10"/>
  <c r="K28" i="10" l="1"/>
  <c r="J28" i="10"/>
  <c r="D50" i="39" l="1"/>
  <c r="K9" i="33"/>
  <c r="K9" i="29"/>
  <c r="K8" i="51"/>
  <c r="K8" i="29"/>
  <c r="K9" i="41"/>
  <c r="K8" i="33"/>
  <c r="K8" i="41"/>
  <c r="K9" i="51"/>
  <c r="K8" i="25"/>
  <c r="K8" i="24"/>
  <c r="K9" i="25"/>
  <c r="K9" i="24"/>
  <c r="K8" i="22"/>
  <c r="K9" i="22"/>
  <c r="K9" i="20"/>
  <c r="K8" i="20"/>
  <c r="K8" i="19"/>
  <c r="J36" i="13"/>
  <c r="K9" i="19"/>
  <c r="K39" i="13"/>
  <c r="K37" i="13"/>
  <c r="J39" i="13"/>
  <c r="J37" i="13"/>
  <c r="K36" i="13"/>
  <c r="K8" i="13"/>
  <c r="K9" i="13"/>
  <c r="D22" i="16"/>
  <c r="C7" i="4" l="1"/>
  <c r="F116" i="4"/>
  <c r="C28" i="4"/>
  <c r="C99" i="4"/>
  <c r="B10" i="4"/>
  <c r="B20" i="10" s="1"/>
  <c r="F34" i="4"/>
  <c r="C34" i="4"/>
  <c r="C12" i="4"/>
  <c r="E10" i="4"/>
  <c r="F20" i="10" s="1"/>
  <c r="B86" i="4"/>
  <c r="E121" i="4"/>
  <c r="C88" i="4"/>
  <c r="B54" i="4"/>
  <c r="C49" i="4"/>
  <c r="F68" i="4"/>
  <c r="B110" i="4"/>
  <c r="F109" i="4"/>
  <c r="B36" i="4"/>
  <c r="B16" i="10" s="1"/>
  <c r="C107" i="4"/>
  <c r="E86" i="4"/>
  <c r="B89" i="4"/>
  <c r="B23" i="10" s="1"/>
  <c r="B75" i="4"/>
  <c r="C35" i="4"/>
  <c r="B137" i="4"/>
  <c r="B44" i="10" s="1"/>
  <c r="C86" i="4"/>
  <c r="F7" i="4"/>
  <c r="C8" i="4"/>
  <c r="C68" i="4"/>
  <c r="F79" i="4"/>
  <c r="C110" i="4"/>
  <c r="B116" i="4"/>
  <c r="E34" i="4"/>
  <c r="F31" i="10" s="1"/>
  <c r="F86" i="4"/>
  <c r="E11" i="4"/>
  <c r="F30" i="10" s="1"/>
  <c r="E12" i="4"/>
  <c r="F41" i="10" s="1"/>
  <c r="C112" i="4"/>
  <c r="E107" i="4"/>
  <c r="E134" i="4"/>
  <c r="F15" i="10" s="1"/>
  <c r="C96" i="4"/>
  <c r="C89" i="4"/>
  <c r="E117" i="4"/>
  <c r="C39" i="4"/>
  <c r="C75" i="4"/>
  <c r="E75" i="4"/>
  <c r="F96" i="4"/>
  <c r="C57" i="4"/>
  <c r="B34" i="4"/>
  <c r="B58" i="4"/>
  <c r="C114" i="4"/>
  <c r="B8" i="4"/>
  <c r="F107" i="4"/>
  <c r="F12" i="4"/>
  <c r="C11" i="4"/>
  <c r="E96" i="4"/>
  <c r="C79" i="4"/>
  <c r="B49" i="4"/>
  <c r="E100" i="4"/>
  <c r="B108" i="4"/>
  <c r="C124" i="4"/>
  <c r="F117" i="4"/>
  <c r="C116" i="4"/>
  <c r="C120" i="4"/>
  <c r="F100" i="4"/>
  <c r="B114" i="4"/>
  <c r="B39" i="4"/>
  <c r="B11" i="4"/>
  <c r="B30" i="10" s="1"/>
  <c r="B113" i="4"/>
  <c r="E108" i="4"/>
  <c r="E113" i="4"/>
  <c r="B107" i="4"/>
  <c r="B37" i="4"/>
  <c r="B26" i="10" s="1"/>
  <c r="C37" i="4"/>
  <c r="F114" i="4"/>
  <c r="C54" i="4"/>
  <c r="B79" i="4"/>
  <c r="C58" i="4"/>
  <c r="B68" i="4"/>
  <c r="B13" i="10" s="1"/>
  <c r="F122" i="4"/>
  <c r="F11" i="4"/>
  <c r="C134" i="4"/>
  <c r="E35" i="4"/>
  <c r="F42" i="10" s="1"/>
  <c r="B96" i="4"/>
  <c r="B120" i="4"/>
  <c r="C100" i="4"/>
  <c r="B109" i="4"/>
  <c r="F108" i="4"/>
  <c r="E122" i="4"/>
  <c r="F136" i="4"/>
  <c r="C55" i="4"/>
  <c r="B112" i="4"/>
  <c r="B99" i="4"/>
  <c r="C122" i="4"/>
  <c r="C135" i="4"/>
  <c r="B78" i="4"/>
  <c r="F121" i="4"/>
  <c r="E112" i="4"/>
  <c r="F35" i="4"/>
  <c r="B122" i="4"/>
  <c r="B67" i="4"/>
  <c r="E89" i="4"/>
  <c r="F23" i="10" s="1"/>
  <c r="B124" i="4"/>
  <c r="B125" i="4"/>
  <c r="B28" i="4"/>
  <c r="D28" i="4" s="1"/>
  <c r="B35" i="4"/>
  <c r="F112" i="4"/>
  <c r="F89" i="4"/>
  <c r="F125" i="4"/>
  <c r="C9" i="4"/>
  <c r="E136" i="4"/>
  <c r="B9" i="4"/>
  <c r="B121" i="4"/>
  <c r="F75" i="4"/>
  <c r="B88" i="4"/>
  <c r="E135" i="4"/>
  <c r="F25" i="10" s="1"/>
  <c r="B136" i="4"/>
  <c r="B33" i="10" s="1"/>
  <c r="C109" i="4"/>
  <c r="E124" i="4"/>
  <c r="F113" i="4"/>
  <c r="C121" i="4"/>
  <c r="C48" i="4"/>
  <c r="E109" i="4"/>
  <c r="B134" i="4"/>
  <c r="B15" i="10" s="1"/>
  <c r="C113" i="4"/>
  <c r="C36" i="4"/>
  <c r="C136" i="4"/>
  <c r="C137" i="4"/>
  <c r="C78" i="4"/>
  <c r="F134" i="4"/>
  <c r="E68" i="4"/>
  <c r="F13" i="10" s="1"/>
  <c r="B100" i="4"/>
  <c r="E125" i="4"/>
  <c r="B7" i="4"/>
  <c r="B9" i="10" s="1"/>
  <c r="C10" i="4"/>
  <c r="B55" i="4"/>
  <c r="B12" i="4"/>
  <c r="B41" i="10" s="1"/>
  <c r="B135" i="4"/>
  <c r="B25" i="10" s="1"/>
  <c r="B57" i="4"/>
  <c r="E7" i="4"/>
  <c r="F9" i="10" s="1"/>
  <c r="F10" i="4"/>
  <c r="E114" i="4"/>
  <c r="F135" i="4"/>
  <c r="B48" i="4"/>
  <c r="E79" i="4"/>
  <c r="C67" i="4"/>
  <c r="C108" i="4"/>
  <c r="C125" i="4"/>
  <c r="E116" i="4"/>
  <c r="F124" i="4"/>
  <c r="G16" i="9"/>
  <c r="G57" i="9" s="1"/>
  <c r="H41" i="9"/>
  <c r="C39" i="9"/>
  <c r="H40" i="9"/>
  <c r="G10" i="9"/>
  <c r="M60" i="8" s="1"/>
  <c r="G39" i="9"/>
  <c r="H19" i="9"/>
  <c r="G17" i="9"/>
  <c r="H10" i="9"/>
  <c r="N60" i="8" s="1"/>
  <c r="H13" i="9"/>
  <c r="H54" i="9" s="1"/>
  <c r="E28" i="24"/>
  <c r="E28" i="51"/>
  <c r="E28" i="23"/>
  <c r="E28" i="29"/>
  <c r="E28" i="33"/>
  <c r="E28" i="16"/>
  <c r="E28" i="25"/>
  <c r="G14" i="9"/>
  <c r="G15" i="9"/>
  <c r="G56" i="9" s="1"/>
  <c r="H20" i="9"/>
  <c r="C37" i="9"/>
  <c r="G18" i="9"/>
  <c r="B42" i="9"/>
  <c r="B43" i="9"/>
  <c r="C43" i="9"/>
  <c r="C36" i="9"/>
  <c r="G22" i="9"/>
  <c r="C41" i="9"/>
  <c r="H42" i="9"/>
  <c r="H68" i="9" s="1"/>
  <c r="H30" i="9"/>
  <c r="H14" i="9"/>
  <c r="H38" i="9"/>
  <c r="G12" i="9"/>
  <c r="C38" i="9"/>
  <c r="G21" i="9"/>
  <c r="M70" i="8" s="1"/>
  <c r="H21" i="9"/>
  <c r="N70" i="8" s="1"/>
  <c r="G24" i="9"/>
  <c r="G30" i="9"/>
  <c r="G13" i="9"/>
  <c r="G54" i="9" s="1"/>
  <c r="H37" i="9"/>
  <c r="H11" i="9"/>
  <c r="H39" i="9"/>
  <c r="H36" i="9"/>
  <c r="C42" i="9"/>
  <c r="G11" i="9"/>
  <c r="H12" i="9"/>
  <c r="C40" i="9"/>
  <c r="G23" i="9"/>
  <c r="G25" i="9"/>
  <c r="G66" i="9" s="1"/>
  <c r="H43" i="9"/>
  <c r="G27" i="9"/>
  <c r="G29" i="9"/>
  <c r="M77" i="8" s="1"/>
  <c r="G37" i="9"/>
  <c r="H23" i="9"/>
  <c r="G20" i="9"/>
  <c r="B37" i="9"/>
  <c r="C10" i="9"/>
  <c r="B41" i="9"/>
  <c r="B38" i="9"/>
  <c r="D50" i="22"/>
  <c r="K135" i="26"/>
  <c r="K7" i="35"/>
  <c r="H29" i="29"/>
  <c r="K121" i="13"/>
  <c r="H121" i="33"/>
  <c r="H29" i="20"/>
  <c r="H125" i="33"/>
  <c r="H68" i="29"/>
  <c r="K113" i="33"/>
  <c r="H68" i="35"/>
  <c r="H29" i="13"/>
  <c r="K68" i="20"/>
  <c r="K12" i="29"/>
  <c r="J86" i="29"/>
  <c r="K108" i="33"/>
  <c r="H22" i="33"/>
  <c r="K68" i="33"/>
  <c r="H35" i="29"/>
  <c r="H34" i="13"/>
  <c r="H121" i="27"/>
  <c r="D55" i="39"/>
  <c r="K89" i="27"/>
  <c r="K108" i="27"/>
  <c r="H121" i="35"/>
  <c r="K22" i="51"/>
  <c r="K135" i="34"/>
  <c r="K134" i="26"/>
  <c r="K113" i="29"/>
  <c r="H100" i="29"/>
  <c r="K137" i="26"/>
  <c r="K116" i="29"/>
  <c r="J79" i="29"/>
  <c r="K28" i="51"/>
  <c r="H89" i="29"/>
  <c r="K12" i="33"/>
  <c r="K116" i="33"/>
  <c r="K29" i="51"/>
  <c r="H34" i="33"/>
  <c r="H12" i="33"/>
  <c r="H79" i="27"/>
  <c r="H125" i="29"/>
  <c r="K109" i="20"/>
  <c r="K108" i="23"/>
  <c r="D55" i="22"/>
  <c r="K22" i="23"/>
  <c r="K100" i="27"/>
  <c r="K107" i="33"/>
  <c r="K100" i="33"/>
  <c r="K75" i="33"/>
  <c r="K122" i="33"/>
  <c r="H86" i="35"/>
  <c r="K114" i="33"/>
  <c r="H29" i="33"/>
  <c r="D58" i="39"/>
  <c r="D58" i="22"/>
  <c r="H75" i="33"/>
  <c r="D37" i="13"/>
  <c r="K89" i="20"/>
  <c r="H100" i="20"/>
  <c r="K89" i="23"/>
  <c r="K68" i="23"/>
  <c r="K28" i="24"/>
  <c r="H135" i="26"/>
  <c r="H22" i="29"/>
  <c r="K113" i="35"/>
  <c r="K12" i="35"/>
  <c r="K109" i="35"/>
  <c r="H12" i="35"/>
  <c r="H96" i="33"/>
  <c r="H117" i="33"/>
  <c r="K100" i="20"/>
  <c r="K28" i="25"/>
  <c r="C20" i="9"/>
  <c r="K136" i="34"/>
  <c r="K96" i="33"/>
  <c r="H35" i="33"/>
  <c r="D49" i="33"/>
  <c r="K117" i="33"/>
  <c r="H100" i="27"/>
  <c r="H109" i="35"/>
  <c r="K28" i="23"/>
  <c r="K124" i="33"/>
  <c r="H114" i="33"/>
  <c r="K113" i="20"/>
  <c r="K109" i="27"/>
  <c r="K89" i="33"/>
  <c r="K11" i="35"/>
  <c r="D58" i="33"/>
  <c r="H113" i="35"/>
  <c r="D57" i="16"/>
  <c r="D28" i="16"/>
  <c r="D29" i="16"/>
  <c r="D9" i="16"/>
  <c r="D10" i="16"/>
  <c r="D54" i="16"/>
  <c r="D8" i="16"/>
  <c r="D49" i="16"/>
  <c r="D7" i="16"/>
  <c r="D48" i="16"/>
  <c r="H100" i="23"/>
  <c r="B21" i="10"/>
  <c r="K109" i="23"/>
  <c r="H109" i="27"/>
  <c r="K10" i="35"/>
  <c r="K34" i="13"/>
  <c r="K107" i="13"/>
  <c r="K121" i="23"/>
  <c r="H109" i="23"/>
  <c r="H22" i="23"/>
  <c r="H89" i="35"/>
  <c r="H100" i="33"/>
  <c r="H68" i="33"/>
  <c r="K125" i="33"/>
  <c r="D49" i="39"/>
  <c r="K7" i="13"/>
  <c r="K7" i="19"/>
  <c r="K10" i="29"/>
  <c r="H7" i="29"/>
  <c r="H7" i="33"/>
  <c r="K10" i="33"/>
  <c r="H10" i="13"/>
  <c r="K7" i="23"/>
  <c r="K11" i="33"/>
  <c r="K7" i="29"/>
  <c r="H10" i="35"/>
  <c r="H11" i="13"/>
  <c r="H89" i="20"/>
  <c r="K22" i="13"/>
  <c r="K29" i="13"/>
  <c r="H79" i="13"/>
  <c r="K100" i="13"/>
  <c r="K116" i="13"/>
  <c r="K10" i="13"/>
  <c r="H121" i="13"/>
  <c r="K7" i="20"/>
  <c r="K10" i="20"/>
  <c r="K22" i="24"/>
  <c r="D49" i="26"/>
  <c r="K11" i="29"/>
  <c r="H22" i="35"/>
  <c r="H113" i="29"/>
  <c r="H7" i="35"/>
  <c r="H11" i="35"/>
  <c r="K7" i="33"/>
  <c r="H89" i="33"/>
  <c r="H107" i="33"/>
  <c r="K121" i="33"/>
  <c r="H89" i="13"/>
  <c r="K109" i="13"/>
  <c r="K67" i="13"/>
  <c r="K11" i="13"/>
  <c r="H22" i="20"/>
  <c r="H113" i="33"/>
  <c r="H107" i="35"/>
  <c r="H136" i="26"/>
  <c r="H89" i="27"/>
  <c r="K28" i="29"/>
  <c r="K34" i="29"/>
  <c r="H134" i="26"/>
  <c r="K117" i="29"/>
  <c r="H109" i="20"/>
  <c r="H35" i="35"/>
  <c r="H79" i="23"/>
  <c r="H89" i="23"/>
  <c r="H117" i="23"/>
  <c r="K35" i="29"/>
  <c r="H117" i="29"/>
  <c r="D49" i="13"/>
  <c r="H44" i="9"/>
  <c r="D39" i="13"/>
  <c r="H22" i="13"/>
  <c r="H113" i="20"/>
  <c r="H7" i="13"/>
  <c r="K35" i="13"/>
  <c r="K108" i="13"/>
  <c r="K12" i="13"/>
  <c r="H107" i="13"/>
  <c r="C44" i="9"/>
  <c r="D48" i="13"/>
  <c r="J10" i="13"/>
  <c r="D10" i="13"/>
  <c r="K28" i="13"/>
  <c r="K68" i="13"/>
  <c r="K112" i="13"/>
  <c r="K117" i="13"/>
  <c r="H35" i="13"/>
  <c r="H109" i="13"/>
  <c r="J89" i="13"/>
  <c r="D89" i="13"/>
  <c r="D11" i="13"/>
  <c r="J11" i="13"/>
  <c r="J9" i="19"/>
  <c r="L9" i="19" s="1"/>
  <c r="D9" i="19"/>
  <c r="B35" i="9"/>
  <c r="K113" i="13"/>
  <c r="J9" i="13"/>
  <c r="L9" i="13" s="1"/>
  <c r="D9" i="13"/>
  <c r="H68" i="13"/>
  <c r="J88" i="13"/>
  <c r="D88" i="13"/>
  <c r="H100" i="13"/>
  <c r="H12" i="13"/>
  <c r="C35" i="9"/>
  <c r="H35" i="9"/>
  <c r="G35" i="9"/>
  <c r="D78" i="13"/>
  <c r="J78" i="13"/>
  <c r="J12" i="13"/>
  <c r="D12" i="13"/>
  <c r="K120" i="13"/>
  <c r="J109" i="20"/>
  <c r="K88" i="13"/>
  <c r="H117" i="13"/>
  <c r="D35" i="13"/>
  <c r="J35" i="13"/>
  <c r="J68" i="13"/>
  <c r="K86" i="13"/>
  <c r="K89" i="13"/>
  <c r="J107" i="13"/>
  <c r="D107" i="13"/>
  <c r="D112" i="13"/>
  <c r="J112" i="13"/>
  <c r="J117" i="13"/>
  <c r="D86" i="13"/>
  <c r="J86" i="13"/>
  <c r="J125" i="13"/>
  <c r="G9" i="9"/>
  <c r="D8" i="20"/>
  <c r="J8" i="20"/>
  <c r="L8" i="20" s="1"/>
  <c r="J79" i="13"/>
  <c r="D99" i="13"/>
  <c r="J99" i="13"/>
  <c r="J124" i="13"/>
  <c r="D124" i="13"/>
  <c r="H108" i="13"/>
  <c r="H113" i="13"/>
  <c r="J68" i="20"/>
  <c r="D68" i="20"/>
  <c r="J100" i="20"/>
  <c r="D100" i="20"/>
  <c r="D36" i="13"/>
  <c r="D54" i="13"/>
  <c r="D108" i="13"/>
  <c r="J108" i="13"/>
  <c r="J113" i="13"/>
  <c r="K124" i="13"/>
  <c r="J7" i="20"/>
  <c r="D7" i="20"/>
  <c r="J7" i="13"/>
  <c r="D7" i="13"/>
  <c r="D22" i="13"/>
  <c r="J22" i="13"/>
  <c r="J29" i="13"/>
  <c r="D29" i="13"/>
  <c r="D57" i="13"/>
  <c r="K78" i="13"/>
  <c r="K99" i="13"/>
  <c r="D109" i="13"/>
  <c r="J109" i="13"/>
  <c r="J120" i="13"/>
  <c r="D120" i="13"/>
  <c r="H125" i="13"/>
  <c r="J10" i="20"/>
  <c r="D10" i="20"/>
  <c r="J7" i="19"/>
  <c r="D7" i="19"/>
  <c r="J28" i="20"/>
  <c r="D28" i="20"/>
  <c r="K79" i="20"/>
  <c r="K121" i="20"/>
  <c r="H77" i="20"/>
  <c r="D54" i="22"/>
  <c r="D22" i="23"/>
  <c r="J22" i="23"/>
  <c r="D28" i="24"/>
  <c r="J28" i="24"/>
  <c r="D28" i="25"/>
  <c r="J28" i="25"/>
  <c r="J100" i="27"/>
  <c r="J112" i="23"/>
  <c r="D112" i="23"/>
  <c r="J22" i="24"/>
  <c r="D22" i="24"/>
  <c r="J88" i="27"/>
  <c r="D88" i="27"/>
  <c r="D8" i="22"/>
  <c r="J8" i="22"/>
  <c r="L8" i="22" s="1"/>
  <c r="D29" i="23"/>
  <c r="J29" i="23"/>
  <c r="K112" i="23"/>
  <c r="D7" i="24"/>
  <c r="J7" i="24"/>
  <c r="J22" i="51"/>
  <c r="D22" i="51"/>
  <c r="K11" i="23"/>
  <c r="K35" i="23"/>
  <c r="J117" i="23"/>
  <c r="K29" i="24"/>
  <c r="D48" i="25"/>
  <c r="D9" i="22"/>
  <c r="J9" i="22"/>
  <c r="L9" i="22" s="1"/>
  <c r="K12" i="23"/>
  <c r="K67" i="23"/>
  <c r="D78" i="23"/>
  <c r="K78" i="23"/>
  <c r="J108" i="23"/>
  <c r="D108" i="23"/>
  <c r="H113" i="23"/>
  <c r="J68" i="27"/>
  <c r="K88" i="27"/>
  <c r="D67" i="29"/>
  <c r="K67" i="29"/>
  <c r="J75" i="33"/>
  <c r="D75" i="33"/>
  <c r="D48" i="26"/>
  <c r="K67" i="27"/>
  <c r="J79" i="27"/>
  <c r="J121" i="27"/>
  <c r="D48" i="51"/>
  <c r="D54" i="40"/>
  <c r="J28" i="29"/>
  <c r="D28" i="29"/>
  <c r="D136" i="26"/>
  <c r="J136" i="26"/>
  <c r="H68" i="27"/>
  <c r="H117" i="27"/>
  <c r="D7" i="29"/>
  <c r="J7" i="29"/>
  <c r="J10" i="35"/>
  <c r="J8" i="41"/>
  <c r="L8" i="41" s="1"/>
  <c r="D8" i="41"/>
  <c r="J12" i="29"/>
  <c r="D9" i="41"/>
  <c r="J9" i="41"/>
  <c r="L9" i="41" s="1"/>
  <c r="H12" i="29"/>
  <c r="J109" i="29"/>
  <c r="D109" i="29"/>
  <c r="K120" i="29"/>
  <c r="D68" i="29"/>
  <c r="J68" i="29"/>
  <c r="D86" i="29"/>
  <c r="K86" i="29"/>
  <c r="K89" i="29"/>
  <c r="K107" i="29"/>
  <c r="J112" i="29"/>
  <c r="D112" i="29"/>
  <c r="D116" i="29"/>
  <c r="J116" i="29"/>
  <c r="H121" i="29"/>
  <c r="J7" i="35"/>
  <c r="L7" i="35" s="1"/>
  <c r="K22" i="35"/>
  <c r="K29" i="35"/>
  <c r="J10" i="33"/>
  <c r="D10" i="33"/>
  <c r="J68" i="33"/>
  <c r="D68" i="33"/>
  <c r="J125" i="35"/>
  <c r="D54" i="33"/>
  <c r="J86" i="35"/>
  <c r="J89" i="35"/>
  <c r="J107" i="35"/>
  <c r="D57" i="33"/>
  <c r="K78" i="33"/>
  <c r="K77" i="33"/>
  <c r="K112" i="33"/>
  <c r="K121" i="35"/>
  <c r="J8" i="33"/>
  <c r="L8" i="33" s="1"/>
  <c r="D8" i="33"/>
  <c r="H11" i="33"/>
  <c r="K35" i="33"/>
  <c r="D96" i="33"/>
  <c r="J96" i="33"/>
  <c r="J108" i="33"/>
  <c r="D108" i="33"/>
  <c r="D124" i="33"/>
  <c r="J124" i="33"/>
  <c r="L124" i="33" s="1"/>
  <c r="K110" i="33"/>
  <c r="D116" i="33"/>
  <c r="J116" i="33"/>
  <c r="D54" i="39"/>
  <c r="J8" i="13"/>
  <c r="L8" i="13" s="1"/>
  <c r="D8" i="13"/>
  <c r="J28" i="13"/>
  <c r="D28" i="13"/>
  <c r="J34" i="13"/>
  <c r="D34" i="13"/>
  <c r="D67" i="13"/>
  <c r="J67" i="13"/>
  <c r="K79" i="13"/>
  <c r="D100" i="13"/>
  <c r="J100" i="13"/>
  <c r="J116" i="13"/>
  <c r="D116" i="13"/>
  <c r="J121" i="13"/>
  <c r="D113" i="20"/>
  <c r="J113" i="20"/>
  <c r="K125" i="13"/>
  <c r="J8" i="19"/>
  <c r="L8" i="19" s="1"/>
  <c r="D8" i="19"/>
  <c r="D79" i="20"/>
  <c r="J79" i="20"/>
  <c r="J121" i="20"/>
  <c r="D121" i="20"/>
  <c r="D57" i="22"/>
  <c r="J9" i="20"/>
  <c r="L9" i="20" s="1"/>
  <c r="D9" i="20"/>
  <c r="H68" i="20"/>
  <c r="K22" i="20"/>
  <c r="K29" i="20"/>
  <c r="H79" i="20"/>
  <c r="H121" i="20"/>
  <c r="J113" i="23"/>
  <c r="J125" i="27"/>
  <c r="K7" i="22"/>
  <c r="J12" i="35"/>
  <c r="D49" i="22"/>
  <c r="J10" i="23"/>
  <c r="J34" i="23"/>
  <c r="K113" i="23"/>
  <c r="J125" i="23"/>
  <c r="J8" i="24"/>
  <c r="L8" i="24" s="1"/>
  <c r="D8" i="24"/>
  <c r="J7" i="25"/>
  <c r="D7" i="25"/>
  <c r="D29" i="51"/>
  <c r="J29" i="51"/>
  <c r="J12" i="23"/>
  <c r="J78" i="23"/>
  <c r="K7" i="24"/>
  <c r="D10" i="24"/>
  <c r="J10" i="24"/>
  <c r="H29" i="23"/>
  <c r="J68" i="23"/>
  <c r="K79" i="23"/>
  <c r="J88" i="23"/>
  <c r="D88" i="23"/>
  <c r="K99" i="23"/>
  <c r="J109" i="23"/>
  <c r="K120" i="23"/>
  <c r="K10" i="24"/>
  <c r="D48" i="40"/>
  <c r="J29" i="29"/>
  <c r="D29" i="29"/>
  <c r="D112" i="27"/>
  <c r="J112" i="27"/>
  <c r="J117" i="27"/>
  <c r="D48" i="41"/>
  <c r="K68" i="27"/>
  <c r="K112" i="27"/>
  <c r="K117" i="27"/>
  <c r="J137" i="34"/>
  <c r="L137" i="34" s="1"/>
  <c r="D137" i="34"/>
  <c r="D134" i="26"/>
  <c r="J134" i="26"/>
  <c r="D137" i="26"/>
  <c r="J137" i="26"/>
  <c r="H113" i="27"/>
  <c r="K7" i="51"/>
  <c r="K10" i="51"/>
  <c r="J78" i="29"/>
  <c r="D78" i="29"/>
  <c r="J22" i="29"/>
  <c r="D22" i="29"/>
  <c r="K68" i="29"/>
  <c r="J88" i="29"/>
  <c r="D88" i="29"/>
  <c r="J11" i="33"/>
  <c r="J121" i="29"/>
  <c r="J134" i="34"/>
  <c r="D134" i="34"/>
  <c r="H29" i="35"/>
  <c r="K108" i="29"/>
  <c r="D48" i="34"/>
  <c r="J22" i="35"/>
  <c r="J29" i="35"/>
  <c r="H77" i="29"/>
  <c r="H107" i="29"/>
  <c r="K112" i="29"/>
  <c r="J117" i="29"/>
  <c r="J135" i="34"/>
  <c r="D135" i="34"/>
  <c r="K34" i="35"/>
  <c r="J117" i="35"/>
  <c r="J9" i="33"/>
  <c r="L9" i="33" s="1"/>
  <c r="D9" i="33"/>
  <c r="J78" i="33"/>
  <c r="D78" i="33"/>
  <c r="J22" i="33"/>
  <c r="D22" i="33"/>
  <c r="J29" i="33"/>
  <c r="D29" i="33"/>
  <c r="J67" i="33"/>
  <c r="K79" i="33"/>
  <c r="K86" i="35"/>
  <c r="K89" i="35"/>
  <c r="K107" i="35"/>
  <c r="H117" i="35"/>
  <c r="H77" i="33"/>
  <c r="J99" i="33"/>
  <c r="D99" i="33"/>
  <c r="D109" i="33"/>
  <c r="J109" i="33"/>
  <c r="G44" i="9"/>
  <c r="J112" i="33"/>
  <c r="D112" i="33"/>
  <c r="J117" i="33"/>
  <c r="D48" i="39"/>
  <c r="K28" i="20"/>
  <c r="J89" i="20"/>
  <c r="D89" i="20"/>
  <c r="J28" i="23"/>
  <c r="D28" i="23"/>
  <c r="D48" i="21"/>
  <c r="D57" i="25"/>
  <c r="J11" i="23"/>
  <c r="J35" i="23"/>
  <c r="J8" i="25"/>
  <c r="L8" i="25" s="1"/>
  <c r="D8" i="25"/>
  <c r="J9" i="51"/>
  <c r="L9" i="51" s="1"/>
  <c r="D9" i="51"/>
  <c r="K29" i="23"/>
  <c r="J67" i="23"/>
  <c r="D67" i="23"/>
  <c r="J79" i="23"/>
  <c r="J99" i="23"/>
  <c r="D99" i="23"/>
  <c r="J120" i="23"/>
  <c r="D120" i="23"/>
  <c r="K125" i="23"/>
  <c r="K7" i="25"/>
  <c r="D48" i="22"/>
  <c r="H34" i="23"/>
  <c r="J89" i="23"/>
  <c r="K100" i="23"/>
  <c r="K116" i="23"/>
  <c r="J121" i="23"/>
  <c r="H125" i="23"/>
  <c r="J9" i="24"/>
  <c r="L9" i="24" s="1"/>
  <c r="D9" i="24"/>
  <c r="D54" i="25"/>
  <c r="D99" i="27"/>
  <c r="J99" i="27"/>
  <c r="J113" i="27"/>
  <c r="D57" i="41"/>
  <c r="K113" i="27"/>
  <c r="J7" i="51"/>
  <c r="D7" i="51"/>
  <c r="D10" i="51"/>
  <c r="J10" i="51"/>
  <c r="J34" i="29"/>
  <c r="K78" i="27"/>
  <c r="K120" i="27"/>
  <c r="H125" i="27"/>
  <c r="K7" i="41"/>
  <c r="D10" i="29"/>
  <c r="J10" i="29"/>
  <c r="J89" i="29"/>
  <c r="D89" i="29"/>
  <c r="J11" i="35"/>
  <c r="H10" i="29"/>
  <c r="K22" i="29"/>
  <c r="K29" i="29"/>
  <c r="J120" i="29"/>
  <c r="D120" i="29"/>
  <c r="J107" i="29"/>
  <c r="D107" i="29"/>
  <c r="K137" i="34"/>
  <c r="H34" i="35"/>
  <c r="K78" i="29"/>
  <c r="K99" i="29"/>
  <c r="K109" i="29"/>
  <c r="J125" i="29"/>
  <c r="K134" i="34"/>
  <c r="J34" i="35"/>
  <c r="J68" i="35"/>
  <c r="H28" i="9"/>
  <c r="H79" i="29"/>
  <c r="J113" i="29"/>
  <c r="K125" i="29"/>
  <c r="K35" i="35"/>
  <c r="K68" i="35"/>
  <c r="D48" i="33"/>
  <c r="K117" i="35"/>
  <c r="I68" i="9"/>
  <c r="D67" i="33"/>
  <c r="K67" i="33"/>
  <c r="J79" i="33"/>
  <c r="D79" i="33"/>
  <c r="K125" i="35"/>
  <c r="J28" i="33"/>
  <c r="D28" i="33"/>
  <c r="J34" i="33"/>
  <c r="K86" i="33"/>
  <c r="D122" i="33"/>
  <c r="J122" i="33"/>
  <c r="J113" i="35"/>
  <c r="K22" i="33"/>
  <c r="K29" i="33"/>
  <c r="H79" i="33"/>
  <c r="J88" i="33"/>
  <c r="D88" i="33"/>
  <c r="J100" i="33"/>
  <c r="D100" i="33"/>
  <c r="K120" i="33"/>
  <c r="D113" i="33"/>
  <c r="J113" i="33"/>
  <c r="D57" i="39"/>
  <c r="D54" i="21"/>
  <c r="J22" i="20"/>
  <c r="D22" i="20"/>
  <c r="J29" i="20"/>
  <c r="D29" i="20"/>
  <c r="D48" i="20"/>
  <c r="K77" i="20"/>
  <c r="J7" i="23"/>
  <c r="K88" i="23"/>
  <c r="J35" i="29"/>
  <c r="D7" i="22"/>
  <c r="J7" i="22"/>
  <c r="H121" i="23"/>
  <c r="J29" i="24"/>
  <c r="D29" i="24"/>
  <c r="J89" i="27"/>
  <c r="K10" i="23"/>
  <c r="K34" i="23"/>
  <c r="H68" i="23"/>
  <c r="J100" i="23"/>
  <c r="D116" i="23"/>
  <c r="J116" i="23"/>
  <c r="J108" i="27"/>
  <c r="D108" i="27"/>
  <c r="J28" i="51"/>
  <c r="D28" i="51"/>
  <c r="H35" i="23"/>
  <c r="K117" i="23"/>
  <c r="J9" i="25"/>
  <c r="L9" i="25" s="1"/>
  <c r="D9" i="25"/>
  <c r="J109" i="27"/>
  <c r="D67" i="27"/>
  <c r="J67" i="27"/>
  <c r="K99" i="27"/>
  <c r="K125" i="27"/>
  <c r="K136" i="26"/>
  <c r="J78" i="27"/>
  <c r="D78" i="27"/>
  <c r="D120" i="27"/>
  <c r="J120" i="27"/>
  <c r="J8" i="51"/>
  <c r="L8" i="51" s="1"/>
  <c r="D8" i="51"/>
  <c r="G19" i="9"/>
  <c r="D135" i="26"/>
  <c r="J135" i="26"/>
  <c r="K79" i="27"/>
  <c r="K121" i="27"/>
  <c r="D57" i="40"/>
  <c r="D54" i="41"/>
  <c r="D53" i="41"/>
  <c r="J7" i="41"/>
  <c r="D7" i="41"/>
  <c r="J10" i="41"/>
  <c r="D10" i="41"/>
  <c r="J8" i="29"/>
  <c r="L8" i="29" s="1"/>
  <c r="D8" i="29"/>
  <c r="J11" i="29"/>
  <c r="J99" i="29"/>
  <c r="D99" i="29"/>
  <c r="D120" i="33"/>
  <c r="J120" i="33"/>
  <c r="D9" i="29"/>
  <c r="J9" i="29"/>
  <c r="L9" i="29" s="1"/>
  <c r="H11" i="29"/>
  <c r="H34" i="29"/>
  <c r="J100" i="29"/>
  <c r="D100" i="29"/>
  <c r="J136" i="34"/>
  <c r="D136" i="34"/>
  <c r="J108" i="29"/>
  <c r="D108" i="29"/>
  <c r="J12" i="33"/>
  <c r="D125" i="33"/>
  <c r="J125" i="33"/>
  <c r="J67" i="29"/>
  <c r="D79" i="29"/>
  <c r="K79" i="29"/>
  <c r="K88" i="29"/>
  <c r="K100" i="29"/>
  <c r="K121" i="29"/>
  <c r="J35" i="35"/>
  <c r="K99" i="33"/>
  <c r="H86" i="29"/>
  <c r="H109" i="29"/>
  <c r="K88" i="33"/>
  <c r="J86" i="33"/>
  <c r="D121" i="33"/>
  <c r="J121" i="33"/>
  <c r="J121" i="35"/>
  <c r="J35" i="33"/>
  <c r="D35" i="33"/>
  <c r="J109" i="35"/>
  <c r="H125" i="35"/>
  <c r="J7" i="33"/>
  <c r="D7" i="33"/>
  <c r="H10" i="33"/>
  <c r="K28" i="33"/>
  <c r="K34" i="33"/>
  <c r="H86" i="33"/>
  <c r="J89" i="33"/>
  <c r="D89" i="33"/>
  <c r="J107" i="33"/>
  <c r="J110" i="33"/>
  <c r="D110" i="33"/>
  <c r="K109" i="33"/>
  <c r="H109" i="33"/>
  <c r="J114" i="33"/>
  <c r="D114" i="33"/>
  <c r="G28" i="9"/>
  <c r="G70" i="9" s="1"/>
  <c r="B10" i="10"/>
  <c r="F21" i="10"/>
  <c r="F10" i="10"/>
  <c r="K9" i="16"/>
  <c r="L9" i="16" s="1"/>
  <c r="K8" i="16"/>
  <c r="K22" i="16"/>
  <c r="K7" i="16"/>
  <c r="J8" i="16"/>
  <c r="J9" i="16"/>
  <c r="J22" i="16"/>
  <c r="J28" i="16"/>
  <c r="J29" i="16"/>
  <c r="K10" i="16"/>
  <c r="K29" i="16"/>
  <c r="J10" i="16"/>
  <c r="J7" i="16"/>
  <c r="K28" i="16"/>
  <c r="L29" i="51" l="1"/>
  <c r="H61" i="9"/>
  <c r="N69" i="8"/>
  <c r="G53" i="9"/>
  <c r="M62" i="8"/>
  <c r="L8" i="16"/>
  <c r="G60" i="9"/>
  <c r="M68" i="8"/>
  <c r="G50" i="9"/>
  <c r="G64" i="9"/>
  <c r="M72" i="8"/>
  <c r="G61" i="9"/>
  <c r="M69" i="8"/>
  <c r="H60" i="9"/>
  <c r="N68" i="8"/>
  <c r="H64" i="9"/>
  <c r="N72" i="8"/>
  <c r="H53" i="9"/>
  <c r="N62" i="8"/>
  <c r="G72" i="9"/>
  <c r="M78" i="8"/>
  <c r="H72" i="9"/>
  <c r="N78" i="8"/>
  <c r="H70" i="9"/>
  <c r="E28" i="20"/>
  <c r="H62" i="9"/>
  <c r="H55" i="9"/>
  <c r="H52" i="9"/>
  <c r="G52" i="9"/>
  <c r="H77" i="27"/>
  <c r="K77" i="27"/>
  <c r="H51" i="9"/>
  <c r="G71" i="9"/>
  <c r="M66" i="8"/>
  <c r="G58" i="9"/>
  <c r="M71" i="8"/>
  <c r="G63" i="9"/>
  <c r="M67" i="8"/>
  <c r="G59" i="9"/>
  <c r="D34" i="4"/>
  <c r="K98" i="33"/>
  <c r="C13" i="9"/>
  <c r="C54" i="9" s="1"/>
  <c r="L22" i="51"/>
  <c r="L10" i="41"/>
  <c r="N63" i="8"/>
  <c r="I54" i="9"/>
  <c r="I14" i="9"/>
  <c r="M63" i="8"/>
  <c r="L109" i="20"/>
  <c r="D47" i="39"/>
  <c r="L7" i="51"/>
  <c r="E34" i="37"/>
  <c r="E34" i="13"/>
  <c r="L7" i="41"/>
  <c r="L110" i="33"/>
  <c r="B111" i="4"/>
  <c r="B32" i="10" s="1"/>
  <c r="E111" i="4"/>
  <c r="F32" i="10" s="1"/>
  <c r="F111" i="4"/>
  <c r="B66" i="4"/>
  <c r="E87" i="4"/>
  <c r="E77" i="4"/>
  <c r="C66" i="4"/>
  <c r="F87" i="4"/>
  <c r="F119" i="4"/>
  <c r="C119" i="4"/>
  <c r="B87" i="4"/>
  <c r="B22" i="10" s="1"/>
  <c r="C87" i="4"/>
  <c r="F66" i="4"/>
  <c r="B119" i="4"/>
  <c r="B43" i="10" s="1"/>
  <c r="B47" i="4"/>
  <c r="B11" i="10" s="1"/>
  <c r="F98" i="4"/>
  <c r="C53" i="4"/>
  <c r="C47" i="4"/>
  <c r="C77" i="4"/>
  <c r="E98" i="4"/>
  <c r="C56" i="4"/>
  <c r="E66" i="4"/>
  <c r="C98" i="4"/>
  <c r="E97" i="13" s="1"/>
  <c r="C111" i="4"/>
  <c r="B77" i="4"/>
  <c r="B56" i="4"/>
  <c r="B49" i="10" s="1"/>
  <c r="B53" i="4"/>
  <c r="B38" i="10" s="1"/>
  <c r="E119" i="4"/>
  <c r="F43" i="10" s="1"/>
  <c r="B98" i="4"/>
  <c r="F77" i="4"/>
  <c r="E8" i="74"/>
  <c r="E28" i="18"/>
  <c r="E7" i="72"/>
  <c r="E7" i="74"/>
  <c r="E48" i="72"/>
  <c r="E48" i="74"/>
  <c r="E28" i="37"/>
  <c r="E28" i="13"/>
  <c r="D35" i="4"/>
  <c r="C30" i="9"/>
  <c r="D53" i="40"/>
  <c r="D53" i="21"/>
  <c r="L28" i="51"/>
  <c r="L125" i="35"/>
  <c r="L10" i="51"/>
  <c r="E35" i="13"/>
  <c r="E35" i="37"/>
  <c r="E35" i="33"/>
  <c r="B34" i="10"/>
  <c r="H77" i="13"/>
  <c r="G124" i="4"/>
  <c r="G108" i="4"/>
  <c r="G75" i="4"/>
  <c r="G125" i="4"/>
  <c r="G86" i="4"/>
  <c r="G107" i="4"/>
  <c r="G109" i="4"/>
  <c r="G112" i="4"/>
  <c r="G113" i="4"/>
  <c r="G79" i="4"/>
  <c r="G121" i="4"/>
  <c r="G117" i="4"/>
  <c r="G68" i="4"/>
  <c r="G122" i="4"/>
  <c r="G114" i="4"/>
  <c r="G100" i="4"/>
  <c r="G89" i="4"/>
  <c r="G116" i="4"/>
  <c r="G96" i="4"/>
  <c r="B42" i="10"/>
  <c r="E99" i="18"/>
  <c r="D29" i="4"/>
  <c r="E88" i="18"/>
  <c r="E9" i="18"/>
  <c r="E9" i="72"/>
  <c r="E67" i="18"/>
  <c r="E8" i="18"/>
  <c r="E112" i="18"/>
  <c r="E108" i="18"/>
  <c r="E120" i="18"/>
  <c r="E78" i="18"/>
  <c r="E124" i="18"/>
  <c r="D37" i="4"/>
  <c r="D36" i="4"/>
  <c r="D39" i="4"/>
  <c r="I33" i="18"/>
  <c r="I33" i="37"/>
  <c r="I33" i="33"/>
  <c r="I33" i="35"/>
  <c r="I33" i="29"/>
  <c r="I33" i="23"/>
  <c r="I33" i="20"/>
  <c r="B31" i="10"/>
  <c r="H119" i="20"/>
  <c r="D110" i="4"/>
  <c r="L117" i="35"/>
  <c r="L122" i="33"/>
  <c r="L135" i="26"/>
  <c r="E39" i="13"/>
  <c r="H111" i="35"/>
  <c r="L113" i="35"/>
  <c r="D122" i="4"/>
  <c r="H119" i="35"/>
  <c r="D47" i="34"/>
  <c r="L121" i="13"/>
  <c r="L108" i="33"/>
  <c r="L121" i="35"/>
  <c r="E48" i="37"/>
  <c r="E48" i="18"/>
  <c r="I11" i="37"/>
  <c r="I11" i="18"/>
  <c r="E54" i="37"/>
  <c r="I34" i="37"/>
  <c r="I34" i="18"/>
  <c r="I117" i="37"/>
  <c r="I117" i="18"/>
  <c r="E22" i="37"/>
  <c r="E22" i="18"/>
  <c r="I109" i="37"/>
  <c r="I109" i="18"/>
  <c r="E7" i="37"/>
  <c r="E7" i="18"/>
  <c r="E134" i="37"/>
  <c r="I89" i="37"/>
  <c r="I89" i="18"/>
  <c r="I10" i="37"/>
  <c r="I10" i="18"/>
  <c r="I125" i="37"/>
  <c r="I125" i="18"/>
  <c r="I124" i="37"/>
  <c r="I124" i="18"/>
  <c r="I113" i="37"/>
  <c r="I113" i="18"/>
  <c r="I68" i="37"/>
  <c r="I68" i="18"/>
  <c r="I114" i="37"/>
  <c r="I96" i="37"/>
  <c r="E75" i="37"/>
  <c r="E36" i="37"/>
  <c r="E49" i="37"/>
  <c r="I100" i="37"/>
  <c r="I100" i="18"/>
  <c r="E89" i="37"/>
  <c r="D114" i="4"/>
  <c r="I12" i="37"/>
  <c r="I12" i="18"/>
  <c r="E37" i="37"/>
  <c r="I22" i="37"/>
  <c r="I22" i="18"/>
  <c r="I121" i="37"/>
  <c r="I121" i="18"/>
  <c r="I29" i="37"/>
  <c r="I29" i="18"/>
  <c r="I79" i="37"/>
  <c r="I79" i="18"/>
  <c r="I116" i="37"/>
  <c r="I35" i="37"/>
  <c r="I35" i="18"/>
  <c r="I75" i="37"/>
  <c r="E135" i="37"/>
  <c r="I112" i="37"/>
  <c r="I108" i="37"/>
  <c r="I108" i="18"/>
  <c r="E10" i="37"/>
  <c r="E10" i="18"/>
  <c r="E57" i="37"/>
  <c r="I7" i="37"/>
  <c r="I7" i="18"/>
  <c r="E96" i="37"/>
  <c r="L114" i="33"/>
  <c r="H77" i="23"/>
  <c r="K77" i="23"/>
  <c r="D47" i="21"/>
  <c r="D47" i="20"/>
  <c r="L107" i="29"/>
  <c r="L134" i="26"/>
  <c r="L109" i="23"/>
  <c r="L113" i="33"/>
  <c r="L12" i="33"/>
  <c r="D56" i="22"/>
  <c r="H111" i="20"/>
  <c r="D56" i="41"/>
  <c r="E100" i="37"/>
  <c r="E122" i="37"/>
  <c r="E78" i="37"/>
  <c r="E114" i="37"/>
  <c r="E9" i="37"/>
  <c r="E124" i="37"/>
  <c r="E8" i="37"/>
  <c r="E67" i="37"/>
  <c r="E116" i="37"/>
  <c r="E125" i="37"/>
  <c r="E99" i="37"/>
  <c r="E112" i="37"/>
  <c r="E110" i="37"/>
  <c r="E107" i="37"/>
  <c r="E88" i="37"/>
  <c r="E86" i="37"/>
  <c r="E108" i="37"/>
  <c r="E120" i="37"/>
  <c r="H66" i="27"/>
  <c r="L96" i="33"/>
  <c r="L113" i="29"/>
  <c r="L89" i="23"/>
  <c r="L75" i="33"/>
  <c r="L68" i="20"/>
  <c r="L136" i="34"/>
  <c r="H98" i="20"/>
  <c r="L68" i="33"/>
  <c r="L68" i="23"/>
  <c r="L28" i="24"/>
  <c r="H98" i="29"/>
  <c r="K98" i="29"/>
  <c r="L89" i="20"/>
  <c r="L22" i="23"/>
  <c r="K98" i="20"/>
  <c r="L120" i="33"/>
  <c r="K87" i="29"/>
  <c r="L137" i="26"/>
  <c r="D47" i="40"/>
  <c r="L89" i="27"/>
  <c r="K66" i="27"/>
  <c r="L113" i="20"/>
  <c r="L28" i="23"/>
  <c r="L12" i="29"/>
  <c r="D53" i="13"/>
  <c r="K87" i="33"/>
  <c r="K87" i="23"/>
  <c r="L89" i="33"/>
  <c r="H87" i="29"/>
  <c r="L135" i="34"/>
  <c r="L109" i="27"/>
  <c r="L10" i="29"/>
  <c r="L7" i="33"/>
  <c r="H98" i="27"/>
  <c r="H66" i="23"/>
  <c r="L35" i="29"/>
  <c r="D56" i="39"/>
  <c r="L11" i="35"/>
  <c r="H87" i="35"/>
  <c r="L116" i="29"/>
  <c r="L11" i="29"/>
  <c r="D47" i="41"/>
  <c r="H111" i="13"/>
  <c r="L108" i="27"/>
  <c r="L35" i="23"/>
  <c r="N144" i="8"/>
  <c r="C12" i="9"/>
  <c r="N120" i="8"/>
  <c r="C24" i="9"/>
  <c r="C14" i="9"/>
  <c r="C23" i="9"/>
  <c r="C27" i="9"/>
  <c r="K119" i="20"/>
  <c r="K111" i="13"/>
  <c r="L107" i="33"/>
  <c r="L100" i="33"/>
  <c r="L100" i="20"/>
  <c r="N147" i="8"/>
  <c r="M120" i="8"/>
  <c r="L108" i="13"/>
  <c r="D56" i="40"/>
  <c r="N148" i="8"/>
  <c r="L109" i="35"/>
  <c r="H119" i="23"/>
  <c r="L116" i="33"/>
  <c r="L100" i="27"/>
  <c r="C21" i="9"/>
  <c r="D53" i="22"/>
  <c r="L35" i="33"/>
  <c r="L67" i="29"/>
  <c r="L29" i="20"/>
  <c r="L116" i="23"/>
  <c r="L12" i="35"/>
  <c r="H87" i="27"/>
  <c r="L108" i="23"/>
  <c r="L28" i="25"/>
  <c r="H98" i="13"/>
  <c r="K111" i="29"/>
  <c r="L7" i="16"/>
  <c r="D53" i="16"/>
  <c r="D47" i="33"/>
  <c r="D56" i="25"/>
  <c r="L117" i="33"/>
  <c r="L10" i="35"/>
  <c r="L12" i="13"/>
  <c r="K66" i="35"/>
  <c r="D56" i="16"/>
  <c r="N142" i="8"/>
  <c r="L99" i="23"/>
  <c r="L7" i="20"/>
  <c r="K119" i="13"/>
  <c r="M121" i="8"/>
  <c r="K66" i="23"/>
  <c r="K87" i="35"/>
  <c r="M116" i="8"/>
  <c r="L11" i="33"/>
  <c r="H119" i="13"/>
  <c r="L22" i="16"/>
  <c r="L29" i="16"/>
  <c r="C15" i="9"/>
  <c r="L10" i="16"/>
  <c r="D47" i="16"/>
  <c r="L28" i="16"/>
  <c r="N146" i="8"/>
  <c r="L7" i="13"/>
  <c r="M141" i="8"/>
  <c r="N140" i="8"/>
  <c r="B28" i="9"/>
  <c r="M122" i="8"/>
  <c r="M146" i="8"/>
  <c r="N119" i="8"/>
  <c r="N143" i="8"/>
  <c r="N149" i="8"/>
  <c r="C28" i="9"/>
  <c r="C22" i="9"/>
  <c r="C18" i="9"/>
  <c r="M119" i="8"/>
  <c r="B11" i="9"/>
  <c r="B16" i="9"/>
  <c r="M123" i="8"/>
  <c r="H119" i="33"/>
  <c r="L125" i="33"/>
  <c r="L121" i="23"/>
  <c r="M117" i="8"/>
  <c r="M144" i="8"/>
  <c r="L116" i="13"/>
  <c r="N122" i="8"/>
  <c r="L10" i="33"/>
  <c r="C19" i="9"/>
  <c r="B19" i="9"/>
  <c r="L22" i="13"/>
  <c r="L107" i="13"/>
  <c r="B9" i="9"/>
  <c r="L10" i="13"/>
  <c r="L121" i="33"/>
  <c r="C25" i="9"/>
  <c r="K98" i="27"/>
  <c r="H87" i="23"/>
  <c r="L29" i="24"/>
  <c r="L7" i="23"/>
  <c r="H87" i="33"/>
  <c r="L120" i="29"/>
  <c r="D47" i="22"/>
  <c r="L11" i="23"/>
  <c r="L117" i="29"/>
  <c r="B20" i="9"/>
  <c r="N117" i="8"/>
  <c r="K119" i="23"/>
  <c r="L34" i="13"/>
  <c r="M148" i="8"/>
  <c r="B22" i="9"/>
  <c r="B21" i="9"/>
  <c r="N141" i="8"/>
  <c r="L22" i="24"/>
  <c r="L7" i="19"/>
  <c r="N116" i="8"/>
  <c r="M118" i="8"/>
  <c r="C9" i="9"/>
  <c r="L11" i="13"/>
  <c r="C11" i="9"/>
  <c r="M140" i="8"/>
  <c r="C29" i="9"/>
  <c r="F14" i="10"/>
  <c r="E48" i="39"/>
  <c r="E48" i="16"/>
  <c r="I89" i="20"/>
  <c r="I89" i="13"/>
  <c r="I89" i="29"/>
  <c r="I89" i="35"/>
  <c r="I89" i="33"/>
  <c r="I89" i="27"/>
  <c r="I89" i="23"/>
  <c r="G23" i="10"/>
  <c r="I35" i="23"/>
  <c r="I35" i="29"/>
  <c r="I35" i="35"/>
  <c r="I35" i="33"/>
  <c r="I35" i="13"/>
  <c r="G42" i="10"/>
  <c r="I134" i="26"/>
  <c r="G15" i="10"/>
  <c r="I10" i="35"/>
  <c r="I10" i="29"/>
  <c r="I10" i="33"/>
  <c r="I10" i="13"/>
  <c r="G20" i="10"/>
  <c r="E49" i="39"/>
  <c r="E49" i="16"/>
  <c r="I23" i="33"/>
  <c r="I23" i="13"/>
  <c r="I23" i="23"/>
  <c r="I23" i="29"/>
  <c r="I23" i="35"/>
  <c r="E54" i="39"/>
  <c r="E54" i="16"/>
  <c r="I114" i="33"/>
  <c r="C25" i="10"/>
  <c r="C31" i="10"/>
  <c r="C9" i="10"/>
  <c r="C23" i="10"/>
  <c r="G44" i="10"/>
  <c r="C41" i="10"/>
  <c r="I86" i="29"/>
  <c r="I86" i="33"/>
  <c r="I86" i="35"/>
  <c r="C21" i="10"/>
  <c r="C33" i="10"/>
  <c r="C16" i="10"/>
  <c r="H17" i="9"/>
  <c r="H58" i="9" s="1"/>
  <c r="B15" i="9"/>
  <c r="M149" i="8"/>
  <c r="B12" i="9"/>
  <c r="H18" i="9"/>
  <c r="H59" i="9" s="1"/>
  <c r="M143" i="8"/>
  <c r="N118" i="8"/>
  <c r="G36" i="9"/>
  <c r="G51" i="9" s="1"/>
  <c r="I29" i="33"/>
  <c r="I29" i="20"/>
  <c r="I29" i="23"/>
  <c r="I29" i="29"/>
  <c r="I29" i="13"/>
  <c r="I29" i="35"/>
  <c r="G21" i="10"/>
  <c r="I25" i="20"/>
  <c r="I25" i="29"/>
  <c r="I25" i="33"/>
  <c r="I25" i="13"/>
  <c r="I30" i="23"/>
  <c r="I30" i="29"/>
  <c r="I30" i="35"/>
  <c r="I30" i="33"/>
  <c r="I30" i="13"/>
  <c r="C30" i="10"/>
  <c r="I107" i="13"/>
  <c r="I107" i="29"/>
  <c r="I107" i="35"/>
  <c r="I107" i="33"/>
  <c r="C44" i="10"/>
  <c r="I75" i="33"/>
  <c r="G14" i="10"/>
  <c r="I32" i="13"/>
  <c r="I32" i="20"/>
  <c r="I32" i="23"/>
  <c r="I32" i="29"/>
  <c r="I32" i="33"/>
  <c r="I100" i="13"/>
  <c r="I100" i="20"/>
  <c r="I100" i="23"/>
  <c r="I100" i="27"/>
  <c r="I100" i="29"/>
  <c r="I100" i="33"/>
  <c r="I22" i="23"/>
  <c r="I22" i="29"/>
  <c r="I22" i="35"/>
  <c r="I22" i="33"/>
  <c r="I22" i="20"/>
  <c r="I22" i="13"/>
  <c r="G10" i="10"/>
  <c r="C34" i="10"/>
  <c r="I121" i="20"/>
  <c r="I121" i="13"/>
  <c r="I121" i="23"/>
  <c r="I121" i="35"/>
  <c r="I121" i="27"/>
  <c r="I121" i="33"/>
  <c r="I121" i="29"/>
  <c r="I113" i="20"/>
  <c r="I113" i="23"/>
  <c r="I113" i="13"/>
  <c r="I113" i="27"/>
  <c r="I113" i="35"/>
  <c r="I113" i="33"/>
  <c r="I113" i="29"/>
  <c r="I108" i="13"/>
  <c r="M147" i="8"/>
  <c r="N121" i="8"/>
  <c r="B40" i="9"/>
  <c r="B14" i="9"/>
  <c r="B30" i="9"/>
  <c r="G43" i="9"/>
  <c r="G69" i="9" s="1"/>
  <c r="B36" i="9"/>
  <c r="H22" i="9"/>
  <c r="H63" i="9" s="1"/>
  <c r="C16" i="9"/>
  <c r="B29" i="9"/>
  <c r="H27" i="9"/>
  <c r="H69" i="9" s="1"/>
  <c r="B39" i="9"/>
  <c r="B18" i="9"/>
  <c r="I136" i="26"/>
  <c r="G33" i="10"/>
  <c r="I7" i="29"/>
  <c r="I7" i="33"/>
  <c r="I7" i="35"/>
  <c r="I7" i="13"/>
  <c r="G9" i="10"/>
  <c r="B45" i="10"/>
  <c r="I31" i="35"/>
  <c r="I31" i="13"/>
  <c r="I31" i="33"/>
  <c r="I31" i="23"/>
  <c r="I31" i="29"/>
  <c r="C45" i="10"/>
  <c r="C42" i="10"/>
  <c r="I24" i="13"/>
  <c r="I24" i="33"/>
  <c r="I24" i="23"/>
  <c r="C15" i="10"/>
  <c r="B27" i="9"/>
  <c r="B10" i="9"/>
  <c r="H16" i="9"/>
  <c r="H57" i="9" s="1"/>
  <c r="M142" i="8"/>
  <c r="B44" i="9"/>
  <c r="G42" i="9"/>
  <c r="G68" i="9" s="1"/>
  <c r="H9" i="9"/>
  <c r="H50" i="9" s="1"/>
  <c r="N123" i="8"/>
  <c r="C17" i="9"/>
  <c r="H29" i="9"/>
  <c r="C13" i="10"/>
  <c r="F44" i="10"/>
  <c r="I135" i="26"/>
  <c r="G25" i="10"/>
  <c r="E58" i="39"/>
  <c r="I96" i="33"/>
  <c r="G24" i="10"/>
  <c r="E55" i="39"/>
  <c r="C14" i="10"/>
  <c r="I68" i="20"/>
  <c r="I68" i="23"/>
  <c r="I68" i="27"/>
  <c r="I68" i="29"/>
  <c r="I68" i="35"/>
  <c r="I68" i="33"/>
  <c r="I68" i="13"/>
  <c r="G13" i="10"/>
  <c r="G136" i="4"/>
  <c r="F33" i="10"/>
  <c r="I79" i="13"/>
  <c r="I79" i="20"/>
  <c r="I79" i="23"/>
  <c r="I79" i="33"/>
  <c r="I79" i="27"/>
  <c r="I79" i="29"/>
  <c r="I109" i="20"/>
  <c r="I109" i="13"/>
  <c r="I109" i="27"/>
  <c r="I109" i="35"/>
  <c r="I109" i="29"/>
  <c r="I109" i="23"/>
  <c r="I109" i="33"/>
  <c r="I12" i="29"/>
  <c r="I12" i="33"/>
  <c r="I12" i="35"/>
  <c r="I12" i="13"/>
  <c r="G41" i="10"/>
  <c r="I11" i="13"/>
  <c r="I11" i="35"/>
  <c r="I11" i="33"/>
  <c r="G30" i="10"/>
  <c r="I11" i="29"/>
  <c r="F24" i="10"/>
  <c r="I125" i="13"/>
  <c r="I125" i="27"/>
  <c r="I125" i="23"/>
  <c r="I125" i="35"/>
  <c r="I125" i="29"/>
  <c r="I125" i="33"/>
  <c r="C26" i="10"/>
  <c r="I34" i="13"/>
  <c r="I34" i="35"/>
  <c r="I34" i="23"/>
  <c r="I34" i="29"/>
  <c r="I34" i="33"/>
  <c r="G31" i="10"/>
  <c r="D96" i="4"/>
  <c r="B24" i="10"/>
  <c r="C24" i="10"/>
  <c r="I117" i="13"/>
  <c r="I117" i="23"/>
  <c r="I117" i="35"/>
  <c r="I117" i="29"/>
  <c r="I117" i="33"/>
  <c r="I117" i="27"/>
  <c r="C10" i="10"/>
  <c r="C20" i="10"/>
  <c r="D75" i="4"/>
  <c r="B14" i="10"/>
  <c r="E57" i="39"/>
  <c r="E57" i="16"/>
  <c r="L120" i="27"/>
  <c r="K119" i="27"/>
  <c r="L120" i="23"/>
  <c r="L67" i="23"/>
  <c r="H98" i="33"/>
  <c r="L22" i="35"/>
  <c r="H87" i="20"/>
  <c r="L100" i="13"/>
  <c r="D53" i="39"/>
  <c r="D56" i="33"/>
  <c r="L109" i="29"/>
  <c r="L7" i="29"/>
  <c r="L28" i="29"/>
  <c r="L117" i="23"/>
  <c r="H98" i="23"/>
  <c r="L10" i="20"/>
  <c r="K98" i="13"/>
  <c r="L29" i="13"/>
  <c r="G40" i="9"/>
  <c r="G62" i="9" s="1"/>
  <c r="B17" i="9"/>
  <c r="G41" i="9"/>
  <c r="G65" i="9" s="1"/>
  <c r="B23" i="9"/>
  <c r="H15" i="9"/>
  <c r="H56" i="9" s="1"/>
  <c r="B25" i="9"/>
  <c r="G38" i="9"/>
  <c r="G55" i="9" s="1"/>
  <c r="H25" i="9"/>
  <c r="H66" i="9" s="1"/>
  <c r="B24" i="9"/>
  <c r="H24" i="9"/>
  <c r="H65" i="9" s="1"/>
  <c r="L22" i="20"/>
  <c r="L109" i="33"/>
  <c r="L99" i="33"/>
  <c r="H111" i="29"/>
  <c r="L10" i="23"/>
  <c r="L28" i="13"/>
  <c r="L89" i="35"/>
  <c r="D56" i="13"/>
  <c r="L35" i="35"/>
  <c r="L99" i="29"/>
  <c r="K119" i="33"/>
  <c r="L88" i="33"/>
  <c r="L28" i="33"/>
  <c r="L79" i="33"/>
  <c r="L34" i="29"/>
  <c r="H66" i="33"/>
  <c r="L78" i="33"/>
  <c r="L67" i="13"/>
  <c r="H66" i="35"/>
  <c r="K87" i="27"/>
  <c r="L109" i="13"/>
  <c r="L112" i="13"/>
  <c r="L35" i="13"/>
  <c r="L79" i="29"/>
  <c r="L86" i="29"/>
  <c r="L7" i="22"/>
  <c r="L78" i="27"/>
  <c r="K66" i="33"/>
  <c r="L89" i="29"/>
  <c r="L112" i="27"/>
  <c r="L12" i="23"/>
  <c r="H87" i="13"/>
  <c r="L120" i="13"/>
  <c r="L68" i="13"/>
  <c r="L7" i="25"/>
  <c r="K66" i="20"/>
  <c r="L134" i="34"/>
  <c r="L125" i="27"/>
  <c r="L108" i="29"/>
  <c r="L67" i="27"/>
  <c r="L34" i="35"/>
  <c r="D53" i="25"/>
  <c r="L112" i="33"/>
  <c r="L29" i="33"/>
  <c r="L121" i="29"/>
  <c r="L29" i="29"/>
  <c r="H111" i="23"/>
  <c r="L86" i="35"/>
  <c r="D53" i="33"/>
  <c r="L112" i="29"/>
  <c r="L68" i="29"/>
  <c r="L136" i="26"/>
  <c r="L79" i="27"/>
  <c r="D47" i="25"/>
  <c r="L88" i="27"/>
  <c r="L112" i="23"/>
  <c r="H66" i="20"/>
  <c r="L113" i="13"/>
  <c r="L117" i="13"/>
  <c r="K87" i="20"/>
  <c r="L68" i="35"/>
  <c r="L86" i="33"/>
  <c r="H119" i="29"/>
  <c r="L100" i="29"/>
  <c r="L34" i="33"/>
  <c r="L125" i="29"/>
  <c r="L99" i="27"/>
  <c r="L29" i="35"/>
  <c r="L88" i="29"/>
  <c r="L78" i="29"/>
  <c r="K111" i="27"/>
  <c r="L88" i="23"/>
  <c r="L125" i="23"/>
  <c r="L113" i="23"/>
  <c r="L79" i="20"/>
  <c r="H111" i="33"/>
  <c r="L107" i="35"/>
  <c r="D47" i="51"/>
  <c r="D47" i="26"/>
  <c r="L7" i="24"/>
  <c r="L29" i="23"/>
  <c r="L28" i="20"/>
  <c r="L121" i="27"/>
  <c r="K119" i="35"/>
  <c r="L100" i="23"/>
  <c r="L113" i="27"/>
  <c r="L79" i="23"/>
  <c r="L67" i="33"/>
  <c r="L22" i="33"/>
  <c r="L22" i="29"/>
  <c r="J77" i="29"/>
  <c r="L117" i="27"/>
  <c r="K98" i="23"/>
  <c r="L10" i="24"/>
  <c r="L78" i="23"/>
  <c r="L34" i="23"/>
  <c r="L121" i="20"/>
  <c r="H111" i="27"/>
  <c r="L68" i="27"/>
  <c r="K111" i="20"/>
  <c r="L124" i="13"/>
  <c r="L79" i="13"/>
  <c r="L89" i="13"/>
  <c r="L99" i="13"/>
  <c r="L125" i="13"/>
  <c r="L78" i="13"/>
  <c r="K66" i="13"/>
  <c r="L86" i="13"/>
  <c r="K87" i="13"/>
  <c r="J77" i="13"/>
  <c r="L88" i="13"/>
  <c r="H66" i="13"/>
  <c r="D47" i="13"/>
  <c r="J87" i="35"/>
  <c r="D66" i="33"/>
  <c r="J66" i="33"/>
  <c r="D77" i="27"/>
  <c r="J77" i="27"/>
  <c r="L77" i="27" s="1"/>
  <c r="J98" i="23"/>
  <c r="D98" i="23"/>
  <c r="D111" i="33"/>
  <c r="J111" i="33"/>
  <c r="J111" i="35"/>
  <c r="D87" i="20"/>
  <c r="J87" i="20"/>
  <c r="D66" i="13"/>
  <c r="J66" i="13"/>
  <c r="K111" i="33"/>
  <c r="K111" i="35"/>
  <c r="J111" i="29"/>
  <c r="D111" i="29"/>
  <c r="J111" i="23"/>
  <c r="D111" i="23"/>
  <c r="J77" i="20"/>
  <c r="L77" i="20" s="1"/>
  <c r="D77" i="20"/>
  <c r="J87" i="13"/>
  <c r="D87" i="13"/>
  <c r="J119" i="33"/>
  <c r="D119" i="33"/>
  <c r="J119" i="27"/>
  <c r="D119" i="27"/>
  <c r="J66" i="27"/>
  <c r="D66" i="27"/>
  <c r="D77" i="29"/>
  <c r="K77" i="29"/>
  <c r="D98" i="27"/>
  <c r="J98" i="27"/>
  <c r="J66" i="35"/>
  <c r="D77" i="13"/>
  <c r="K77" i="13"/>
  <c r="D98" i="20"/>
  <c r="J98" i="20"/>
  <c r="J66" i="29"/>
  <c r="J87" i="33"/>
  <c r="D87" i="33"/>
  <c r="D119" i="29"/>
  <c r="J119" i="29"/>
  <c r="D98" i="33"/>
  <c r="J98" i="33"/>
  <c r="L98" i="33" s="1"/>
  <c r="J87" i="29"/>
  <c r="D87" i="29"/>
  <c r="J111" i="27"/>
  <c r="D111" i="27"/>
  <c r="J87" i="23"/>
  <c r="D87" i="23"/>
  <c r="K119" i="29"/>
  <c r="H119" i="27"/>
  <c r="K111" i="23"/>
  <c r="D119" i="13"/>
  <c r="J119" i="13"/>
  <c r="D98" i="13"/>
  <c r="J98" i="13"/>
  <c r="D111" i="13"/>
  <c r="J111" i="13"/>
  <c r="J98" i="29"/>
  <c r="D98" i="29"/>
  <c r="J119" i="35"/>
  <c r="H66" i="29"/>
  <c r="D119" i="23"/>
  <c r="J119" i="23"/>
  <c r="J66" i="23"/>
  <c r="D66" i="23"/>
  <c r="D77" i="33"/>
  <c r="J77" i="33"/>
  <c r="L77" i="33" s="1"/>
  <c r="J77" i="23"/>
  <c r="D77" i="23"/>
  <c r="D66" i="29"/>
  <c r="K66" i="29"/>
  <c r="D87" i="27"/>
  <c r="J87" i="27"/>
  <c r="D119" i="20"/>
  <c r="J119" i="20"/>
  <c r="J111" i="20"/>
  <c r="D111" i="20"/>
  <c r="D66" i="20"/>
  <c r="J66" i="20"/>
  <c r="E88" i="33"/>
  <c r="E108" i="33"/>
  <c r="E22" i="33"/>
  <c r="E57" i="33"/>
  <c r="E99" i="33"/>
  <c r="E9" i="33"/>
  <c r="E48" i="33"/>
  <c r="E110" i="33"/>
  <c r="E122" i="33"/>
  <c r="E75" i="33"/>
  <c r="E116" i="33"/>
  <c r="E10" i="33"/>
  <c r="E79" i="33"/>
  <c r="E58" i="33"/>
  <c r="E49" i="33"/>
  <c r="E54" i="33"/>
  <c r="E7" i="33"/>
  <c r="E89" i="33"/>
  <c r="E100" i="33"/>
  <c r="E125" i="33"/>
  <c r="E68" i="33"/>
  <c r="E124" i="33"/>
  <c r="E96" i="33"/>
  <c r="E8" i="33"/>
  <c r="E78" i="33"/>
  <c r="E67" i="33"/>
  <c r="E112" i="33"/>
  <c r="E109" i="33"/>
  <c r="E114" i="33"/>
  <c r="E121" i="33"/>
  <c r="E120" i="33"/>
  <c r="E113" i="33"/>
  <c r="E99" i="29"/>
  <c r="E9" i="29"/>
  <c r="E48" i="34"/>
  <c r="E86" i="29"/>
  <c r="E134" i="34"/>
  <c r="E68" i="29"/>
  <c r="E88" i="29"/>
  <c r="E108" i="29"/>
  <c r="E116" i="29"/>
  <c r="E22" i="29"/>
  <c r="E10" i="29"/>
  <c r="E79" i="29"/>
  <c r="E137" i="34"/>
  <c r="E135" i="34"/>
  <c r="E7" i="29"/>
  <c r="E89" i="29"/>
  <c r="E100" i="29"/>
  <c r="E107" i="29"/>
  <c r="E136" i="34"/>
  <c r="E8" i="29"/>
  <c r="E78" i="29"/>
  <c r="E67" i="29"/>
  <c r="E112" i="29"/>
  <c r="E109" i="29"/>
  <c r="E120" i="29"/>
  <c r="E9" i="41"/>
  <c r="E48" i="40"/>
  <c r="E48" i="41"/>
  <c r="E10" i="41"/>
  <c r="E57" i="40"/>
  <c r="E57" i="41"/>
  <c r="E54" i="40"/>
  <c r="E54" i="41"/>
  <c r="E7" i="41"/>
  <c r="E8" i="41"/>
  <c r="E99" i="27"/>
  <c r="E9" i="51"/>
  <c r="E48" i="51"/>
  <c r="E88" i="27"/>
  <c r="E108" i="27"/>
  <c r="E22" i="51"/>
  <c r="E10" i="51"/>
  <c r="E7" i="51"/>
  <c r="E8" i="51"/>
  <c r="E78" i="27"/>
  <c r="E67" i="27"/>
  <c r="E112" i="27"/>
  <c r="E120" i="27"/>
  <c r="E9" i="25"/>
  <c r="E57" i="25"/>
  <c r="E48" i="25"/>
  <c r="E48" i="26"/>
  <c r="E137" i="26"/>
  <c r="E49" i="26"/>
  <c r="E54" i="25"/>
  <c r="E135" i="26"/>
  <c r="E7" i="25"/>
  <c r="E136" i="26"/>
  <c r="E134" i="26"/>
  <c r="E8" i="25"/>
  <c r="E99" i="23"/>
  <c r="E9" i="24"/>
  <c r="E88" i="23"/>
  <c r="E108" i="23"/>
  <c r="E116" i="23"/>
  <c r="E22" i="23"/>
  <c r="E22" i="24"/>
  <c r="E10" i="24"/>
  <c r="E7" i="24"/>
  <c r="E8" i="24"/>
  <c r="E78" i="23"/>
  <c r="E67" i="23"/>
  <c r="E112" i="23"/>
  <c r="E120" i="23"/>
  <c r="E9" i="22"/>
  <c r="E48" i="21"/>
  <c r="E48" i="22"/>
  <c r="E55" i="22"/>
  <c r="E57" i="22"/>
  <c r="E58" i="22"/>
  <c r="E49" i="22"/>
  <c r="E54" i="21"/>
  <c r="E54" i="22"/>
  <c r="E7" i="22"/>
  <c r="E8" i="22"/>
  <c r="E68" i="20"/>
  <c r="E22" i="20"/>
  <c r="E10" i="20"/>
  <c r="E79" i="20"/>
  <c r="E7" i="19"/>
  <c r="E7" i="20"/>
  <c r="E89" i="20"/>
  <c r="E100" i="20"/>
  <c r="E9" i="19"/>
  <c r="E9" i="20"/>
  <c r="E48" i="20"/>
  <c r="E8" i="19"/>
  <c r="E8" i="20"/>
  <c r="E121" i="20"/>
  <c r="E113" i="20"/>
  <c r="E99" i="13"/>
  <c r="E9" i="13"/>
  <c r="E48" i="13"/>
  <c r="E86" i="13"/>
  <c r="E88" i="13"/>
  <c r="E124" i="13"/>
  <c r="E37" i="13"/>
  <c r="E108" i="13"/>
  <c r="E116" i="13"/>
  <c r="E22" i="13"/>
  <c r="E10" i="13"/>
  <c r="E57" i="13"/>
  <c r="E11" i="13"/>
  <c r="E49" i="13"/>
  <c r="E54" i="13"/>
  <c r="E7" i="13"/>
  <c r="E89" i="13"/>
  <c r="E100" i="13"/>
  <c r="E107" i="13"/>
  <c r="E12" i="13"/>
  <c r="E36" i="13"/>
  <c r="E8" i="13"/>
  <c r="E78" i="13"/>
  <c r="E67" i="13"/>
  <c r="E112" i="13"/>
  <c r="E109" i="13"/>
  <c r="E120" i="13"/>
  <c r="D116" i="4"/>
  <c r="D108" i="4"/>
  <c r="D124" i="4"/>
  <c r="D125" i="4"/>
  <c r="D109" i="4"/>
  <c r="E22" i="16"/>
  <c r="E9" i="16"/>
  <c r="D22" i="4"/>
  <c r="D136" i="4"/>
  <c r="D57" i="4"/>
  <c r="E10" i="16"/>
  <c r="G22" i="4"/>
  <c r="D113" i="4"/>
  <c r="D137" i="4"/>
  <c r="D10" i="4"/>
  <c r="D112" i="4"/>
  <c r="D55" i="4"/>
  <c r="D120" i="4"/>
  <c r="D7" i="4"/>
  <c r="E7" i="16"/>
  <c r="D68" i="4"/>
  <c r="D8" i="4"/>
  <c r="E8" i="16"/>
  <c r="D134" i="4"/>
  <c r="G7" i="4"/>
  <c r="D48" i="4"/>
  <c r="D54" i="4"/>
  <c r="D49" i="4"/>
  <c r="D12" i="4"/>
  <c r="D11" i="4"/>
  <c r="G12" i="4"/>
  <c r="G34" i="4"/>
  <c r="D121" i="4"/>
  <c r="G11" i="4"/>
  <c r="H22" i="4"/>
  <c r="G29" i="4"/>
  <c r="D67" i="4"/>
  <c r="D100" i="4"/>
  <c r="D58" i="4"/>
  <c r="G10" i="4"/>
  <c r="D89" i="4"/>
  <c r="G35" i="4"/>
  <c r="D99" i="4"/>
  <c r="D86" i="4"/>
  <c r="D107" i="4"/>
  <c r="D135" i="4"/>
  <c r="G135" i="4"/>
  <c r="G134" i="4"/>
  <c r="D78" i="4"/>
  <c r="D88" i="4"/>
  <c r="D79" i="4"/>
  <c r="D9" i="4"/>
  <c r="H71" i="9" l="1"/>
  <c r="N77" i="8"/>
  <c r="G74" i="9"/>
  <c r="N71" i="8"/>
  <c r="N67" i="8"/>
  <c r="N66" i="8"/>
  <c r="N13" i="8"/>
  <c r="E47" i="72"/>
  <c r="E47" i="74"/>
  <c r="L119" i="35"/>
  <c r="G87" i="4"/>
  <c r="G119" i="4"/>
  <c r="G77" i="4"/>
  <c r="G98" i="4"/>
  <c r="G111" i="4"/>
  <c r="E87" i="18"/>
  <c r="E66" i="18"/>
  <c r="L77" i="23"/>
  <c r="I77" i="27"/>
  <c r="I77" i="29"/>
  <c r="I77" i="20"/>
  <c r="I77" i="23"/>
  <c r="I77" i="13"/>
  <c r="I77" i="33"/>
  <c r="L111" i="35"/>
  <c r="E56" i="37"/>
  <c r="I111" i="37"/>
  <c r="I111" i="18"/>
  <c r="I98" i="18"/>
  <c r="E77" i="18"/>
  <c r="I77" i="18"/>
  <c r="E119" i="37"/>
  <c r="E119" i="18"/>
  <c r="I119" i="37"/>
  <c r="I119" i="18"/>
  <c r="E47" i="37"/>
  <c r="E47" i="18"/>
  <c r="E98" i="18"/>
  <c r="I87" i="37"/>
  <c r="I87" i="18"/>
  <c r="E111" i="37"/>
  <c r="E111" i="18"/>
  <c r="E53" i="37"/>
  <c r="I66" i="37"/>
  <c r="I66" i="18"/>
  <c r="I77" i="37"/>
  <c r="L98" i="27"/>
  <c r="L87" i="29"/>
  <c r="E97" i="33"/>
  <c r="E97" i="29"/>
  <c r="E97" i="37"/>
  <c r="I98" i="37"/>
  <c r="L119" i="13"/>
  <c r="E76" i="33"/>
  <c r="E76" i="29"/>
  <c r="E76" i="37"/>
  <c r="E76" i="13"/>
  <c r="E66" i="37"/>
  <c r="E87" i="33"/>
  <c r="E87" i="37"/>
  <c r="E98" i="37"/>
  <c r="E77" i="37"/>
  <c r="L98" i="20"/>
  <c r="L111" i="29"/>
  <c r="L66" i="27"/>
  <c r="L111" i="13"/>
  <c r="L87" i="33"/>
  <c r="L98" i="29"/>
  <c r="L87" i="20"/>
  <c r="L119" i="23"/>
  <c r="L87" i="23"/>
  <c r="L98" i="23"/>
  <c r="L119" i="20"/>
  <c r="L111" i="27"/>
  <c r="E66" i="20"/>
  <c r="E87" i="13"/>
  <c r="E87" i="23"/>
  <c r="D98" i="4"/>
  <c r="L66" i="35"/>
  <c r="E98" i="29"/>
  <c r="E98" i="33"/>
  <c r="L87" i="27"/>
  <c r="L119" i="33"/>
  <c r="L98" i="13"/>
  <c r="L66" i="33"/>
  <c r="L87" i="35"/>
  <c r="L66" i="23"/>
  <c r="L66" i="13"/>
  <c r="E66" i="23"/>
  <c r="E66" i="13"/>
  <c r="E66" i="27"/>
  <c r="E66" i="29"/>
  <c r="E66" i="33"/>
  <c r="L111" i="33"/>
  <c r="D87" i="4"/>
  <c r="E98" i="20"/>
  <c r="E98" i="23"/>
  <c r="E87" i="27"/>
  <c r="E98" i="27"/>
  <c r="E87" i="29"/>
  <c r="L119" i="27"/>
  <c r="C43" i="10"/>
  <c r="I119" i="13"/>
  <c r="I119" i="20"/>
  <c r="I119" i="23"/>
  <c r="I119" i="27"/>
  <c r="I119" i="29"/>
  <c r="I119" i="35"/>
  <c r="I119" i="33"/>
  <c r="G43" i="10"/>
  <c r="F22" i="10"/>
  <c r="I98" i="20"/>
  <c r="I98" i="13"/>
  <c r="I98" i="23"/>
  <c r="I98" i="29"/>
  <c r="I98" i="27"/>
  <c r="I98" i="33"/>
  <c r="D66" i="4"/>
  <c r="B12" i="10"/>
  <c r="I66" i="13"/>
  <c r="I66" i="20"/>
  <c r="I66" i="27"/>
  <c r="I66" i="29"/>
  <c r="I66" i="35"/>
  <c r="I66" i="33"/>
  <c r="G12" i="10"/>
  <c r="I66" i="23"/>
  <c r="G66" i="4"/>
  <c r="F12" i="10"/>
  <c r="E53" i="39"/>
  <c r="C38" i="10"/>
  <c r="E53" i="16"/>
  <c r="I111" i="13"/>
  <c r="I111" i="20"/>
  <c r="I111" i="23"/>
  <c r="I111" i="27"/>
  <c r="I111" i="29"/>
  <c r="I111" i="35"/>
  <c r="I111" i="33"/>
  <c r="G32" i="10"/>
  <c r="E56" i="39"/>
  <c r="E56" i="16"/>
  <c r="C49" i="10"/>
  <c r="C32" i="10"/>
  <c r="C22" i="10"/>
  <c r="E47" i="39"/>
  <c r="C11" i="10"/>
  <c r="E47" i="16"/>
  <c r="C12" i="10"/>
  <c r="I87" i="13"/>
  <c r="I87" i="20"/>
  <c r="I87" i="27"/>
  <c r="I87" i="29"/>
  <c r="I87" i="23"/>
  <c r="I87" i="33"/>
  <c r="I87" i="35"/>
  <c r="G22" i="10"/>
  <c r="L66" i="20"/>
  <c r="L111" i="20"/>
  <c r="L87" i="13"/>
  <c r="L119" i="29"/>
  <c r="L66" i="29"/>
  <c r="L77" i="29"/>
  <c r="L111" i="23"/>
  <c r="E98" i="13"/>
  <c r="E87" i="20"/>
  <c r="L77" i="13"/>
  <c r="E77" i="33"/>
  <c r="E111" i="33"/>
  <c r="E47" i="33"/>
  <c r="E119" i="33"/>
  <c r="E53" i="33"/>
  <c r="E56" i="33"/>
  <c r="E47" i="34"/>
  <c r="E119" i="29"/>
  <c r="E77" i="29"/>
  <c r="E111" i="29"/>
  <c r="E53" i="40"/>
  <c r="E53" i="41"/>
  <c r="E56" i="40"/>
  <c r="E56" i="41"/>
  <c r="E47" i="40"/>
  <c r="E47" i="41"/>
  <c r="E77" i="27"/>
  <c r="E111" i="27"/>
  <c r="E47" i="51"/>
  <c r="E119" i="27"/>
  <c r="E53" i="25"/>
  <c r="E47" i="25"/>
  <c r="E47" i="26"/>
  <c r="E56" i="25"/>
  <c r="E119" i="23"/>
  <c r="E77" i="23"/>
  <c r="E111" i="23"/>
  <c r="E56" i="22"/>
  <c r="E47" i="21"/>
  <c r="E47" i="22"/>
  <c r="E53" i="21"/>
  <c r="E53" i="22"/>
  <c r="E119" i="20"/>
  <c r="E47" i="20"/>
  <c r="E77" i="20"/>
  <c r="E111" i="20"/>
  <c r="E53" i="13"/>
  <c r="E77" i="13"/>
  <c r="E56" i="13"/>
  <c r="E111" i="13"/>
  <c r="E47" i="13"/>
  <c r="E119" i="13"/>
  <c r="D111" i="4"/>
  <c r="D77" i="4"/>
  <c r="D119" i="4"/>
  <c r="D53" i="4"/>
  <c r="D56" i="4"/>
  <c r="D47" i="4"/>
  <c r="C60" i="10" l="1"/>
  <c r="H107" i="4"/>
  <c r="H114" i="4"/>
  <c r="H116" i="4"/>
  <c r="H28" i="4"/>
  <c r="H98" i="4" l="1"/>
  <c r="H117" i="4"/>
  <c r="H99" i="4"/>
  <c r="H24" i="4"/>
  <c r="H78" i="4"/>
  <c r="D9" i="10"/>
  <c r="H124" i="4"/>
  <c r="H112" i="4"/>
  <c r="H88" i="4"/>
  <c r="H9" i="4"/>
  <c r="H8" i="4"/>
  <c r="H79" i="4"/>
  <c r="H122" i="4"/>
  <c r="H14" i="10"/>
  <c r="H37" i="4"/>
  <c r="H121" i="4"/>
  <c r="I121" i="4"/>
  <c r="I112" i="4"/>
  <c r="I9" i="4"/>
  <c r="I109" i="4"/>
  <c r="K49" i="10"/>
  <c r="H113" i="4"/>
  <c r="I108" i="4"/>
  <c r="H11" i="4"/>
  <c r="I122" i="4"/>
  <c r="I79" i="4"/>
  <c r="I100" i="4"/>
  <c r="H110" i="4"/>
  <c r="H25" i="4"/>
  <c r="H125" i="4"/>
  <c r="H86" i="4"/>
  <c r="H42" i="10"/>
  <c r="H21" i="10"/>
  <c r="I120" i="4"/>
  <c r="I28" i="4"/>
  <c r="H109" i="4"/>
  <c r="I32" i="4"/>
  <c r="I67" i="4"/>
  <c r="K11" i="10"/>
  <c r="I23" i="4"/>
  <c r="H22" i="10"/>
  <c r="H108" i="4"/>
  <c r="H10" i="4"/>
  <c r="I77" i="4"/>
  <c r="I88" i="4"/>
  <c r="I117" i="4"/>
  <c r="H67" i="4"/>
  <c r="H12" i="10"/>
  <c r="I116" i="4"/>
  <c r="H120" i="4"/>
  <c r="I110" i="4"/>
  <c r="I113" i="4"/>
  <c r="I78" i="4"/>
  <c r="K26" i="10"/>
  <c r="I98" i="4"/>
  <c r="I99" i="4"/>
  <c r="K9" i="10"/>
  <c r="H77" i="4"/>
  <c r="H24" i="10"/>
  <c r="I31" i="4"/>
  <c r="I24" i="4"/>
  <c r="K16" i="10"/>
  <c r="I30" i="4"/>
  <c r="H36" i="4"/>
  <c r="K45" i="10"/>
  <c r="H39" i="4"/>
  <c r="I107" i="4"/>
  <c r="I8" i="4"/>
  <c r="I114" i="4"/>
  <c r="I86" i="4"/>
  <c r="H10" i="10"/>
  <c r="I124" i="4"/>
  <c r="H100" i="4"/>
  <c r="H7" i="4"/>
  <c r="H23" i="4"/>
  <c r="H15" i="10"/>
  <c r="I125" i="4"/>
  <c r="M9" i="72" l="1"/>
  <c r="J23" i="4"/>
  <c r="J24" i="4"/>
  <c r="J110" i="4"/>
  <c r="M67" i="37"/>
  <c r="M67" i="18"/>
  <c r="M107" i="37"/>
  <c r="M32" i="37"/>
  <c r="M32" i="18"/>
  <c r="M79" i="37"/>
  <c r="M79" i="18"/>
  <c r="M124" i="37"/>
  <c r="M124" i="18"/>
  <c r="M88" i="37"/>
  <c r="M88" i="18"/>
  <c r="M78" i="37"/>
  <c r="M78" i="18"/>
  <c r="M100" i="37"/>
  <c r="M100" i="18"/>
  <c r="M86" i="37"/>
  <c r="M122" i="37"/>
  <c r="M109" i="37"/>
  <c r="M109" i="18"/>
  <c r="M99" i="37"/>
  <c r="M99" i="18"/>
  <c r="M113" i="37"/>
  <c r="M113" i="18"/>
  <c r="M117" i="37"/>
  <c r="M117" i="18"/>
  <c r="M28" i="37"/>
  <c r="M28" i="18"/>
  <c r="M114" i="37"/>
  <c r="M98" i="18"/>
  <c r="M110" i="37"/>
  <c r="M9" i="37"/>
  <c r="M9" i="18"/>
  <c r="M31" i="37"/>
  <c r="M31" i="18"/>
  <c r="M8" i="37"/>
  <c r="M8" i="18"/>
  <c r="M24" i="37"/>
  <c r="M24" i="18"/>
  <c r="M108" i="37"/>
  <c r="M108" i="18"/>
  <c r="M112" i="37"/>
  <c r="M112" i="18"/>
  <c r="J122" i="4"/>
  <c r="M23" i="37"/>
  <c r="M23" i="18"/>
  <c r="M121" i="37"/>
  <c r="M121" i="18"/>
  <c r="M125" i="37"/>
  <c r="M125" i="18"/>
  <c r="M30" i="37"/>
  <c r="M30" i="18"/>
  <c r="M116" i="37"/>
  <c r="M77" i="18"/>
  <c r="M120" i="37"/>
  <c r="M120" i="18"/>
  <c r="J114" i="4"/>
  <c r="M98" i="37"/>
  <c r="M97" i="37"/>
  <c r="M97" i="13"/>
  <c r="M97" i="29"/>
  <c r="M97" i="33"/>
  <c r="M77" i="37"/>
  <c r="M76" i="37"/>
  <c r="M76" i="33"/>
  <c r="M76" i="29"/>
  <c r="M76" i="13"/>
  <c r="M24" i="13"/>
  <c r="M24" i="24"/>
  <c r="M24" i="23"/>
  <c r="M24" i="33"/>
  <c r="M24" i="29"/>
  <c r="M88" i="13"/>
  <c r="M88" i="27"/>
  <c r="M88" i="29"/>
  <c r="M88" i="23"/>
  <c r="M88" i="33"/>
  <c r="J28" i="4"/>
  <c r="M28" i="20"/>
  <c r="M28" i="25"/>
  <c r="M28" i="23"/>
  <c r="M28" i="24"/>
  <c r="M28" i="51"/>
  <c r="M28" i="29"/>
  <c r="M28" i="16"/>
  <c r="M28" i="13"/>
  <c r="M28" i="33"/>
  <c r="M121" i="23"/>
  <c r="M121" i="13"/>
  <c r="M121" i="27"/>
  <c r="M121" i="29"/>
  <c r="M121" i="33"/>
  <c r="M121" i="20"/>
  <c r="M121" i="35"/>
  <c r="M125" i="23"/>
  <c r="M125" i="27"/>
  <c r="M125" i="13"/>
  <c r="M125" i="29"/>
  <c r="M125" i="33"/>
  <c r="M125" i="35"/>
  <c r="M124" i="13"/>
  <c r="M124" i="33"/>
  <c r="M114" i="33"/>
  <c r="M31" i="23"/>
  <c r="M31" i="13"/>
  <c r="M31" i="24"/>
  <c r="M31" i="35"/>
  <c r="M31" i="29"/>
  <c r="M31" i="33"/>
  <c r="M78" i="23"/>
  <c r="M78" i="27"/>
  <c r="M78" i="13"/>
  <c r="M78" i="29"/>
  <c r="M78" i="33"/>
  <c r="M113" i="23"/>
  <c r="M113" i="13"/>
  <c r="M113" i="27"/>
  <c r="M113" i="20"/>
  <c r="M113" i="29"/>
  <c r="M113" i="33"/>
  <c r="M113" i="35"/>
  <c r="J116" i="4"/>
  <c r="M116" i="13"/>
  <c r="M116" i="23"/>
  <c r="M116" i="29"/>
  <c r="M116" i="33"/>
  <c r="M117" i="23"/>
  <c r="M117" i="27"/>
  <c r="M117" i="13"/>
  <c r="M117" i="29"/>
  <c r="M117" i="33"/>
  <c r="M117" i="35"/>
  <c r="M23" i="20"/>
  <c r="M23" i="23"/>
  <c r="M23" i="13"/>
  <c r="M23" i="35"/>
  <c r="M23" i="29"/>
  <c r="M23" i="33"/>
  <c r="M32" i="13"/>
  <c r="M32" i="20"/>
  <c r="M32" i="33"/>
  <c r="M32" i="23"/>
  <c r="M32" i="29"/>
  <c r="M79" i="13"/>
  <c r="M79" i="20"/>
  <c r="M79" i="23"/>
  <c r="M79" i="33"/>
  <c r="M79" i="29"/>
  <c r="M79" i="27"/>
  <c r="M8" i="20"/>
  <c r="M8" i="13"/>
  <c r="M8" i="22"/>
  <c r="M8" i="24"/>
  <c r="M8" i="51"/>
  <c r="M8" i="25"/>
  <c r="M8" i="41"/>
  <c r="M8" i="29"/>
  <c r="M8" i="33"/>
  <c r="M8" i="19"/>
  <c r="M8" i="16"/>
  <c r="M30" i="20"/>
  <c r="M30" i="13"/>
  <c r="M30" i="23"/>
  <c r="M30" i="33"/>
  <c r="M30" i="29"/>
  <c r="M30" i="35"/>
  <c r="M99" i="23"/>
  <c r="M99" i="27"/>
  <c r="M99" i="29"/>
  <c r="M99" i="13"/>
  <c r="M99" i="33"/>
  <c r="M110" i="33"/>
  <c r="M120" i="13"/>
  <c r="M120" i="23"/>
  <c r="M120" i="27"/>
  <c r="M120" i="29"/>
  <c r="M120" i="33"/>
  <c r="M100" i="13"/>
  <c r="M100" i="20"/>
  <c r="M100" i="29"/>
  <c r="M100" i="33"/>
  <c r="M100" i="27"/>
  <c r="M100" i="23"/>
  <c r="M122" i="33"/>
  <c r="M108" i="13"/>
  <c r="M108" i="23"/>
  <c r="M108" i="33"/>
  <c r="M108" i="29"/>
  <c r="M108" i="27"/>
  <c r="M9" i="19"/>
  <c r="M9" i="25"/>
  <c r="M9" i="20"/>
  <c r="M9" i="22"/>
  <c r="M9" i="51"/>
  <c r="M9" i="13"/>
  <c r="M9" i="16"/>
  <c r="M9" i="29"/>
  <c r="M9" i="24"/>
  <c r="M9" i="41"/>
  <c r="M9" i="33"/>
  <c r="M86" i="35"/>
  <c r="M86" i="29"/>
  <c r="M86" i="13"/>
  <c r="M86" i="33"/>
  <c r="J107" i="4"/>
  <c r="M107" i="13"/>
  <c r="M107" i="35"/>
  <c r="M107" i="29"/>
  <c r="M107" i="33"/>
  <c r="M98" i="20"/>
  <c r="M98" i="13"/>
  <c r="M98" i="23"/>
  <c r="M98" i="27"/>
  <c r="M98" i="29"/>
  <c r="M98" i="33"/>
  <c r="M77" i="20"/>
  <c r="M77" i="13"/>
  <c r="M77" i="27"/>
  <c r="M77" i="23"/>
  <c r="M77" i="29"/>
  <c r="M77" i="33"/>
  <c r="M67" i="13"/>
  <c r="M67" i="23"/>
  <c r="M67" i="27"/>
  <c r="M67" i="29"/>
  <c r="M67" i="33"/>
  <c r="M109" i="27"/>
  <c r="M109" i="13"/>
  <c r="M109" i="23"/>
  <c r="M109" i="20"/>
  <c r="M109" i="29"/>
  <c r="M109" i="35"/>
  <c r="M109" i="33"/>
  <c r="M112" i="13"/>
  <c r="M112" i="23"/>
  <c r="M112" i="27"/>
  <c r="M112" i="33"/>
  <c r="M112" i="29"/>
  <c r="J108" i="4"/>
  <c r="M44" i="8"/>
  <c r="D41" i="9"/>
  <c r="N74" i="8"/>
  <c r="B68" i="9"/>
  <c r="M45" i="8"/>
  <c r="D42" i="9"/>
  <c r="M41" i="8"/>
  <c r="D38" i="9"/>
  <c r="C55" i="9"/>
  <c r="N14" i="8"/>
  <c r="N47" i="8"/>
  <c r="I17" i="9"/>
  <c r="G32" i="9"/>
  <c r="M30" i="8"/>
  <c r="B72" i="9"/>
  <c r="D30" i="9"/>
  <c r="D15" i="9"/>
  <c r="B56" i="9"/>
  <c r="M15" i="8"/>
  <c r="M22" i="8"/>
  <c r="D23" i="9"/>
  <c r="B64" i="9"/>
  <c r="M38" i="8"/>
  <c r="B45" i="9"/>
  <c r="D35" i="9"/>
  <c r="I13" i="9"/>
  <c r="M59" i="8"/>
  <c r="I9" i="9"/>
  <c r="M73" i="8"/>
  <c r="I25" i="9"/>
  <c r="N65" i="8"/>
  <c r="I21" i="9"/>
  <c r="N9" i="8"/>
  <c r="C50" i="9"/>
  <c r="B71" i="9"/>
  <c r="D29" i="9"/>
  <c r="M29" i="8"/>
  <c r="M93" i="8"/>
  <c r="I38" i="9"/>
  <c r="I22" i="9"/>
  <c r="N44" i="8"/>
  <c r="N12" i="8"/>
  <c r="C53" i="9"/>
  <c r="N22" i="8"/>
  <c r="C64" i="9"/>
  <c r="M20" i="8"/>
  <c r="B62" i="9"/>
  <c r="D21" i="9"/>
  <c r="N43" i="8"/>
  <c r="D36" i="9"/>
  <c r="M39" i="8"/>
  <c r="N42" i="8"/>
  <c r="N28" i="8"/>
  <c r="C70" i="9"/>
  <c r="N64" i="8"/>
  <c r="N46" i="8"/>
  <c r="M47" i="8"/>
  <c r="D44" i="9"/>
  <c r="B70" i="9"/>
  <c r="H32" i="9"/>
  <c r="J31" i="9" s="1"/>
  <c r="I10" i="9"/>
  <c r="N11" i="8"/>
  <c r="C52" i="9"/>
  <c r="M92" i="8"/>
  <c r="I37" i="9"/>
  <c r="I16" i="9"/>
  <c r="M65" i="8"/>
  <c r="D43" i="9"/>
  <c r="M46" i="8"/>
  <c r="I23" i="9"/>
  <c r="D14" i="9"/>
  <c r="M14" i="8"/>
  <c r="B55" i="9"/>
  <c r="N93" i="8"/>
  <c r="B66" i="9"/>
  <c r="M25" i="8"/>
  <c r="D25" i="9"/>
  <c r="N20" i="8"/>
  <c r="C62" i="9"/>
  <c r="M10" i="8"/>
  <c r="D10" i="9"/>
  <c r="B51" i="9"/>
  <c r="N10" i="8"/>
  <c r="C51" i="9"/>
  <c r="D11" i="9"/>
  <c r="M11" i="8"/>
  <c r="B52" i="9"/>
  <c r="I27" i="9"/>
  <c r="M94" i="8"/>
  <c r="I39" i="9"/>
  <c r="I24" i="9"/>
  <c r="I28" i="9"/>
  <c r="M75" i="8"/>
  <c r="N75" i="8"/>
  <c r="N76" i="8"/>
  <c r="N99" i="8"/>
  <c r="B50" i="9"/>
  <c r="D9" i="9"/>
  <c r="M9" i="8"/>
  <c r="N45" i="8"/>
  <c r="C68" i="9"/>
  <c r="N73" i="8"/>
  <c r="N94" i="8"/>
  <c r="N61" i="8"/>
  <c r="C57" i="9"/>
  <c r="N16" i="8"/>
  <c r="I41" i="9"/>
  <c r="M96" i="8"/>
  <c r="B59" i="9"/>
  <c r="M18" i="8"/>
  <c r="D18" i="9"/>
  <c r="C32" i="9"/>
  <c r="N96" i="8"/>
  <c r="C72" i="9"/>
  <c r="N30" i="8"/>
  <c r="I42" i="9"/>
  <c r="M97" i="8"/>
  <c r="C69" i="9"/>
  <c r="N27" i="8"/>
  <c r="N91" i="8"/>
  <c r="D22" i="9"/>
  <c r="B63" i="9"/>
  <c r="M21" i="8"/>
  <c r="N17" i="8"/>
  <c r="C58" i="9"/>
  <c r="N98" i="8"/>
  <c r="C45" i="9"/>
  <c r="N38" i="8"/>
  <c r="M43" i="8"/>
  <c r="D40" i="9"/>
  <c r="M74" i="8"/>
  <c r="I26" i="9"/>
  <c r="N41" i="8"/>
  <c r="B65" i="9"/>
  <c r="D24" i="9"/>
  <c r="M24" i="8"/>
  <c r="D37" i="9"/>
  <c r="M40" i="8"/>
  <c r="N95" i="8"/>
  <c r="D28" i="9"/>
  <c r="M28" i="8"/>
  <c r="M61" i="8"/>
  <c r="I12" i="9"/>
  <c r="H45" i="9"/>
  <c r="N90" i="8"/>
  <c r="C66" i="9"/>
  <c r="N25" i="8"/>
  <c r="N40" i="8"/>
  <c r="B58" i="9"/>
  <c r="D17" i="9"/>
  <c r="M17" i="8"/>
  <c r="N21" i="8"/>
  <c r="C63" i="9"/>
  <c r="N92" i="8"/>
  <c r="N23" i="8"/>
  <c r="C61" i="9"/>
  <c r="N29" i="8"/>
  <c r="C71" i="9"/>
  <c r="N59" i="8"/>
  <c r="I40" i="9"/>
  <c r="M95" i="8"/>
  <c r="D12" i="9"/>
  <c r="M12" i="8"/>
  <c r="B53" i="9"/>
  <c r="C56" i="9"/>
  <c r="N15" i="8"/>
  <c r="I35" i="9"/>
  <c r="G45" i="9"/>
  <c r="F27" i="10" s="1"/>
  <c r="M90" i="8"/>
  <c r="N18" i="8"/>
  <c r="C59" i="9"/>
  <c r="N97" i="8"/>
  <c r="M27" i="8"/>
  <c r="D27" i="9"/>
  <c r="B69" i="9"/>
  <c r="M98" i="8"/>
  <c r="I43" i="9"/>
  <c r="D19" i="9"/>
  <c r="M19" i="8"/>
  <c r="B60" i="9"/>
  <c r="N19" i="8"/>
  <c r="C60" i="9"/>
  <c r="M99" i="8"/>
  <c r="I44" i="9"/>
  <c r="B32" i="9"/>
  <c r="N39" i="8"/>
  <c r="I20" i="9"/>
  <c r="M42" i="8"/>
  <c r="D39" i="9"/>
  <c r="D26" i="9"/>
  <c r="B57" i="9"/>
  <c r="M16" i="8"/>
  <c r="D16" i="9"/>
  <c r="D20" i="9"/>
  <c r="M23" i="8"/>
  <c r="B61" i="9"/>
  <c r="I30" i="9"/>
  <c r="I15" i="9"/>
  <c r="M64" i="8"/>
  <c r="I29" i="9"/>
  <c r="M76" i="8"/>
  <c r="I18" i="9"/>
  <c r="N24" i="8"/>
  <c r="C65" i="9"/>
  <c r="I19" i="9"/>
  <c r="M91" i="8"/>
  <c r="I36" i="9"/>
  <c r="J109" i="4"/>
  <c r="J117" i="4"/>
  <c r="J125" i="4"/>
  <c r="J124" i="4"/>
  <c r="J120" i="4"/>
  <c r="J8" i="4"/>
  <c r="J112" i="4"/>
  <c r="J78" i="4"/>
  <c r="J9" i="4"/>
  <c r="J86" i="4"/>
  <c r="J113" i="4"/>
  <c r="J88" i="4"/>
  <c r="J99" i="4"/>
  <c r="J100" i="4"/>
  <c r="J121" i="4"/>
  <c r="J77" i="4"/>
  <c r="J79" i="4"/>
  <c r="J98" i="4"/>
  <c r="K21" i="10"/>
  <c r="H75" i="4"/>
  <c r="H25" i="10"/>
  <c r="G55" i="10"/>
  <c r="H136" i="4"/>
  <c r="H96" i="4"/>
  <c r="K42" i="10"/>
  <c r="G53" i="10"/>
  <c r="H29" i="4"/>
  <c r="H89" i="4"/>
  <c r="K12" i="10"/>
  <c r="K14" i="10"/>
  <c r="K23" i="10"/>
  <c r="H87" i="4"/>
  <c r="H111" i="4"/>
  <c r="K44" i="10"/>
  <c r="K24" i="10"/>
  <c r="G46" i="10"/>
  <c r="H43" i="10"/>
  <c r="H31" i="4"/>
  <c r="J31" i="4" s="1"/>
  <c r="H32" i="4"/>
  <c r="J32" i="4" s="1"/>
  <c r="J10" i="10"/>
  <c r="D10" i="10"/>
  <c r="J24" i="10"/>
  <c r="D24" i="10"/>
  <c r="I25" i="4"/>
  <c r="B60" i="10"/>
  <c r="D38" i="10"/>
  <c r="J38" i="10"/>
  <c r="I37" i="4"/>
  <c r="F55" i="10"/>
  <c r="H33" i="10"/>
  <c r="D23" i="10"/>
  <c r="J23" i="10"/>
  <c r="H34" i="4"/>
  <c r="H134" i="4"/>
  <c r="J14" i="10"/>
  <c r="D14" i="10"/>
  <c r="I87" i="4"/>
  <c r="J11" i="10"/>
  <c r="L11" i="10" s="1"/>
  <c r="D11" i="10"/>
  <c r="K32" i="10"/>
  <c r="C54" i="10"/>
  <c r="K15" i="10"/>
  <c r="H41" i="10"/>
  <c r="F46" i="10"/>
  <c r="D42" i="10"/>
  <c r="J42" i="10"/>
  <c r="C52" i="10"/>
  <c r="C35" i="10"/>
  <c r="K30" i="10"/>
  <c r="H23" i="10"/>
  <c r="K25" i="10"/>
  <c r="D33" i="10"/>
  <c r="B55" i="10"/>
  <c r="J33" i="10"/>
  <c r="D45" i="10"/>
  <c r="J45" i="10"/>
  <c r="L45" i="10" s="1"/>
  <c r="J16" i="10"/>
  <c r="L16" i="10" s="1"/>
  <c r="D16" i="10"/>
  <c r="I75" i="4"/>
  <c r="I137" i="4"/>
  <c r="D22" i="10"/>
  <c r="J22" i="10"/>
  <c r="G54" i="10"/>
  <c r="J31" i="10"/>
  <c r="B53" i="10"/>
  <c r="D31" i="10"/>
  <c r="J15" i="10"/>
  <c r="D15" i="10"/>
  <c r="I96" i="4"/>
  <c r="H20" i="10"/>
  <c r="K22" i="10"/>
  <c r="K10" i="10"/>
  <c r="D44" i="10"/>
  <c r="J44" i="10"/>
  <c r="I111" i="4"/>
  <c r="C55" i="10"/>
  <c r="K33" i="10"/>
  <c r="J13" i="10"/>
  <c r="D13" i="10"/>
  <c r="K13" i="10"/>
  <c r="H35" i="4"/>
  <c r="C56" i="10"/>
  <c r="K56" i="10" s="1"/>
  <c r="K34" i="10"/>
  <c r="I119" i="4"/>
  <c r="F35" i="10"/>
  <c r="F52" i="10"/>
  <c r="H30" i="10"/>
  <c r="I135" i="4"/>
  <c r="I29" i="4"/>
  <c r="H31" i="10"/>
  <c r="F53" i="10"/>
  <c r="I89" i="4"/>
  <c r="J32" i="10"/>
  <c r="D32" i="10"/>
  <c r="B54" i="10"/>
  <c r="I66" i="4"/>
  <c r="J20" i="10"/>
  <c r="D20" i="10"/>
  <c r="B56" i="10"/>
  <c r="J34" i="10"/>
  <c r="H66" i="4"/>
  <c r="H32" i="10"/>
  <c r="F54" i="10"/>
  <c r="I22" i="4"/>
  <c r="K41" i="10"/>
  <c r="C46" i="10"/>
  <c r="H119" i="4"/>
  <c r="H137" i="4"/>
  <c r="I136" i="4"/>
  <c r="H68" i="4"/>
  <c r="I68" i="4"/>
  <c r="K43" i="10"/>
  <c r="I10" i="4"/>
  <c r="H135" i="4"/>
  <c r="H12" i="4"/>
  <c r="J26" i="10"/>
  <c r="L26" i="10" s="1"/>
  <c r="D26" i="10"/>
  <c r="I34" i="4"/>
  <c r="H9" i="10"/>
  <c r="J9" i="10"/>
  <c r="L9" i="10" s="1"/>
  <c r="J49" i="10"/>
  <c r="L49" i="10" s="1"/>
  <c r="D49" i="10"/>
  <c r="D21" i="10"/>
  <c r="J21" i="10"/>
  <c r="I39" i="4"/>
  <c r="I36" i="4"/>
  <c r="B35" i="10"/>
  <c r="J30" i="10"/>
  <c r="B52" i="10"/>
  <c r="D30" i="10"/>
  <c r="I7" i="4"/>
  <c r="K60" i="10"/>
  <c r="K38" i="10"/>
  <c r="H13" i="10"/>
  <c r="G35" i="10"/>
  <c r="G52" i="10"/>
  <c r="I35" i="4"/>
  <c r="D12" i="10"/>
  <c r="J12" i="10"/>
  <c r="I12" i="4"/>
  <c r="D43" i="10"/>
  <c r="J43" i="10"/>
  <c r="I134" i="4"/>
  <c r="I11" i="4"/>
  <c r="K20" i="10"/>
  <c r="D25" i="10"/>
  <c r="J25" i="10"/>
  <c r="D41" i="10"/>
  <c r="J41" i="10"/>
  <c r="B46" i="10"/>
  <c r="K31" i="10"/>
  <c r="C53" i="10"/>
  <c r="L40" i="9"/>
  <c r="E31" i="9" l="1"/>
  <c r="B17" i="10"/>
  <c r="N18" i="9"/>
  <c r="L16" i="9"/>
  <c r="M37" i="9"/>
  <c r="N35" i="9"/>
  <c r="M28" i="9"/>
  <c r="M7" i="72" l="1"/>
  <c r="J40" i="9"/>
  <c r="E35" i="9"/>
  <c r="J25" i="9"/>
  <c r="J14" i="9"/>
  <c r="E17" i="9"/>
  <c r="E13" i="9"/>
  <c r="O44" i="9"/>
  <c r="O41" i="9"/>
  <c r="N9" i="9"/>
  <c r="N17" i="9"/>
  <c r="M31" i="9"/>
  <c r="L25" i="9"/>
  <c r="O35" i="9"/>
  <c r="L36" i="9"/>
  <c r="L44" i="9"/>
  <c r="O40" i="9"/>
  <c r="L39" i="9"/>
  <c r="L17" i="9"/>
  <c r="O25" i="9"/>
  <c r="M18" i="9"/>
  <c r="M11" i="9"/>
  <c r="L15" i="9"/>
  <c r="N28" i="9"/>
  <c r="M38" i="9"/>
  <c r="O23" i="9"/>
  <c r="O18" i="9"/>
  <c r="M26" i="9"/>
  <c r="L21" i="9"/>
  <c r="O42" i="9"/>
  <c r="M41" i="9"/>
  <c r="M40" i="9"/>
  <c r="O31" i="9"/>
  <c r="O43" i="9"/>
  <c r="N11" i="9"/>
  <c r="L24" i="9"/>
  <c r="M15" i="9"/>
  <c r="N24" i="9"/>
  <c r="N29" i="9"/>
  <c r="L35" i="9"/>
  <c r="N39" i="9"/>
  <c r="O16" i="9"/>
  <c r="O38" i="9"/>
  <c r="O20" i="9"/>
  <c r="O13" i="9"/>
  <c r="O17" i="9"/>
  <c r="M10" i="9"/>
  <c r="N10" i="9"/>
  <c r="O37" i="9"/>
  <c r="L19" i="9"/>
  <c r="N21" i="9"/>
  <c r="M35" i="9"/>
  <c r="M20" i="9"/>
  <c r="L11" i="9"/>
  <c r="L27" i="9"/>
  <c r="L23" i="9"/>
  <c r="L22" i="9"/>
  <c r="M17" i="9"/>
  <c r="L26" i="9"/>
  <c r="M27" i="9"/>
  <c r="M39" i="9"/>
  <c r="O21" i="9"/>
  <c r="N23" i="9"/>
  <c r="M22" i="9"/>
  <c r="M42" i="9"/>
  <c r="L28" i="9"/>
  <c r="O29" i="9"/>
  <c r="L43" i="9"/>
  <c r="N25" i="9"/>
  <c r="M12" i="9"/>
  <c r="L42" i="9"/>
  <c r="L30" i="9"/>
  <c r="N22" i="9"/>
  <c r="N38" i="9"/>
  <c r="O15" i="9"/>
  <c r="O39" i="9"/>
  <c r="N15" i="9"/>
  <c r="N26" i="9"/>
  <c r="N41" i="9"/>
  <c r="L13" i="9"/>
  <c r="L10" i="9"/>
  <c r="M19" i="9"/>
  <c r="L9" i="9"/>
  <c r="M16" i="9"/>
  <c r="M24" i="9"/>
  <c r="M44" i="9"/>
  <c r="N12" i="9"/>
  <c r="L41" i="9"/>
  <c r="N31" i="9"/>
  <c r="O9" i="9"/>
  <c r="L29" i="9"/>
  <c r="N16" i="9"/>
  <c r="N27" i="9"/>
  <c r="M36" i="9"/>
  <c r="L37" i="9"/>
  <c r="N36" i="9"/>
  <c r="N13" i="9"/>
  <c r="M13" i="9"/>
  <c r="M29" i="9"/>
  <c r="O10" i="9"/>
  <c r="L38" i="9"/>
  <c r="N42" i="9"/>
  <c r="O19" i="9"/>
  <c r="O30" i="9"/>
  <c r="O24" i="9"/>
  <c r="M23" i="9"/>
  <c r="N30" i="9"/>
  <c r="M21" i="9"/>
  <c r="N44" i="9"/>
  <c r="L12" i="9"/>
  <c r="O27" i="9"/>
  <c r="N37" i="9"/>
  <c r="M25" i="9"/>
  <c r="O12" i="9"/>
  <c r="N43" i="9"/>
  <c r="M43" i="9"/>
  <c r="L20" i="9"/>
  <c r="O36" i="9"/>
  <c r="O28" i="9"/>
  <c r="N19" i="9"/>
  <c r="O26" i="9"/>
  <c r="M9" i="9"/>
  <c r="O22" i="9"/>
  <c r="N40" i="9"/>
  <c r="M30" i="9"/>
  <c r="O11" i="9"/>
  <c r="J25" i="4" l="1"/>
  <c r="M33" i="18"/>
  <c r="M33" i="35"/>
  <c r="M33" i="23"/>
  <c r="M33" i="33"/>
  <c r="M33" i="20"/>
  <c r="M33" i="37"/>
  <c r="M33" i="29"/>
  <c r="M35" i="37"/>
  <c r="M35" i="18"/>
  <c r="M22" i="37"/>
  <c r="M22" i="18"/>
  <c r="M29" i="37"/>
  <c r="M29" i="18"/>
  <c r="M135" i="37"/>
  <c r="M37" i="37"/>
  <c r="M66" i="37"/>
  <c r="M66" i="18"/>
  <c r="M111" i="37"/>
  <c r="M111" i="18"/>
  <c r="M10" i="37"/>
  <c r="M10" i="18"/>
  <c r="M75" i="37"/>
  <c r="M134" i="37"/>
  <c r="M36" i="37"/>
  <c r="M12" i="37"/>
  <c r="M12" i="18"/>
  <c r="M89" i="37"/>
  <c r="M89" i="18"/>
  <c r="M87" i="37"/>
  <c r="M87" i="18"/>
  <c r="M25" i="37"/>
  <c r="M25" i="18"/>
  <c r="M11" i="37"/>
  <c r="M11" i="18"/>
  <c r="M7" i="37"/>
  <c r="M7" i="18"/>
  <c r="M34" i="37"/>
  <c r="M34" i="18"/>
  <c r="M119" i="37"/>
  <c r="M119" i="18"/>
  <c r="M68" i="37"/>
  <c r="M68" i="18"/>
  <c r="M96" i="37"/>
  <c r="L24" i="10"/>
  <c r="L14" i="10"/>
  <c r="J39" i="4"/>
  <c r="J75" i="4"/>
  <c r="J96" i="4"/>
  <c r="L15" i="10"/>
  <c r="L52" i="9"/>
  <c r="M45" i="9"/>
  <c r="M71" i="9"/>
  <c r="O70" i="9"/>
  <c r="L56" i="9"/>
  <c r="M52" i="9"/>
  <c r="M58" i="9"/>
  <c r="O58" i="9"/>
  <c r="N64" i="9"/>
  <c r="O73" i="9"/>
  <c r="O57" i="9"/>
  <c r="M64" i="9"/>
  <c r="N58" i="9"/>
  <c r="N55" i="9"/>
  <c r="O72" i="9"/>
  <c r="M70" i="9"/>
  <c r="L67" i="9"/>
  <c r="L60" i="9"/>
  <c r="L66" i="9"/>
  <c r="M51" i="9"/>
  <c r="L72" i="9"/>
  <c r="M49" i="9"/>
  <c r="M32" i="9"/>
  <c r="O56" i="9"/>
  <c r="L45" i="9"/>
  <c r="L55" i="9"/>
  <c r="O69" i="9"/>
  <c r="L50" i="9"/>
  <c r="N61" i="9"/>
  <c r="M73" i="9"/>
  <c r="N49" i="9"/>
  <c r="N32" i="9"/>
  <c r="M65" i="9"/>
  <c r="O45" i="9"/>
  <c r="N57" i="9"/>
  <c r="O52" i="9"/>
  <c r="O50" i="9"/>
  <c r="L64" i="9"/>
  <c r="M61" i="9"/>
  <c r="N69" i="9"/>
  <c r="N73" i="9"/>
  <c r="M66" i="9"/>
  <c r="O66" i="9"/>
  <c r="N71" i="9"/>
  <c r="O62" i="9"/>
  <c r="L65" i="9"/>
  <c r="L71" i="9"/>
  <c r="L59" i="9"/>
  <c r="N67" i="9"/>
  <c r="N56" i="9"/>
  <c r="L69" i="9"/>
  <c r="O64" i="9"/>
  <c r="O51" i="9"/>
  <c r="O71" i="9"/>
  <c r="L62" i="9"/>
  <c r="O67" i="9"/>
  <c r="N52" i="9"/>
  <c r="L51" i="9"/>
  <c r="N50" i="9"/>
  <c r="M72" i="9"/>
  <c r="N66" i="9"/>
  <c r="M56" i="9"/>
  <c r="M69" i="9"/>
  <c r="O49" i="9"/>
  <c r="O32" i="9"/>
  <c r="M60" i="9"/>
  <c r="M62" i="9"/>
  <c r="L61" i="9"/>
  <c r="M50" i="9"/>
  <c r="N72" i="9"/>
  <c r="O61" i="9"/>
  <c r="N53" i="9"/>
  <c r="O59" i="9"/>
  <c r="M59" i="9"/>
  <c r="L70" i="9"/>
  <c r="M55" i="9"/>
  <c r="M57" i="9"/>
  <c r="N45" i="9"/>
  <c r="N65" i="9"/>
  <c r="N59" i="9"/>
  <c r="M53" i="9"/>
  <c r="N51" i="9"/>
  <c r="N62" i="9"/>
  <c r="L32" i="9"/>
  <c r="L49" i="9"/>
  <c r="M67" i="9"/>
  <c r="L57" i="9"/>
  <c r="O60" i="9"/>
  <c r="O55" i="9"/>
  <c r="O53" i="9"/>
  <c r="N70" i="9"/>
  <c r="O65" i="9"/>
  <c r="L53" i="9"/>
  <c r="L42" i="10"/>
  <c r="J11" i="4"/>
  <c r="M11" i="13"/>
  <c r="M11" i="33"/>
  <c r="M11" i="23"/>
  <c r="M11" i="29"/>
  <c r="M11" i="35"/>
  <c r="J10" i="4"/>
  <c r="M10" i="20"/>
  <c r="M10" i="23"/>
  <c r="M10" i="13"/>
  <c r="M10" i="24"/>
  <c r="M10" i="35"/>
  <c r="M10" i="51"/>
  <c r="M10" i="41"/>
  <c r="M10" i="16"/>
  <c r="M10" i="29"/>
  <c r="M10" i="33"/>
  <c r="M68" i="20"/>
  <c r="M68" i="13"/>
  <c r="M68" i="27"/>
  <c r="M68" i="23"/>
  <c r="M68" i="29"/>
  <c r="M68" i="35"/>
  <c r="M68" i="33"/>
  <c r="M136" i="26"/>
  <c r="M136" i="34"/>
  <c r="M119" i="23"/>
  <c r="M119" i="20"/>
  <c r="M119" i="27"/>
  <c r="M119" i="13"/>
  <c r="M119" i="35"/>
  <c r="M119" i="29"/>
  <c r="M119" i="33"/>
  <c r="M111" i="23"/>
  <c r="M111" i="20"/>
  <c r="M111" i="27"/>
  <c r="M111" i="35"/>
  <c r="M111" i="29"/>
  <c r="M111" i="13"/>
  <c r="M111" i="33"/>
  <c r="J7" i="4"/>
  <c r="M7" i="19"/>
  <c r="M7" i="13"/>
  <c r="M7" i="23"/>
  <c r="M7" i="22"/>
  <c r="M7" i="25"/>
  <c r="M7" i="20"/>
  <c r="M7" i="24"/>
  <c r="M7" i="29"/>
  <c r="M7" i="41"/>
  <c r="M7" i="16"/>
  <c r="M7" i="51"/>
  <c r="M7" i="35"/>
  <c r="M7" i="33"/>
  <c r="J22" i="4"/>
  <c r="M22" i="20"/>
  <c r="M22" i="13"/>
  <c r="M22" i="24"/>
  <c r="M22" i="51"/>
  <c r="M22" i="23"/>
  <c r="M22" i="29"/>
  <c r="M22" i="35"/>
  <c r="M22" i="33"/>
  <c r="M22" i="16"/>
  <c r="M29" i="23"/>
  <c r="M29" i="13"/>
  <c r="M29" i="29"/>
  <c r="M29" i="51"/>
  <c r="M29" i="35"/>
  <c r="M29" i="24"/>
  <c r="M29" i="16"/>
  <c r="M29" i="20"/>
  <c r="M29" i="33"/>
  <c r="M137" i="26"/>
  <c r="M137" i="34"/>
  <c r="M87" i="13"/>
  <c r="M87" i="20"/>
  <c r="M87" i="23"/>
  <c r="M87" i="27"/>
  <c r="M87" i="33"/>
  <c r="M87" i="29"/>
  <c r="M87" i="35"/>
  <c r="M35" i="13"/>
  <c r="M35" i="23"/>
  <c r="M35" i="29"/>
  <c r="M35" i="35"/>
  <c r="M35" i="33"/>
  <c r="M39" i="13"/>
  <c r="M34" i="13"/>
  <c r="M34" i="23"/>
  <c r="M34" i="29"/>
  <c r="M34" i="35"/>
  <c r="M34" i="33"/>
  <c r="M66" i="13"/>
  <c r="M66" i="20"/>
  <c r="M66" i="27"/>
  <c r="M66" i="35"/>
  <c r="M66" i="33"/>
  <c r="M66" i="23"/>
  <c r="M66" i="29"/>
  <c r="M89" i="20"/>
  <c r="M89" i="13"/>
  <c r="M89" i="23"/>
  <c r="M89" i="27"/>
  <c r="M89" i="29"/>
  <c r="M89" i="35"/>
  <c r="M89" i="33"/>
  <c r="M96" i="33"/>
  <c r="M75" i="33"/>
  <c r="J37" i="4"/>
  <c r="M37" i="13"/>
  <c r="I71" i="9"/>
  <c r="M134" i="26"/>
  <c r="M134" i="34"/>
  <c r="M12" i="13"/>
  <c r="M12" i="23"/>
  <c r="M12" i="29"/>
  <c r="M12" i="35"/>
  <c r="M12" i="33"/>
  <c r="J36" i="4"/>
  <c r="M36" i="13"/>
  <c r="L21" i="10"/>
  <c r="H53" i="10"/>
  <c r="M135" i="26"/>
  <c r="M135" i="34"/>
  <c r="M25" i="13"/>
  <c r="M25" i="20"/>
  <c r="M25" i="29"/>
  <c r="M25" i="33"/>
  <c r="L31" i="10"/>
  <c r="L22" i="10"/>
  <c r="L12" i="10"/>
  <c r="L10" i="10"/>
  <c r="I69" i="9"/>
  <c r="I66" i="9"/>
  <c r="I51" i="9"/>
  <c r="I58" i="9"/>
  <c r="I55" i="9"/>
  <c r="I32" i="9"/>
  <c r="I50" i="9"/>
  <c r="D68" i="9"/>
  <c r="D45" i="9"/>
  <c r="D50" i="9"/>
  <c r="G17" i="10"/>
  <c r="E39" i="9"/>
  <c r="E42" i="9"/>
  <c r="E37" i="9"/>
  <c r="E38" i="9"/>
  <c r="E44" i="9"/>
  <c r="D32" i="9"/>
  <c r="E43" i="9"/>
  <c r="E41" i="9"/>
  <c r="F17" i="10"/>
  <c r="J17" i="10" s="1"/>
  <c r="E36" i="9"/>
  <c r="E40" i="9"/>
  <c r="B27" i="10"/>
  <c r="J27" i="10" s="1"/>
  <c r="J35" i="9"/>
  <c r="E10" i="9"/>
  <c r="C74" i="9"/>
  <c r="E11" i="9"/>
  <c r="J41" i="9"/>
  <c r="E20" i="9"/>
  <c r="J13" i="9"/>
  <c r="E16" i="9"/>
  <c r="G27" i="10"/>
  <c r="H27" i="10" s="1"/>
  <c r="J27" i="9"/>
  <c r="E21" i="9"/>
  <c r="E14" i="9"/>
  <c r="J22" i="9"/>
  <c r="J16" i="9"/>
  <c r="H74" i="9"/>
  <c r="E29" i="9"/>
  <c r="E23" i="9"/>
  <c r="E18" i="9"/>
  <c r="E19" i="9"/>
  <c r="J11" i="9"/>
  <c r="J20" i="9"/>
  <c r="J15" i="9"/>
  <c r="J12" i="9"/>
  <c r="J17" i="9"/>
  <c r="B74" i="9"/>
  <c r="E25" i="9"/>
  <c r="E15" i="9"/>
  <c r="E9" i="9"/>
  <c r="C17" i="10"/>
  <c r="D17" i="10" s="1"/>
  <c r="J28" i="9"/>
  <c r="C27" i="10"/>
  <c r="J24" i="9"/>
  <c r="J18" i="9"/>
  <c r="J10" i="9"/>
  <c r="J19" i="9"/>
  <c r="J26" i="9"/>
  <c r="E30" i="9"/>
  <c r="E12" i="9"/>
  <c r="E22" i="9"/>
  <c r="E24" i="9"/>
  <c r="E26" i="9"/>
  <c r="E27" i="9"/>
  <c r="E28" i="9"/>
  <c r="J21" i="9"/>
  <c r="J29" i="9"/>
  <c r="J30" i="9"/>
  <c r="J23" i="9"/>
  <c r="J42" i="9"/>
  <c r="J43" i="9"/>
  <c r="J37" i="9"/>
  <c r="J38" i="9"/>
  <c r="J36" i="9"/>
  <c r="I45" i="9"/>
  <c r="J39" i="9"/>
  <c r="J44" i="9"/>
  <c r="J119" i="4"/>
  <c r="J137" i="4"/>
  <c r="J135" i="4"/>
  <c r="J111" i="4"/>
  <c r="J12" i="4"/>
  <c r="J66" i="4"/>
  <c r="J35" i="4"/>
  <c r="J134" i="4"/>
  <c r="J34" i="4"/>
  <c r="J136" i="4"/>
  <c r="J68" i="4"/>
  <c r="J89" i="4"/>
  <c r="J87" i="4"/>
  <c r="J29" i="4"/>
  <c r="K53" i="10"/>
  <c r="K55" i="10"/>
  <c r="L44" i="10"/>
  <c r="L23" i="10"/>
  <c r="H55" i="10"/>
  <c r="L30" i="10"/>
  <c r="G57" i="10"/>
  <c r="L32" i="10"/>
  <c r="H54" i="10"/>
  <c r="L43" i="10"/>
  <c r="K46" i="10"/>
  <c r="H46" i="10"/>
  <c r="L41" i="10"/>
  <c r="L13" i="10"/>
  <c r="L25" i="10"/>
  <c r="H30" i="4"/>
  <c r="J30" i="4" s="1"/>
  <c r="K54" i="10"/>
  <c r="L38" i="10"/>
  <c r="D46" i="10"/>
  <c r="J46" i="10"/>
  <c r="D52" i="10"/>
  <c r="J52" i="10"/>
  <c r="B57" i="10"/>
  <c r="J54" i="10"/>
  <c r="D54" i="10"/>
  <c r="F57" i="10"/>
  <c r="H52" i="10"/>
  <c r="L33" i="10"/>
  <c r="K35" i="10"/>
  <c r="L20" i="10"/>
  <c r="H35" i="10"/>
  <c r="J53" i="10"/>
  <c r="D53" i="10"/>
  <c r="D55" i="10"/>
  <c r="J55" i="10"/>
  <c r="K52" i="10"/>
  <c r="C57" i="10"/>
  <c r="J60" i="10"/>
  <c r="L60" i="10" s="1"/>
  <c r="D60" i="10"/>
  <c r="J35" i="10"/>
  <c r="D35" i="10"/>
  <c r="D56" i="10"/>
  <c r="J56" i="10"/>
  <c r="L56" i="10" s="1"/>
  <c r="L18" i="9"/>
  <c r="L31" i="9"/>
  <c r="N20" i="9"/>
  <c r="E54" i="9" l="1"/>
  <c r="E73" i="9"/>
  <c r="J54" i="9"/>
  <c r="N60" i="9"/>
  <c r="L58" i="9"/>
  <c r="L73" i="9"/>
  <c r="J73" i="9"/>
  <c r="I73" i="9" s="1"/>
  <c r="J68" i="9"/>
  <c r="E71" i="9"/>
  <c r="D71" i="9" s="1"/>
  <c r="E67" i="9"/>
  <c r="L55" i="10"/>
  <c r="M75" i="9"/>
  <c r="O75" i="9"/>
  <c r="L75" i="9"/>
  <c r="N75" i="9"/>
  <c r="L53" i="10"/>
  <c r="J45" i="9"/>
  <c r="J32" i="9"/>
  <c r="I74" i="9"/>
  <c r="E45" i="9"/>
  <c r="D74" i="9"/>
  <c r="H17" i="10"/>
  <c r="E57" i="9"/>
  <c r="D57" i="9" s="1"/>
  <c r="E63" i="9"/>
  <c r="D63" i="9" s="1"/>
  <c r="E56" i="9"/>
  <c r="D56" i="9" s="1"/>
  <c r="E55" i="9"/>
  <c r="D55" i="9" s="1"/>
  <c r="J58" i="9"/>
  <c r="J57" i="9"/>
  <c r="I57" i="9" s="1"/>
  <c r="D27" i="10"/>
  <c r="E59" i="9"/>
  <c r="D59" i="9" s="1"/>
  <c r="E61" i="9"/>
  <c r="D61" i="9" s="1"/>
  <c r="E60" i="9"/>
  <c r="D60" i="9" s="1"/>
  <c r="E65" i="9"/>
  <c r="D65" i="9" s="1"/>
  <c r="K27" i="10"/>
  <c r="L27" i="10" s="1"/>
  <c r="J69" i="9"/>
  <c r="J61" i="9"/>
  <c r="I61" i="9" s="1"/>
  <c r="J53" i="9"/>
  <c r="I53" i="9" s="1"/>
  <c r="J62" i="9"/>
  <c r="I62" i="9" s="1"/>
  <c r="E62" i="9"/>
  <c r="D62" i="9" s="1"/>
  <c r="E52" i="9"/>
  <c r="D52" i="9" s="1"/>
  <c r="E50" i="9"/>
  <c r="E68" i="9"/>
  <c r="E72" i="9"/>
  <c r="D72" i="9" s="1"/>
  <c r="E69" i="9"/>
  <c r="D69" i="9" s="1"/>
  <c r="E64" i="9"/>
  <c r="D64" i="9" s="1"/>
  <c r="K17" i="10"/>
  <c r="L17" i="10" s="1"/>
  <c r="J65" i="9"/>
  <c r="I65" i="9" s="1"/>
  <c r="J52" i="9"/>
  <c r="I52" i="9" s="1"/>
  <c r="J59" i="9"/>
  <c r="I59" i="9" s="1"/>
  <c r="J66" i="9"/>
  <c r="J60" i="9"/>
  <c r="I60" i="9" s="1"/>
  <c r="J67" i="9"/>
  <c r="I67" i="9" s="1"/>
  <c r="J55" i="9"/>
  <c r="J51" i="9"/>
  <c r="J72" i="9"/>
  <c r="I72" i="9" s="1"/>
  <c r="J50" i="9"/>
  <c r="J64" i="9"/>
  <c r="I64" i="9" s="1"/>
  <c r="J56" i="9"/>
  <c r="I56" i="9" s="1"/>
  <c r="J70" i="9"/>
  <c r="I70" i="9" s="1"/>
  <c r="J71" i="9"/>
  <c r="E51" i="9"/>
  <c r="D51" i="9" s="1"/>
  <c r="E66" i="9"/>
  <c r="D66" i="9" s="1"/>
  <c r="E53" i="9"/>
  <c r="D53" i="9" s="1"/>
  <c r="E58" i="9"/>
  <c r="D58" i="9" s="1"/>
  <c r="E70" i="9"/>
  <c r="D70" i="9" s="1"/>
  <c r="E32" i="9"/>
  <c r="K57" i="10"/>
  <c r="H57" i="10"/>
  <c r="L46" i="10"/>
  <c r="L35" i="10"/>
  <c r="L54" i="10"/>
  <c r="J57" i="10"/>
  <c r="D57" i="10"/>
  <c r="L52" i="10"/>
  <c r="J74" i="9" l="1"/>
  <c r="E74" i="9"/>
  <c r="L57" i="1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Spørring - Data" description="Tilkobling til spørringen Data i arbeidsboken." type="5" refreshedVersion="6" background="1" refreshOnLoad="1">
    <dbPr connection="Provider=Microsoft.Mashup.OleDb.1;Data Source=$Workbook$;Location=Data;Extended Properties=&quot;&quot;" command="SELECT * FROM [Data]"/>
  </connection>
</connections>
</file>

<file path=xl/sharedStrings.xml><?xml version="1.0" encoding="utf-8"?>
<sst xmlns="http://schemas.openxmlformats.org/spreadsheetml/2006/main" count="5703" uniqueCount="433">
  <si>
    <t>Produkter uten investeringsvalg</t>
  </si>
  <si>
    <t>Produkter med investeringsvalg</t>
  </si>
  <si>
    <t>Totalt</t>
  </si>
  <si>
    <t>Endring</t>
  </si>
  <si>
    <t>i %</t>
  </si>
  <si>
    <t xml:space="preserve">                     </t>
  </si>
  <si>
    <t xml:space="preserve">      Gjeldsgruppeliv</t>
  </si>
  <si>
    <t xml:space="preserve">      Foreningsgruppeliv</t>
  </si>
  <si>
    <t xml:space="preserve">      Andre grupper</t>
  </si>
  <si>
    <t xml:space="preserve">   Ytelsesbasert</t>
  </si>
  <si>
    <t xml:space="preserve">   Innskuddsbasert</t>
  </si>
  <si>
    <t xml:space="preserve">      herav kapitaliseringsprodukt IPA+IPS</t>
  </si>
  <si>
    <t xml:space="preserve">        Inv.valg foretak</t>
  </si>
  <si>
    <t xml:space="preserve">        Inv.valg kontohaver</t>
  </si>
  <si>
    <t xml:space="preserve">    Til pensjonskasser</t>
  </si>
  <si>
    <t xml:space="preserve">    Fra pensjonskasser</t>
  </si>
  <si>
    <t>Noter til tabellene</t>
  </si>
  <si>
    <t>Gruppeliv bedrift tilsvarer tjenestegruppeliv.</t>
  </si>
  <si>
    <t>Gruppeliv privat består av foreningsgruppeliv, gjeldsgruppeliv og annet.</t>
  </si>
  <si>
    <t xml:space="preserve">Engangsbetalt alderspensjon er innskuddsbasert pensjon med dødelighetsarv. </t>
  </si>
  <si>
    <t>LOF/LOI betyr lov om foretakspensjon og lov om innskuddspensjon.</t>
  </si>
  <si>
    <t>Overførte reserver fra andre tilsvarer post 1.3 i resultatregnskapet samt overførte tilleggsavsetninger som tilsvarer post 6.6 i  resultatregnskapet.</t>
  </si>
  <si>
    <t>Flytting av en gruppelivsordning fra andre eller til andre måles i brutto årlig premie (ikke brutto forfalt premie).</t>
  </si>
  <si>
    <r>
      <t xml:space="preserve">Brutto forfalt premie </t>
    </r>
    <r>
      <rPr>
        <b/>
        <vertAlign val="superscript"/>
        <sz val="10"/>
        <rFont val="Times New Roman"/>
        <family val="1"/>
      </rPr>
      <t>1</t>
    </r>
  </si>
  <si>
    <r>
      <t xml:space="preserve">    Herav brutto risikopremie uførekapital </t>
    </r>
    <r>
      <rPr>
        <vertAlign val="superscript"/>
        <sz val="10"/>
        <rFont val="Times New Roman"/>
        <family val="1"/>
      </rPr>
      <t>2</t>
    </r>
  </si>
  <si>
    <r>
      <t xml:space="preserve">    Herav brutto risikopremie død </t>
    </r>
    <r>
      <rPr>
        <vertAlign val="superscript"/>
        <sz val="10"/>
        <rFont val="Times New Roman"/>
        <family val="1"/>
      </rPr>
      <t>2</t>
    </r>
  </si>
  <si>
    <t xml:space="preserve">   Etter tjenestepensjonsloven</t>
  </si>
  <si>
    <t>Tabell 5: Kommunale ordninger</t>
  </si>
  <si>
    <t>Tabell 1 : Individuell kapitalforsikring*</t>
  </si>
  <si>
    <t>Markeds-</t>
  </si>
  <si>
    <t>andel</t>
  </si>
  <si>
    <t>INNHOLDSFORTEGNELSE</t>
  </si>
  <si>
    <t>FIGURER</t>
  </si>
  <si>
    <t>Figur 1</t>
  </si>
  <si>
    <t>Brutto forfalt premie livprodukter - produkter uten investeringsvalg</t>
  </si>
  <si>
    <t>Figur 2</t>
  </si>
  <si>
    <t>Brutto forfalt premie livprodukter - produkter med investeringsvalg</t>
  </si>
  <si>
    <t>Figur 3</t>
  </si>
  <si>
    <t>Figur 4</t>
  </si>
  <si>
    <t>Figur 5</t>
  </si>
  <si>
    <t>Forsikringsforpliktelser livprodukter - produkter uten investeringsvalg</t>
  </si>
  <si>
    <t>Figur 6</t>
  </si>
  <si>
    <t>Forsikringsforpliktelser livprodukter - produkter med investeringsvalg</t>
  </si>
  <si>
    <t>Netto tilflytting livprodukter - produkter uten investeringsvalg</t>
  </si>
  <si>
    <t>Netto tilflytting livprodukter - produkter med investeringsvalg</t>
  </si>
  <si>
    <t>TABELLER</t>
  </si>
  <si>
    <t>MARKEDSDEL</t>
  </si>
  <si>
    <t>Tabell 1.1</t>
  </si>
  <si>
    <t>Hovedtall - produkter uten  og med investeringsvalg</t>
  </si>
  <si>
    <t>Tabell 1.2</t>
  </si>
  <si>
    <t>Hovedtall - fordelt på bransjer</t>
  </si>
  <si>
    <t>NOTER OG KOMMENTARER</t>
  </si>
  <si>
    <t>Tilbake</t>
  </si>
  <si>
    <t xml:space="preserve">Brutto forfalt premie livprodukter </t>
  </si>
  <si>
    <t>Danica Pensjon</t>
  </si>
  <si>
    <t>DNB Liv</t>
  </si>
  <si>
    <t>Eika Forsikring</t>
  </si>
  <si>
    <t>Frende Livsfors</t>
  </si>
  <si>
    <t>Frende Skade</t>
  </si>
  <si>
    <t>Gjensidige Fors</t>
  </si>
  <si>
    <t>Gjensidige Pensj</t>
  </si>
  <si>
    <t>Handelsb Liv</t>
  </si>
  <si>
    <t>If Skadefors</t>
  </si>
  <si>
    <t>KLP</t>
  </si>
  <si>
    <t>KLP Skadef</t>
  </si>
  <si>
    <t>Nordea Liv</t>
  </si>
  <si>
    <t>OPF</t>
  </si>
  <si>
    <t>SpareBank 1</t>
  </si>
  <si>
    <t xml:space="preserve">Storebrand </t>
  </si>
  <si>
    <t>Telenor Fors</t>
  </si>
  <si>
    <t>Tryg Fors</t>
  </si>
  <si>
    <t>SHB Liv</t>
  </si>
  <si>
    <t>Storebrand</t>
  </si>
  <si>
    <t>Forsikringsforpliktelser i livsforsikring</t>
  </si>
  <si>
    <t xml:space="preserve">Netto tilflytting </t>
  </si>
  <si>
    <t>Netto tilflytting</t>
  </si>
  <si>
    <t>Markedsdel, endelig år</t>
  </si>
  <si>
    <t>Tabell 1.1 Hovedtall</t>
  </si>
  <si>
    <t>Produkter med og uten investeringsvalg</t>
  </si>
  <si>
    <r>
      <t>Brutto forfalt premie</t>
    </r>
    <r>
      <rPr>
        <sz val="14"/>
        <rFont val="Times New Roman"/>
        <family val="1"/>
      </rPr>
      <t xml:space="preserve"> </t>
    </r>
    <r>
      <rPr>
        <vertAlign val="superscript"/>
        <sz val="14"/>
        <rFont val="Times New Roman"/>
        <family val="1"/>
      </rPr>
      <t>1)</t>
    </r>
  </si>
  <si>
    <t>%-</t>
  </si>
  <si>
    <t>Beløp i 1000  kroner</t>
  </si>
  <si>
    <t>endring</t>
  </si>
  <si>
    <t>Danica Pensjonsforsikring</t>
  </si>
  <si>
    <t>DNB Livsforsikring</t>
  </si>
  <si>
    <t>Eika Forsikring AS</t>
  </si>
  <si>
    <t>Frende Livsforsikring</t>
  </si>
  <si>
    <t>Frende Skadeforsikring</t>
  </si>
  <si>
    <t>Gjensidige Forsikring</t>
  </si>
  <si>
    <t>Gjensidige Pensjon</t>
  </si>
  <si>
    <t>Handelsbanken Liv</t>
  </si>
  <si>
    <t>If Skadeforsikring NUF</t>
  </si>
  <si>
    <t>KLP Skadeforsikring AS</t>
  </si>
  <si>
    <t xml:space="preserve">Nordea Liv </t>
  </si>
  <si>
    <t>Oslo Pensjonsforsikring</t>
  </si>
  <si>
    <t>Storebrand Livsforsikring</t>
  </si>
  <si>
    <t>Telenor Forsikring</t>
  </si>
  <si>
    <t>Tryg Forsikring</t>
  </si>
  <si>
    <t>Totalt uten investeringsvalg</t>
  </si>
  <si>
    <t>Totalt med investeringsvalg</t>
  </si>
  <si>
    <t>Alle produkter</t>
  </si>
  <si>
    <t>Noter : Se "Noter og kommentarer"</t>
  </si>
  <si>
    <t>Tabell 1.2 Hovedtall</t>
  </si>
  <si>
    <t>Fordelt på bransjer</t>
  </si>
  <si>
    <t>Totalt alle produkter</t>
  </si>
  <si>
    <t>%</t>
  </si>
  <si>
    <t>Beløp i 1000 kr.</t>
  </si>
  <si>
    <r>
      <t xml:space="preserve">Brutto forfalt premie </t>
    </r>
    <r>
      <rPr>
        <vertAlign val="superscript"/>
        <sz val="14"/>
        <rFont val="Times New Roman"/>
        <family val="1"/>
      </rPr>
      <t>1)</t>
    </r>
  </si>
  <si>
    <t xml:space="preserve">   Individuell kapitalforsikring</t>
  </si>
  <si>
    <t xml:space="preserve">   Individuell pensjonsforsikring</t>
  </si>
  <si>
    <t xml:space="preserve">   Gruppeliv</t>
  </si>
  <si>
    <t xml:space="preserve">   Privat kollektiv pensjon</t>
  </si>
  <si>
    <t xml:space="preserve">     - herav innskuddsbasert *</t>
  </si>
  <si>
    <t xml:space="preserve">     - herav etter tjenestepensjonsloven</t>
  </si>
  <si>
    <t xml:space="preserve">   Foreningskollektiv</t>
  </si>
  <si>
    <t>Totalt brutto forfalt premie</t>
  </si>
  <si>
    <r>
      <t xml:space="preserve">     - herav innskuddsbasert </t>
    </r>
    <r>
      <rPr>
        <vertAlign val="superscript"/>
        <sz val="14"/>
        <rFont val="Times New Roman"/>
        <family val="1"/>
      </rPr>
      <t>*</t>
    </r>
  </si>
  <si>
    <t>Totalt forsikringsforpliktelser</t>
  </si>
  <si>
    <t>Totalt overførte reserver fra andre</t>
  </si>
  <si>
    <t>Totalt overførte reserver til andre</t>
  </si>
  <si>
    <t>Totalt netto overførte reserver fra andre</t>
  </si>
  <si>
    <t xml:space="preserve">* "Innskuddsbasert" er summen av "Engangsbetalt" og "Innskuddspensjon". </t>
  </si>
  <si>
    <t>** Bokført verdi, se tabell 6 i statistikken.</t>
  </si>
  <si>
    <t>DNB Livsforsikring ASA</t>
  </si>
  <si>
    <t>Eika Gruppen AS</t>
  </si>
  <si>
    <t>Frende Livsforsikring AS</t>
  </si>
  <si>
    <t>Frende Skadeforsikring AS</t>
  </si>
  <si>
    <t>Gjensidige Forsikring ASA</t>
  </si>
  <si>
    <t>Gjensidige Pensjon og Sparing</t>
  </si>
  <si>
    <t>If Skadeforsikring nuf</t>
  </si>
  <si>
    <t>Livsforsikringsselskapet Nordea Liv Norge AS</t>
  </si>
  <si>
    <t>Telenor Forsikring AS</t>
  </si>
  <si>
    <t>SpareBank 1 Forsikring AS</t>
  </si>
  <si>
    <t>Storebrand ASA</t>
  </si>
  <si>
    <t>KLP Skadeforsikring</t>
  </si>
  <si>
    <t>Selskap</t>
  </si>
  <si>
    <t>Flytting fra andre</t>
  </si>
  <si>
    <t>Flytting til andre</t>
  </si>
  <si>
    <t>Q8</t>
  </si>
  <si>
    <t>Q9</t>
  </si>
  <si>
    <t>Q10</t>
  </si>
  <si>
    <t>Q14</t>
  </si>
  <si>
    <t>Q15</t>
  </si>
  <si>
    <t>Q16</t>
  </si>
  <si>
    <t>Q7</t>
  </si>
  <si>
    <t>R7</t>
  </si>
  <si>
    <t>R8</t>
  </si>
  <si>
    <t>R9</t>
  </si>
  <si>
    <t>R10</t>
  </si>
  <si>
    <t>R14</t>
  </si>
  <si>
    <t>R15</t>
  </si>
  <si>
    <t>R16</t>
  </si>
  <si>
    <t>Q11</t>
  </si>
  <si>
    <t>Q17</t>
  </si>
  <si>
    <t>Q18</t>
  </si>
  <si>
    <t>R17</t>
  </si>
  <si>
    <t>R18</t>
  </si>
  <si>
    <t>R11</t>
  </si>
  <si>
    <t>Tabell 1.3 Hovedtall</t>
  </si>
  <si>
    <t>Aktivaposter (aggregert)</t>
  </si>
  <si>
    <t>i mill. kr</t>
  </si>
  <si>
    <t>prosentvis andel</t>
  </si>
  <si>
    <t>Selskapsporteføljen</t>
  </si>
  <si>
    <t xml:space="preserve">   Aksjer</t>
  </si>
  <si>
    <t xml:space="preserve">   Obligasjoner</t>
  </si>
  <si>
    <t xml:space="preserve">   Eiendom</t>
  </si>
  <si>
    <t xml:space="preserve">   Datterforetak m.m.</t>
  </si>
  <si>
    <t xml:space="preserve">   Utlån</t>
  </si>
  <si>
    <t xml:space="preserve">   Annet</t>
  </si>
  <si>
    <t>Kollektivporteføljen</t>
  </si>
  <si>
    <t>Investeringsvalgporteføljen</t>
  </si>
  <si>
    <t>Tallene er hentet fra tabell 6 Balanse.</t>
  </si>
  <si>
    <t>Regnskapsdel, endelig år</t>
  </si>
  <si>
    <t>Tabell 6</t>
  </si>
  <si>
    <t>Balanse</t>
  </si>
  <si>
    <t>Danica</t>
  </si>
  <si>
    <t>DNB</t>
  </si>
  <si>
    <t>Frende</t>
  </si>
  <si>
    <t>Gjensidige</t>
  </si>
  <si>
    <t xml:space="preserve"> </t>
  </si>
  <si>
    <t>Oslo</t>
  </si>
  <si>
    <t>Pensjonsforsikring</t>
  </si>
  <si>
    <t>Livsforsikring</t>
  </si>
  <si>
    <t>Pensjon</t>
  </si>
  <si>
    <r>
      <t>norske livselskaper</t>
    </r>
    <r>
      <rPr>
        <b/>
        <vertAlign val="superscript"/>
        <sz val="14"/>
        <rFont val="Times New Roman"/>
        <family val="1"/>
      </rPr>
      <t xml:space="preserve"> </t>
    </r>
  </si>
  <si>
    <r>
      <t>alle livselskaper</t>
    </r>
    <r>
      <rPr>
        <b/>
        <vertAlign val="superscript"/>
        <sz val="14"/>
        <rFont val="Times New Roman"/>
        <family val="1"/>
      </rPr>
      <t xml:space="preserve"> </t>
    </r>
  </si>
  <si>
    <t>Beløp i millioner kroner</t>
  </si>
  <si>
    <t>EIENDELER</t>
  </si>
  <si>
    <t>EIENDELER I SELSKAPSPORTEFØLJEN</t>
  </si>
  <si>
    <t>2. Investeringer i selskapsporteføljen</t>
  </si>
  <si>
    <t xml:space="preserve">    2.1 Bygninger og andre faste eiendommer</t>
  </si>
  <si>
    <t xml:space="preserve">    2.2 Datterforetak, tilknyttede foretak og felleskontrollerte foretak</t>
  </si>
  <si>
    <t xml:space="preserve">    2.3 Finansielle eiendeler som måles til amortisert kost</t>
  </si>
  <si>
    <t xml:space="preserve">         2.3.1 Investeringer som holdes til forfall</t>
  </si>
  <si>
    <t xml:space="preserve">            - Obligasjoner</t>
  </si>
  <si>
    <t xml:space="preserve">         2.3.2 Utlån og fordringer</t>
  </si>
  <si>
    <t xml:space="preserve">    2.4 Finansielle eiendeler som måles til virkelig verdi</t>
  </si>
  <si>
    <t xml:space="preserve">         2.4.1 Aksjer og andeler (inkl. aksjer og andeler målt til kost)</t>
  </si>
  <si>
    <t xml:space="preserve">         2.4.2 Obligasjoner og andre verdipapirer med fast avkastning</t>
  </si>
  <si>
    <t xml:space="preserve">         2.4.3 Utlån og fordringer</t>
  </si>
  <si>
    <t xml:space="preserve">         2.4.4 Finansielle derivater</t>
  </si>
  <si>
    <t xml:space="preserve">         2.4.5 Andre finansielle eiendeler</t>
  </si>
  <si>
    <t xml:space="preserve">    2.5 Gjenforsikringsdepoter</t>
  </si>
  <si>
    <t xml:space="preserve">    Sum investeringer i selskapsporteføljen</t>
  </si>
  <si>
    <t>Annet - postene 1, 3, 4 og 5</t>
  </si>
  <si>
    <t>Sum eiendeler i selskapsporteføljen</t>
  </si>
  <si>
    <t>EIENDELER I KUNDEPORTEFØLJENE</t>
  </si>
  <si>
    <t>6. Investeringer i kollektivporteføljen</t>
  </si>
  <si>
    <t xml:space="preserve">    6.1 Bygninger og andre faste eiendommer</t>
  </si>
  <si>
    <t xml:space="preserve">    6.2 Datterforetak, tilknyttede foretak og felleskontrollerte foretak</t>
  </si>
  <si>
    <t xml:space="preserve">    6.3 Finansielle eiendeler som måles til amortisert kost</t>
  </si>
  <si>
    <t xml:space="preserve">         6.3.1 Investeringer som holdes til forfall</t>
  </si>
  <si>
    <t xml:space="preserve">         6.3.2 Utlån og fordringer</t>
  </si>
  <si>
    <t xml:space="preserve">    6.4 Finansielle eiendeler som måles til virkelig verdi</t>
  </si>
  <si>
    <t xml:space="preserve">         6.4.1 Aksjer og andeler (inkl. aksjer og andeler målt til kost)</t>
  </si>
  <si>
    <t xml:space="preserve">         6.4.2 Obligasjoner og andre verdipapirer med fast avkastning</t>
  </si>
  <si>
    <t xml:space="preserve">         6.4.3 Utlån og fordringer</t>
  </si>
  <si>
    <t xml:space="preserve">         6.4.4 Finansielle derivater</t>
  </si>
  <si>
    <t xml:space="preserve">         6.4.5 Andre finansielle eiendeler</t>
  </si>
  <si>
    <t xml:space="preserve">    Sum investeringer i kollektivporteføljen</t>
  </si>
  <si>
    <t>8. Investeringer i investeringsvalgporteføljen</t>
  </si>
  <si>
    <t xml:space="preserve">    8.1 Bygninger og andre faste eiendommer</t>
  </si>
  <si>
    <t xml:space="preserve">    8.2 Datterforetak, tilknyttede foretak og felleskontrollerte foretak</t>
  </si>
  <si>
    <t xml:space="preserve">    8.3 Finansielle eiendeler som måles til amortisert kost</t>
  </si>
  <si>
    <t xml:space="preserve">         8.3.1 Investeringer som holdes til forfall</t>
  </si>
  <si>
    <t xml:space="preserve">         8.3.2 Utlån og fordringer</t>
  </si>
  <si>
    <t xml:space="preserve">    8.4 Finansielle eiendeler som måles til virkelig verdi</t>
  </si>
  <si>
    <t xml:space="preserve">         8.4.1 Aksjer og andeler (inkl. aksjer og andeler målt til kost)</t>
  </si>
  <si>
    <t xml:space="preserve">         8.4.2 Obligasjoner og andre verdipapirer med fast avkastning</t>
  </si>
  <si>
    <t xml:space="preserve">         8.4.3 Utlån og fordringer</t>
  </si>
  <si>
    <t xml:space="preserve">         8.4.4 Finansielle derivater</t>
  </si>
  <si>
    <t xml:space="preserve">         8.4.5 Andre finansielle eiendeler</t>
  </si>
  <si>
    <t xml:space="preserve">    Sum investeringer i investeringsvalgsporteføljen</t>
  </si>
  <si>
    <t>Sum eiendeler i kundeporteføljene</t>
  </si>
  <si>
    <t>SUM EIENDELER</t>
  </si>
  <si>
    <t>EGENKAPITAL OG FORPLIKTELSER</t>
  </si>
  <si>
    <t>10. Innskutt egenkapital</t>
  </si>
  <si>
    <t>11. Opptjent egenkapital</t>
  </si>
  <si>
    <t xml:space="preserve">    11.1 Risikoutjevningsfond</t>
  </si>
  <si>
    <t>12. Ansvarlig lånekapital mv.</t>
  </si>
  <si>
    <t>13. Forsikringsforpliktelser i livsforsikring - KF</t>
  </si>
  <si>
    <t xml:space="preserve">    13.2 Tilleggsavsetninger</t>
  </si>
  <si>
    <t xml:space="preserve">    13.3 Kursreguleringsfond</t>
  </si>
  <si>
    <t xml:space="preserve">    Ufordelte overskuddsmidler til forsikringskontraktene</t>
  </si>
  <si>
    <t>Sum forsikringsforpliktelser i livsforsikring - KF</t>
  </si>
  <si>
    <t>14. Forsikringsforpliktelser i livsforsikring - SI</t>
  </si>
  <si>
    <t>Sum forsikringsforpliktelser i livsforsikring - SI</t>
  </si>
  <si>
    <t>15. Avsetninger for forpliktelser</t>
  </si>
  <si>
    <t>16. Premiedepot fra gjenforsikringsselskaper</t>
  </si>
  <si>
    <t>17. Forpliktelser</t>
  </si>
  <si>
    <t>18. Påløpte kostnader og mottatte ikke opptjente inntekter</t>
  </si>
  <si>
    <t>SUM EGENKAPTAL OG FORPLIKTELSER</t>
  </si>
  <si>
    <t>Noter: Se "Noter og kommentarer"</t>
  </si>
  <si>
    <t>KF=Kontraktsfastsatte forpliktelser</t>
  </si>
  <si>
    <t>SI=Særskilt investeringsportefølje</t>
  </si>
  <si>
    <t>REGNSKAPSDEL</t>
  </si>
  <si>
    <t>Tabell 4</t>
  </si>
  <si>
    <t>Resultatregnskap - alle produkter</t>
  </si>
  <si>
    <t>Tabell 5.1</t>
  </si>
  <si>
    <t>Resultatanalyse - Individuell kapital og individuell pensjon - alle produkter</t>
  </si>
  <si>
    <t>Tabell 5.2</t>
  </si>
  <si>
    <t>Resultatanalyse - Kollektiv pensjon - alle produkter</t>
  </si>
  <si>
    <t>Tabell 5.3</t>
  </si>
  <si>
    <t>Resultatanalyse - Gruppeliv, ulykke o.a. og total - alle produkter</t>
  </si>
  <si>
    <t>Balanse - alle produkter</t>
  </si>
  <si>
    <t>Tabell 7a</t>
  </si>
  <si>
    <t>Spesifikasjon av post 12 - forsikringsforpliktelser - produkter uten investeringsvalg</t>
  </si>
  <si>
    <t>Tabell 7b</t>
  </si>
  <si>
    <t>Spesifikasjon post 13 forsikringsforpliktelser - produkter med investeringsvalg</t>
  </si>
  <si>
    <t>Tabell 8</t>
  </si>
  <si>
    <t>Diverse nøkkeltall - produkter uten investeringsvalg</t>
  </si>
  <si>
    <t>Totalt - alle produkter</t>
  </si>
  <si>
    <t>Tabell 2: Individuell  pensjonsforsikring, herunder foreningskollektiv</t>
  </si>
  <si>
    <t>Tabell 3: Gruppelivsforsikring</t>
  </si>
  <si>
    <t>Tabell 4: Privat kollektiv pensjonsforsikring, herunder fripoliser, pensjonskapitalbevis og pensjonsbevis</t>
  </si>
  <si>
    <t>* Brutto risiokopremie for invidiuell uførepensjon fremkommer i tabell 2.</t>
  </si>
  <si>
    <r>
      <t xml:space="preserve">Brutto risikopremie for individuell uførepensjon </t>
    </r>
    <r>
      <rPr>
        <vertAlign val="superscript"/>
        <sz val="10"/>
        <rFont val="Times New Roman"/>
        <family val="1"/>
      </rPr>
      <t>3</t>
    </r>
  </si>
  <si>
    <t>Brutto risikopremie rapporteres for produkter både med og uten sparing. Risikopremie for tilknyttede dekninger, som kritisk sykdom, ulykke m.m. skal ikke tas med. For Brutto risikopremie for individuell uførepensjon, se note 3.</t>
  </si>
  <si>
    <t xml:space="preserve">Risikopremie for individuell uførepensjon blir i noen selskap regnskapsført under Individuell kapital, mens den for de fleste regnskapsføres under Individuell pensjon. Brutto risikopremie for uførepensjon er derfor ikke en heravpost for verken Individuell kapital eller Individuell pensjon, men gjelder som en heravpost samlet for disse. </t>
  </si>
  <si>
    <t xml:space="preserve">Forsikringsforpliktelser i livsforsikring tilsvarer post 13 i balansen, ekskl. post 13.3 Kursreguleringsfond for produkter uten investeringsvalg og post 14 i balansen for produkter med investeringsvalg. Gjenforsikringsandel skal ikke tas hensyn til i markedsdelen. </t>
  </si>
  <si>
    <t>Herav fripoliser med investeringsvalg betraktes som innskuddsbasert.</t>
  </si>
  <si>
    <t>Innskuddspensjon er innskuddsbasert pensjon uten dødelighetsarv.</t>
  </si>
  <si>
    <t>Herav fripoliser, herav pensjonskapitalbevis og herav pensjonsbevis omfatter også fortsettelsesforsikringer. Herav-postene er uttrekk fra hovedpostene i tabellen Privat kollektiv pensjonsforsikring, uansett om det er Innenfor LOF/LOI eller Utenfor LOF/LOI - Livrenter.</t>
  </si>
  <si>
    <t>Gjelder ikke ordninger etter lov om tjenestepensjon</t>
  </si>
  <si>
    <r>
      <t xml:space="preserve">Brutto forfalt premie - Foreningskollektiv </t>
    </r>
    <r>
      <rPr>
        <b/>
        <vertAlign val="superscript"/>
        <sz val="10"/>
        <rFont val="Times New Roman"/>
        <family val="1"/>
      </rPr>
      <t>1</t>
    </r>
  </si>
  <si>
    <t>Regnskapsdel, endelig kvartal</t>
  </si>
  <si>
    <t>Resultatregnskap</t>
  </si>
  <si>
    <t xml:space="preserve">Totalt </t>
  </si>
  <si>
    <t>norske livselskaper</t>
  </si>
  <si>
    <t>alle livselskaper</t>
  </si>
  <si>
    <t xml:space="preserve">Beløp i millioner kroner </t>
  </si>
  <si>
    <t>TEKNISK REGNSKAP FOR LIVSFORSIKRING</t>
  </si>
  <si>
    <t>1. Premieinntekter f.e.r.</t>
  </si>
  <si>
    <t xml:space="preserve">    1.1 Forfalt premier, brutto</t>
  </si>
  <si>
    <t xml:space="preserve">    1.2 - Avgitte gjenforsikringspremier</t>
  </si>
  <si>
    <t xml:space="preserve">    1.3 Overføring av premiereserve fra andre selskap/kasser</t>
  </si>
  <si>
    <t xml:space="preserve">    Sum premieinntekter f.e.r.</t>
  </si>
  <si>
    <t>2. Netto inntekter fra investeringer i kollektivporteføljen</t>
  </si>
  <si>
    <t>3. Netto inntekter fra investeringer i investeringsvalgporteføljen</t>
  </si>
  <si>
    <t>4. Andre forsikringsrelaterte inntekter</t>
  </si>
  <si>
    <t>5. Erstatninger</t>
  </si>
  <si>
    <t xml:space="preserve">    5.1 Utbetalte erstatninger</t>
  </si>
  <si>
    <t>Sum erstatninger f.e.r.</t>
  </si>
  <si>
    <t>6. Resultatførte endringer i forsikringsforpliktelser - KF</t>
  </si>
  <si>
    <t xml:space="preserve">    6.1 Endring i premiereserve</t>
  </si>
  <si>
    <t xml:space="preserve">    6.2 Endring i tilleggsavsetninger</t>
  </si>
  <si>
    <t xml:space="preserve">    6.3 Endring i kursreguleringsfond</t>
  </si>
  <si>
    <t xml:space="preserve">    6.4 Endring i premie-, innskudds- og pensjonistenes overskuddsfond</t>
  </si>
  <si>
    <t xml:space="preserve">    6.5 Endring i tekniske avsetninger for skadeforsikringsvirksomhet</t>
  </si>
  <si>
    <t xml:space="preserve">    6.6 Overføring av tilleggsavsetninger fra andre fors.selskap/pensj.kasser</t>
  </si>
  <si>
    <t>Sum resultatførte endringer i forsikringsforpliktelser - KF</t>
  </si>
  <si>
    <t>7. Resultatførte endringer i forsikringsforpliktelser - SI</t>
  </si>
  <si>
    <t>8. Midler tilordnet forsikringskontrakter -KF</t>
  </si>
  <si>
    <t>9. Forsikringsrelaterte driftskostnader</t>
  </si>
  <si>
    <t>10. Andre forsikringsrelaterte kostnader</t>
  </si>
  <si>
    <t>11.Resultat av teknisk regnskap</t>
  </si>
  <si>
    <t>IKKE-TEKNISK REGNSKAP FOR LIVSFORSIKRING</t>
  </si>
  <si>
    <t>12. Netto inntekter fra investeringer i selskapsporteføljen</t>
  </si>
  <si>
    <t>13. Andre inntekter</t>
  </si>
  <si>
    <t>14. Forvaltningskostnader og andre kostnader knyttet til selskapsporteføljen</t>
  </si>
  <si>
    <t>15. Resultat av ikke-teknisk regnskap</t>
  </si>
  <si>
    <t>16. Resultat før skattekostnad</t>
  </si>
  <si>
    <t>17. Skattekostnader</t>
  </si>
  <si>
    <t>18. Resultat før andre resultatkomponenter</t>
  </si>
  <si>
    <t>19. Andre resultatkomponenter</t>
  </si>
  <si>
    <t>20. TOTALRESULTAT</t>
  </si>
  <si>
    <t>Overføringer og disponeringer</t>
  </si>
  <si>
    <t xml:space="preserve">    Overføringer</t>
  </si>
  <si>
    <t xml:space="preserve">        Mottatt konsernbidrag</t>
  </si>
  <si>
    <t xml:space="preserve">        Overført fra annen egenkapital</t>
  </si>
  <si>
    <t xml:space="preserve">    Sum overføringer</t>
  </si>
  <si>
    <t xml:space="preserve">    Disponeringer</t>
  </si>
  <si>
    <t xml:space="preserve">        Utbytte</t>
  </si>
  <si>
    <t xml:space="preserve">        Avgitt konsernbidrag</t>
  </si>
  <si>
    <t xml:space="preserve">        Overført til annen egenkapital</t>
  </si>
  <si>
    <t xml:space="preserve">    Sum disponeringer</t>
  </si>
  <si>
    <t>Sum overføringer og disponeringer</t>
  </si>
  <si>
    <t>Diverse nøkkeltall</t>
  </si>
  <si>
    <t>7. Gjenforsikringsandel av forsikringsforpliktelser i kollektivporteføljen</t>
  </si>
  <si>
    <t>9. Gjenforsikringsandel av forsikringsforpliktelser i investeringsvalgporteføljen</t>
  </si>
  <si>
    <t xml:space="preserve">Med kommunal kollektiv pensjon menes kollektive pensjonsordninger som definert i lov om forsikringsvirksomhet § 4-1 og § 4-2.   </t>
  </si>
  <si>
    <t>Tabell 1.3</t>
  </si>
  <si>
    <t>Hovedtall - aktivaposter</t>
  </si>
  <si>
    <t>Skjema total MA</t>
  </si>
  <si>
    <t>Tall pr. selskap - alle produkter</t>
  </si>
  <si>
    <t>Selskapsnavn</t>
  </si>
  <si>
    <t>Kursreguleringsfond</t>
  </si>
  <si>
    <t xml:space="preserve">   Etter tjenestepensjonsloven - Uførepensjon</t>
  </si>
  <si>
    <t xml:space="preserve">   Etter tjenestepensjonsloven - Alderspensjon</t>
  </si>
  <si>
    <t xml:space="preserve">  Etter tjenestepensjonsloven - Uførepensjon</t>
  </si>
  <si>
    <t xml:space="preserve">  Etter tjenestepensjonsloven - Alderspensjon</t>
  </si>
  <si>
    <t>Brutto forfalt premie tilsvarer post 1.1 i resultatregnskapet, jf. forskrift til årsregnskap for livsforsikringsfortak.</t>
  </si>
  <si>
    <t>Overførte reserver til andre tilsvarer post 5.2 i resultatregnskapet.</t>
  </si>
  <si>
    <r>
      <t xml:space="preserve">   Kommunal kollektiv pensjon </t>
    </r>
    <r>
      <rPr>
        <vertAlign val="superscript"/>
        <sz val="14"/>
        <rFont val="Times New Roman"/>
        <family val="1"/>
      </rPr>
      <t>15)</t>
    </r>
  </si>
  <si>
    <r>
      <t xml:space="preserve">Forsikringsforpliktelser </t>
    </r>
    <r>
      <rPr>
        <vertAlign val="superscript"/>
        <sz val="14"/>
        <rFont val="Times New Roman"/>
        <family val="1"/>
      </rPr>
      <t>4)</t>
    </r>
  </si>
  <si>
    <r>
      <t xml:space="preserve">Overførte reserver fra andre </t>
    </r>
    <r>
      <rPr>
        <vertAlign val="superscript"/>
        <sz val="14"/>
        <rFont val="Times New Roman"/>
        <family val="1"/>
      </rPr>
      <t>5)</t>
    </r>
  </si>
  <si>
    <r>
      <t xml:space="preserve">Flytting fra andre </t>
    </r>
    <r>
      <rPr>
        <vertAlign val="superscript"/>
        <sz val="14"/>
        <rFont val="Times New Roman"/>
        <family val="1"/>
      </rPr>
      <t>9)</t>
    </r>
  </si>
  <si>
    <r>
      <t xml:space="preserve">Overførte reserver til andre </t>
    </r>
    <r>
      <rPr>
        <vertAlign val="superscript"/>
        <sz val="14"/>
        <rFont val="Times New Roman"/>
        <family val="1"/>
      </rPr>
      <t>6)</t>
    </r>
  </si>
  <si>
    <r>
      <t xml:space="preserve">Flytting til andre </t>
    </r>
    <r>
      <rPr>
        <vertAlign val="superscript"/>
        <sz val="14"/>
        <rFont val="Times New Roman"/>
        <family val="1"/>
      </rPr>
      <t>9)</t>
    </r>
  </si>
  <si>
    <r>
      <t xml:space="preserve">Netto overførte reserver fra andre </t>
    </r>
    <r>
      <rPr>
        <b/>
        <vertAlign val="superscript"/>
        <sz val="14"/>
        <rFont val="Times New Roman"/>
        <family val="1"/>
      </rPr>
      <t>9)</t>
    </r>
  </si>
  <si>
    <r>
      <t xml:space="preserve">Netto flytting fra andre </t>
    </r>
    <r>
      <rPr>
        <vertAlign val="superscript"/>
        <sz val="14"/>
        <rFont val="Times New Roman"/>
        <family val="1"/>
      </rPr>
      <t>9)</t>
    </r>
  </si>
  <si>
    <t>Livrenter, IPA og IPS er individuelle pensjonsspareavtaler etter skattereglene (kun i årsstatistikken / 4.kvartal). IPS forsikring etablert før 1.11.2017 defineres som IPS forsikring 2008, etter lov om individuell pensjonsordning vedtatt i 2008. Nye ordningen for skattefavorisert individuell pensjonssparing fra 1. november 2017 defineres som IPS forsikring.</t>
  </si>
  <si>
    <t xml:space="preserve">    13.5 Andre tekniske avsetninger for skadeforsikringsvirksomheten</t>
  </si>
  <si>
    <t xml:space="preserve">    5.2 Overføring av premieres., tilleggsavsetn. til andre selskap/kasser</t>
  </si>
  <si>
    <t>Protector Forsikring</t>
  </si>
  <si>
    <r>
      <t xml:space="preserve">Forsikringsforpliktelser </t>
    </r>
    <r>
      <rPr>
        <b/>
        <vertAlign val="superscript"/>
        <sz val="10"/>
        <rFont val="Times New Roman"/>
        <family val="1"/>
      </rPr>
      <t>4</t>
    </r>
  </si>
  <si>
    <r>
      <t xml:space="preserve">Overførte reserver fra andre </t>
    </r>
    <r>
      <rPr>
        <b/>
        <vertAlign val="superscript"/>
        <sz val="10"/>
        <rFont val="Times New Roman"/>
        <family val="1"/>
      </rPr>
      <t>5</t>
    </r>
  </si>
  <si>
    <r>
      <t>Overførte reserver til andre</t>
    </r>
    <r>
      <rPr>
        <b/>
        <vertAlign val="superscript"/>
        <sz val="10"/>
        <rFont val="Times New Roman"/>
        <family val="1"/>
      </rPr>
      <t xml:space="preserve"> 6</t>
    </r>
  </si>
  <si>
    <r>
      <t xml:space="preserve">    Livrenter </t>
    </r>
    <r>
      <rPr>
        <vertAlign val="superscript"/>
        <sz val="10"/>
        <rFont val="Times New Roman"/>
        <family val="1"/>
      </rPr>
      <t>10</t>
    </r>
  </si>
  <si>
    <r>
      <t xml:space="preserve">    IPA </t>
    </r>
    <r>
      <rPr>
        <vertAlign val="superscript"/>
        <sz val="10"/>
        <rFont val="Times New Roman"/>
        <family val="1"/>
      </rPr>
      <t>10</t>
    </r>
  </si>
  <si>
    <r>
      <t xml:space="preserve">    IPS 2008 </t>
    </r>
    <r>
      <rPr>
        <vertAlign val="superscript"/>
        <sz val="10"/>
        <rFont val="Times New Roman"/>
        <family val="1"/>
      </rPr>
      <t>10</t>
    </r>
  </si>
  <si>
    <r>
      <t xml:space="preserve">    IPS </t>
    </r>
    <r>
      <rPr>
        <vertAlign val="superscript"/>
        <sz val="10"/>
        <rFont val="Times New Roman"/>
        <family val="1"/>
      </rPr>
      <t>10</t>
    </r>
  </si>
  <si>
    <r>
      <t xml:space="preserve">Forsikringsforpliktelser </t>
    </r>
    <r>
      <rPr>
        <b/>
        <vertAlign val="superscript"/>
        <sz val="10"/>
        <rFont val="Times New Roman"/>
        <family val="1"/>
      </rPr>
      <t>6</t>
    </r>
  </si>
  <si>
    <r>
      <t xml:space="preserve">Forsikringsforpliktelser  - Foreningskollektiv </t>
    </r>
    <r>
      <rPr>
        <b/>
        <vertAlign val="superscript"/>
        <sz val="10"/>
        <rFont val="Times New Roman"/>
        <family val="1"/>
      </rPr>
      <t>4</t>
    </r>
  </si>
  <si>
    <r>
      <t xml:space="preserve">Overførte reserver fra andre - Foreningskollektiv </t>
    </r>
    <r>
      <rPr>
        <b/>
        <vertAlign val="superscript"/>
        <sz val="10"/>
        <rFont val="Times New Roman"/>
        <family val="1"/>
      </rPr>
      <t>5</t>
    </r>
  </si>
  <si>
    <r>
      <t xml:space="preserve">Overførte reserver til andre - Foreningskollektiv </t>
    </r>
    <r>
      <rPr>
        <b/>
        <vertAlign val="superscript"/>
        <sz val="10"/>
        <rFont val="Times New Roman"/>
        <family val="1"/>
      </rPr>
      <t>6</t>
    </r>
  </si>
  <si>
    <r>
      <t xml:space="preserve">    Bedrift </t>
    </r>
    <r>
      <rPr>
        <vertAlign val="superscript"/>
        <sz val="10"/>
        <rFont val="Times New Roman"/>
        <family val="1"/>
      </rPr>
      <t>7</t>
    </r>
  </si>
  <si>
    <r>
      <t xml:space="preserve">    Privat </t>
    </r>
    <r>
      <rPr>
        <vertAlign val="superscript"/>
        <sz val="10"/>
        <rFont val="Times New Roman"/>
        <family val="1"/>
      </rPr>
      <t>8</t>
    </r>
  </si>
  <si>
    <r>
      <t xml:space="preserve">Flytting fra andre </t>
    </r>
    <r>
      <rPr>
        <b/>
        <vertAlign val="superscript"/>
        <sz val="10"/>
        <rFont val="Times New Roman"/>
        <family val="1"/>
      </rPr>
      <t>9</t>
    </r>
  </si>
  <si>
    <r>
      <t xml:space="preserve">Flytting til andre </t>
    </r>
    <r>
      <rPr>
        <b/>
        <vertAlign val="superscript"/>
        <sz val="10"/>
        <rFont val="Times New Roman"/>
        <family val="1"/>
      </rPr>
      <t>9</t>
    </r>
  </si>
  <si>
    <r>
      <t xml:space="preserve">      Engangsbetalt </t>
    </r>
    <r>
      <rPr>
        <vertAlign val="superscript"/>
        <sz val="10"/>
        <rFont val="Times New Roman"/>
        <family val="1"/>
      </rPr>
      <t>11</t>
    </r>
  </si>
  <si>
    <r>
      <t xml:space="preserve">      Innskuddspensjon </t>
    </r>
    <r>
      <rPr>
        <vertAlign val="superscript"/>
        <sz val="10"/>
        <rFont val="Times New Roman"/>
        <family val="1"/>
      </rPr>
      <t>12</t>
    </r>
  </si>
  <si>
    <r>
      <t xml:space="preserve">  Innenfor LOF/LOI </t>
    </r>
    <r>
      <rPr>
        <vertAlign val="superscript"/>
        <sz val="10"/>
        <rFont val="Times New Roman"/>
        <family val="1"/>
      </rPr>
      <t>13</t>
    </r>
  </si>
  <si>
    <r>
      <t xml:space="preserve">  Utenfor LOF/LOI - Livrenter </t>
    </r>
    <r>
      <rPr>
        <vertAlign val="superscript"/>
        <sz val="10"/>
        <rFont val="Times New Roman"/>
        <family val="1"/>
      </rPr>
      <t>13,17</t>
    </r>
  </si>
  <si>
    <r>
      <t xml:space="preserve">  Herav fripoliser </t>
    </r>
    <r>
      <rPr>
        <vertAlign val="superscript"/>
        <sz val="10"/>
        <rFont val="Times New Roman"/>
        <family val="1"/>
      </rPr>
      <t>14,16</t>
    </r>
  </si>
  <si>
    <r>
      <t xml:space="preserve">  Herav pensjonskapitalbevis </t>
    </r>
    <r>
      <rPr>
        <vertAlign val="superscript"/>
        <sz val="10"/>
        <rFont val="Times New Roman"/>
        <family val="1"/>
      </rPr>
      <t>14</t>
    </r>
  </si>
  <si>
    <r>
      <t xml:space="preserve">  Herav pensjonsbevis</t>
    </r>
    <r>
      <rPr>
        <vertAlign val="superscript"/>
        <sz val="10"/>
        <rFont val="Times New Roman"/>
        <family val="1"/>
      </rPr>
      <t>14</t>
    </r>
  </si>
  <si>
    <r>
      <t xml:space="preserve">   Herav fripoliser </t>
    </r>
    <r>
      <rPr>
        <vertAlign val="superscript"/>
        <sz val="10"/>
        <rFont val="Times New Roman"/>
        <family val="1"/>
      </rPr>
      <t>14,16</t>
    </r>
  </si>
  <si>
    <r>
      <t xml:space="preserve">   Herav pensjonskapitalbevis </t>
    </r>
    <r>
      <rPr>
        <vertAlign val="superscript"/>
        <sz val="10"/>
        <rFont val="Times New Roman"/>
        <family val="1"/>
      </rPr>
      <t>14</t>
    </r>
  </si>
  <si>
    <r>
      <t xml:space="preserve">Brutto forfalt premie </t>
    </r>
    <r>
      <rPr>
        <b/>
        <vertAlign val="superscript"/>
        <sz val="10"/>
        <rFont val="Times New Roman"/>
        <family val="1"/>
      </rPr>
      <t>1, 15</t>
    </r>
  </si>
  <si>
    <r>
      <t xml:space="preserve">Forsikringsforpliktelser </t>
    </r>
    <r>
      <rPr>
        <b/>
        <vertAlign val="superscript"/>
        <sz val="10"/>
        <rFont val="Times New Roman"/>
        <family val="1"/>
      </rPr>
      <t>4, 15</t>
    </r>
  </si>
  <si>
    <r>
      <t xml:space="preserve">Overførte reserver fra andre </t>
    </r>
    <r>
      <rPr>
        <b/>
        <vertAlign val="superscript"/>
        <sz val="10"/>
        <rFont val="Times New Roman"/>
        <family val="1"/>
      </rPr>
      <t>5, 15</t>
    </r>
  </si>
  <si>
    <r>
      <t>Overførte reserver til andre</t>
    </r>
    <r>
      <rPr>
        <b/>
        <vertAlign val="superscript"/>
        <sz val="10"/>
        <rFont val="Times New Roman"/>
        <family val="1"/>
      </rPr>
      <t xml:space="preserve"> 6, 15</t>
    </r>
  </si>
  <si>
    <r>
      <t xml:space="preserve">  Herav fripoliser </t>
    </r>
    <r>
      <rPr>
        <vertAlign val="superscript"/>
        <sz val="10"/>
        <rFont val="Times New Roman"/>
        <family val="1"/>
      </rPr>
      <t>14</t>
    </r>
  </si>
  <si>
    <r>
      <t xml:space="preserve">Forsikringsforpliktelser </t>
    </r>
    <r>
      <rPr>
        <b/>
        <vertAlign val="superscript"/>
        <sz val="10"/>
        <rFont val="Times New Roman"/>
        <family val="1"/>
      </rPr>
      <t>5, 15</t>
    </r>
  </si>
  <si>
    <r>
      <t>Forsikringsforpliktelser</t>
    </r>
    <r>
      <rPr>
        <sz val="14"/>
        <rFont val="Times New Roman"/>
        <family val="1"/>
      </rPr>
      <t xml:space="preserve"> </t>
    </r>
    <r>
      <rPr>
        <vertAlign val="superscript"/>
        <sz val="14"/>
        <rFont val="Times New Roman"/>
        <family val="1"/>
      </rPr>
      <t>4)</t>
    </r>
  </si>
  <si>
    <t>Protector Fors</t>
  </si>
  <si>
    <t xml:space="preserve">    13.1 Premiereserve mv.</t>
  </si>
  <si>
    <t xml:space="preserve">    13.4 Premiefond, innskuddsfond og fond for regulering av pensjoner mv.</t>
  </si>
  <si>
    <t xml:space="preserve">    14.1 Premiekapital mv.</t>
  </si>
  <si>
    <t xml:space="preserve">    14.2 Tilleggsavsetninger</t>
  </si>
  <si>
    <t xml:space="preserve">    14.3 Premiefond, innskuddsfond og fond for regulering av pensjoner mv.</t>
  </si>
  <si>
    <t>Fremtind Livsforsikring</t>
  </si>
  <si>
    <t>WaterCircle Forsikring</t>
  </si>
  <si>
    <t>Fremtind</t>
  </si>
  <si>
    <t>Fremtind Livsfors</t>
  </si>
  <si>
    <t>Landkreditt Fors.</t>
  </si>
  <si>
    <t>Insr</t>
  </si>
  <si>
    <t>Fremtind Liv</t>
  </si>
  <si>
    <t>Avkastningstall (%)</t>
  </si>
  <si>
    <r>
      <t>Kapitalavkastning I hittil i år</t>
    </r>
    <r>
      <rPr>
        <vertAlign val="superscript"/>
        <sz val="14"/>
        <rFont val="Times New Roman"/>
        <family val="1"/>
      </rPr>
      <t xml:space="preserve"> </t>
    </r>
  </si>
  <si>
    <t>Kapitalavkastning II hittil i år</t>
  </si>
  <si>
    <r>
      <t xml:space="preserve">Soliditetskapital </t>
    </r>
    <r>
      <rPr>
        <sz val="14"/>
        <rFont val="Times New Roman"/>
        <family val="1"/>
      </rPr>
      <t>(%)</t>
    </r>
  </si>
  <si>
    <t>Mer/mindre-verdier</t>
  </si>
  <si>
    <t>Landkreditt Forsikring</t>
  </si>
  <si>
    <t>WaterCircles Fors.</t>
  </si>
  <si>
    <t>WaterCicles Fors.</t>
  </si>
  <si>
    <t>DNB Bedriftspensjon</t>
  </si>
  <si>
    <t>WaterCircles Forsikring</t>
  </si>
  <si>
    <t>Bedriftspensjon</t>
  </si>
  <si>
    <t>30.09.</t>
  </si>
  <si>
    <t>30.9.2019</t>
  </si>
  <si>
    <t>30.9.2020</t>
  </si>
  <si>
    <t/>
  </si>
  <si>
    <t>30.9.</t>
  </si>
  <si>
    <t>Figur 1  Brutto forfalt premie livprodukter  -  produkter uten investeringsvalg pr. 30.09.</t>
  </si>
  <si>
    <t>Figur 2  Brutto forfalt premie livprodukter  -  produkter med investeringsvalg pr. 30.09.</t>
  </si>
  <si>
    <t>DNB Bedriftsp</t>
  </si>
  <si>
    <t>Figur 3  Forsikringsforpliktelser i livsforsikring  -  produkter uten investeringsvalg pr. 30.09.</t>
  </si>
  <si>
    <t>Landkreditt Fors</t>
  </si>
  <si>
    <t>Figur 4  Forsikringsforpliktelser i livsforsikring -  produkter med investeringsvalg pr. 30.09.</t>
  </si>
  <si>
    <t>Figur 5  Netto tilflytting livprodukter  -  produkter uten investeringsvalg pr. 30.09.</t>
  </si>
  <si>
    <t>Figur 6  Netto tilflytting livprodukter  -  produkter med investeringsvalg pr. 30.09.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</si>
</sst>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 #,##0.00_ ;_ * \-#,##0.00_ ;_ * &quot;-&quot;??_ ;_ @_ "/>
    <numFmt numFmtId="165" formatCode="#,##0.0"/>
    <numFmt numFmtId="166" formatCode="_ * #,##0_ ;_ * \-#,##0_ ;_ * &quot;-&quot;??_ ;_ @_ "/>
    <numFmt numFmtId="167" formatCode="dd/mm/yy;@"/>
    <numFmt numFmtId="168" formatCode="0;\-0;;@"/>
    <numFmt numFmtId="169" formatCode="0.0"/>
    <numFmt numFmtId="170" formatCode="#,##0_ ;\-#,##0\ "/>
    <numFmt numFmtId="171" formatCode="_ * #,##0_ ;_ * \-#,##0_ ;_ * &quot;&quot;??_ ;_ @_ "/>
    <numFmt numFmtId="172" formatCode="_ * #,##0.0_ ;_ * \-#,##0.0_ ;_ * &quot;&quot;??_ ;_ @_ "/>
  </numFmts>
  <fonts count="7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Times New Roman"/>
      <family val="1"/>
    </font>
    <font>
      <sz val="12"/>
      <name val="Times New Roman"/>
      <family val="1"/>
    </font>
    <font>
      <b/>
      <sz val="10"/>
      <name val="Times New Roman"/>
      <family val="1"/>
    </font>
    <font>
      <b/>
      <sz val="9"/>
      <name val="Times New Roman"/>
      <family val="1"/>
    </font>
    <font>
      <sz val="10"/>
      <name val="Times New Roman"/>
      <family val="1"/>
    </font>
    <font>
      <sz val="10"/>
      <color rgb="FFFF0000"/>
      <name val="Times New Roman"/>
      <family val="1"/>
    </font>
    <font>
      <sz val="10"/>
      <name val="Arial"/>
      <family val="2"/>
    </font>
    <font>
      <b/>
      <vertAlign val="superscript"/>
      <sz val="10"/>
      <name val="Times New Roman"/>
      <family val="1"/>
    </font>
    <font>
      <sz val="12"/>
      <color rgb="FFFF0000"/>
      <name val="Times New Roman"/>
      <family val="1"/>
    </font>
    <font>
      <sz val="10"/>
      <color theme="1"/>
      <name val="Times New Roman"/>
      <family val="1"/>
    </font>
    <font>
      <i/>
      <sz val="10"/>
      <name val="Times New Roman"/>
      <family val="1"/>
    </font>
    <font>
      <vertAlign val="superscript"/>
      <sz val="10"/>
      <name val="Times New Roman"/>
      <family val="1"/>
    </font>
    <font>
      <sz val="10"/>
      <name val="Arial"/>
      <family val="2"/>
    </font>
    <font>
      <sz val="10"/>
      <color indexed="23"/>
      <name val="Arial"/>
      <family val="2"/>
    </font>
    <font>
      <sz val="18"/>
      <color indexed="23"/>
      <name val="Times New Roman"/>
      <family val="1"/>
    </font>
    <font>
      <b/>
      <sz val="28"/>
      <color rgb="FF3B6E8F"/>
      <name val="Cambria"/>
      <family val="1"/>
      <scheme val="major"/>
    </font>
    <font>
      <b/>
      <sz val="26"/>
      <color rgb="FF3B6E8F"/>
      <name val="Cambria"/>
      <family val="1"/>
      <scheme val="major"/>
    </font>
    <font>
      <sz val="14"/>
      <name val="Times New Roman"/>
      <family val="1"/>
    </font>
    <font>
      <sz val="12"/>
      <name val="Arial"/>
      <family val="2"/>
    </font>
    <font>
      <sz val="20"/>
      <color theme="1"/>
      <name val="Calibri"/>
      <family val="2"/>
      <scheme val="minor"/>
    </font>
    <font>
      <sz val="14"/>
      <color theme="1"/>
      <name val="Calibri"/>
      <family val="2"/>
      <scheme val="minor"/>
    </font>
    <font>
      <b/>
      <sz val="28"/>
      <color rgb="FF54758C"/>
      <name val="Arial"/>
      <family val="2"/>
    </font>
    <font>
      <sz val="26"/>
      <color rgb="FF54758C"/>
      <name val="Arial"/>
      <family val="2"/>
    </font>
    <font>
      <sz val="14"/>
      <name val="Arial"/>
      <family val="2"/>
    </font>
    <font>
      <sz val="14"/>
      <color indexed="23"/>
      <name val="Times New Roman"/>
      <family val="1"/>
    </font>
    <font>
      <sz val="20"/>
      <name val="Arial"/>
      <family val="2"/>
    </font>
    <font>
      <sz val="18"/>
      <name val="Times New Roman"/>
      <family val="1"/>
    </font>
    <font>
      <sz val="18"/>
      <name val="Arial"/>
      <family val="2"/>
    </font>
    <font>
      <b/>
      <sz val="16"/>
      <name val="Times New Roman"/>
      <family val="1"/>
    </font>
    <font>
      <sz val="16"/>
      <name val="Times New Roman"/>
      <family val="1"/>
    </font>
    <font>
      <u/>
      <sz val="10"/>
      <color indexed="12"/>
      <name val="Arial"/>
      <family val="2"/>
    </font>
    <font>
      <sz val="20"/>
      <name val="Times New Roman"/>
      <family val="1"/>
    </font>
    <font>
      <b/>
      <sz val="14"/>
      <name val="Times New Roman"/>
      <family val="1"/>
    </font>
    <font>
      <sz val="14"/>
      <color rgb="FFFF0000"/>
      <name val="Times New Roman"/>
      <family val="1"/>
    </font>
    <font>
      <vertAlign val="superscript"/>
      <sz val="14"/>
      <name val="Times New Roman"/>
      <family val="1"/>
    </font>
    <font>
      <b/>
      <i/>
      <sz val="12"/>
      <color indexed="63"/>
      <name val="Times New Roman"/>
      <family val="1"/>
    </font>
    <font>
      <b/>
      <sz val="10"/>
      <name val="Arial"/>
      <family val="2"/>
    </font>
    <font>
      <b/>
      <i/>
      <sz val="12"/>
      <name val="Times New Roman"/>
      <family val="1"/>
    </font>
    <font>
      <sz val="14"/>
      <color theme="1"/>
      <name val="Times New Roman"/>
      <family val="1"/>
    </font>
    <font>
      <sz val="14"/>
      <color rgb="FFFF0000"/>
      <name val="Arial"/>
      <family val="2"/>
    </font>
    <font>
      <b/>
      <sz val="14"/>
      <name val="Arial"/>
      <family val="2"/>
    </font>
    <font>
      <b/>
      <vertAlign val="superscript"/>
      <sz val="14"/>
      <name val="Times New Roman"/>
      <family val="1"/>
    </font>
    <font>
      <sz val="11"/>
      <name val="Calibri"/>
      <family val="2"/>
      <scheme val="minor"/>
    </font>
    <font>
      <b/>
      <sz val="10"/>
      <color rgb="FFFF0000"/>
      <name val="Times New Roman"/>
      <family val="1"/>
    </font>
    <font>
      <b/>
      <sz val="16"/>
      <color indexed="10"/>
      <name val="Times New Roman"/>
      <family val="1"/>
    </font>
    <font>
      <b/>
      <sz val="14"/>
      <color indexed="8"/>
      <name val="Times New Roman"/>
      <family val="1"/>
    </font>
    <font>
      <b/>
      <sz val="10"/>
      <color indexed="8"/>
      <name val="Times New Roman"/>
      <family val="1"/>
    </font>
    <font>
      <b/>
      <sz val="14"/>
      <color indexed="63"/>
      <name val="Times New Roman"/>
      <family val="1"/>
    </font>
    <font>
      <sz val="14"/>
      <color indexed="10"/>
      <name val="Times New Roman"/>
      <family val="1"/>
    </font>
    <font>
      <b/>
      <sz val="14"/>
      <color indexed="10"/>
      <name val="Times New Roman"/>
      <family val="1"/>
    </font>
    <font>
      <sz val="12"/>
      <color indexed="10"/>
      <name val="Times New Roman"/>
      <family val="1"/>
    </font>
    <font>
      <sz val="20"/>
      <color rgb="FFFF0000"/>
      <name val="Times New Roman"/>
      <family val="1"/>
    </font>
    <font>
      <sz val="20"/>
      <color rgb="FFFF0000"/>
      <name val="Arial"/>
      <family val="2"/>
    </font>
    <font>
      <sz val="16"/>
      <color theme="1"/>
      <name val="Times New Roman"/>
      <family val="1"/>
    </font>
    <font>
      <b/>
      <sz val="10"/>
      <color theme="1"/>
      <name val="Times New Roman"/>
      <family val="1"/>
    </font>
    <font>
      <sz val="12"/>
      <color theme="1"/>
      <name val="Times New Roman"/>
      <family val="1"/>
    </font>
    <font>
      <b/>
      <sz val="14"/>
      <color rgb="FFFF0000"/>
      <name val="Times New Roman"/>
      <family val="1"/>
    </font>
    <font>
      <u/>
      <sz val="12"/>
      <name val="Times New Roman"/>
      <family val="1"/>
    </font>
    <font>
      <b/>
      <sz val="12"/>
      <color rgb="FFFF0000"/>
      <name val="Times New Roman"/>
      <family val="1"/>
    </font>
    <font>
      <sz val="10"/>
      <color theme="0"/>
      <name val="Times New Roman"/>
      <family val="1"/>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indexed="9"/>
        <bgColor indexed="64"/>
      </patternFill>
    </fill>
    <fill>
      <patternFill patternType="solid">
        <fgColor rgb="FFFFFFCC"/>
      </patternFill>
    </fill>
    <fill>
      <patternFill patternType="solid">
        <fgColor theme="7" tint="0.59999389629810485"/>
        <bgColor indexed="65"/>
      </patternFill>
    </fill>
    <fill>
      <patternFill patternType="solid">
        <fgColor theme="5" tint="0.79998168889431442"/>
        <bgColor indexed="65"/>
      </patternFill>
    </fill>
    <fill>
      <patternFill patternType="solid">
        <fgColor theme="2"/>
        <bgColor indexed="64"/>
      </patternFill>
    </fill>
    <fill>
      <patternFill patternType="solid">
        <fgColor rgb="FFFFFF00"/>
        <bgColor indexed="64"/>
      </patternFill>
    </fill>
    <fill>
      <patternFill patternType="solid">
        <fgColor indexed="9"/>
        <bgColor indexed="9"/>
      </patternFill>
    </fill>
    <fill>
      <patternFill patternType="solid">
        <fgColor theme="0"/>
        <bgColor indexed="64"/>
      </patternFill>
    </fill>
  </fills>
  <borders count="17">
    <border>
      <left/>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s>
  <cellStyleXfs count="851">
    <xf numFmtId="0" fontId="0" fillId="0" borderId="0"/>
    <xf numFmtId="0" fontId="20" fillId="0" borderId="0"/>
    <xf numFmtId="164" fontId="26" fillId="0" borderId="0" applyFont="0" applyFill="0" applyBorder="0" applyAlignment="0" applyProtection="0"/>
    <xf numFmtId="0" fontId="44" fillId="0" borderId="0" applyNumberFormat="0" applyFill="0" applyBorder="0" applyAlignment="0" applyProtection="0">
      <alignment vertical="top"/>
      <protection locked="0"/>
    </xf>
    <xf numFmtId="0" fontId="13" fillId="0" borderId="0"/>
    <xf numFmtId="0" fontId="20" fillId="0" borderId="0"/>
    <xf numFmtId="0" fontId="12" fillId="0" borderId="0"/>
    <xf numFmtId="0" fontId="20" fillId="0" borderId="0"/>
    <xf numFmtId="0" fontId="11" fillId="0" borderId="0"/>
    <xf numFmtId="0" fontId="20" fillId="0" borderId="0"/>
    <xf numFmtId="0" fontId="26" fillId="0" borderId="0"/>
    <xf numFmtId="0" fontId="11" fillId="0" borderId="0"/>
    <xf numFmtId="0" fontId="20"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 fillId="0" borderId="0" applyFont="0" applyFill="0" applyBorder="0" applyAlignment="0" applyProtection="0"/>
    <xf numFmtId="164" fontId="20" fillId="0" borderId="0" applyFont="0" applyFill="0" applyBorder="0" applyAlignment="0" applyProtection="0"/>
    <xf numFmtId="0" fontId="11" fillId="0" borderId="0"/>
    <xf numFmtId="0" fontId="20" fillId="0" borderId="0"/>
    <xf numFmtId="0" fontId="20" fillId="0" borderId="0"/>
    <xf numFmtId="164" fontId="20"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20"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6" borderId="0" applyNumberFormat="0" applyBorder="0" applyAlignment="0" applyProtection="0"/>
    <xf numFmtId="0" fontId="20" fillId="0" borderId="0"/>
    <xf numFmtId="164" fontId="20"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20"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20" fillId="0" borderId="0"/>
    <xf numFmtId="164" fontId="20"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6" borderId="0" applyNumberFormat="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20" fillId="5" borderId="16" applyNumberFormat="0" applyFont="0" applyAlignment="0" applyProtection="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164" fontId="26" fillId="0" borderId="0" applyFont="0" applyFill="0" applyBorder="0" applyAlignment="0" applyProtection="0"/>
    <xf numFmtId="0" fontId="11" fillId="0" borderId="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6" borderId="0" applyNumberFormat="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6" borderId="0" applyNumberFormat="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6"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6"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6"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6"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6"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6"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6"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6"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6"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6"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6" borderId="0" applyNumberFormat="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6" borderId="0" applyNumberFormat="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3" fillId="0" borderId="0"/>
    <xf numFmtId="0" fontId="3"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3" fillId="0" borderId="0" applyFont="0" applyFill="0" applyBorder="0" applyAlignment="0" applyProtection="0"/>
    <xf numFmtId="164" fontId="20" fillId="0" borderId="0" applyFont="0" applyFill="0" applyBorder="0" applyAlignment="0" applyProtection="0"/>
    <xf numFmtId="0" fontId="3" fillId="0" borderId="0"/>
    <xf numFmtId="164" fontId="20"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6" borderId="0" applyNumberFormat="0" applyBorder="0" applyAlignment="0" applyProtection="0"/>
    <xf numFmtId="164" fontId="20"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20"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6"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2" fillId="7" borderId="0" applyNumberFormat="0" applyBorder="0" applyAlignment="0" applyProtection="0"/>
    <xf numFmtId="0" fontId="15" fillId="0" borderId="0"/>
    <xf numFmtId="171" fontId="16" fillId="0" borderId="7" applyFont="0" applyFill="0" applyBorder="0" applyAlignment="0" applyProtection="0">
      <alignment horizontal="right"/>
    </xf>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cellStyleXfs>
  <cellXfs count="771">
    <xf numFmtId="0" fontId="0" fillId="0" borderId="0" xfId="0"/>
    <xf numFmtId="0" fontId="18" fillId="0" borderId="0" xfId="1" applyFont="1"/>
    <xf numFmtId="0" fontId="24" fillId="0" borderId="0" xfId="1" applyFont="1"/>
    <xf numFmtId="0" fontId="18" fillId="0" borderId="0" xfId="1" applyFont="1" applyFill="1"/>
    <xf numFmtId="0" fontId="18" fillId="0" borderId="0" xfId="1" applyFont="1" applyBorder="1"/>
    <xf numFmtId="49" fontId="18" fillId="0" borderId="0" xfId="1" applyNumberFormat="1" applyFont="1" applyFill="1" applyBorder="1" applyAlignment="1">
      <alignment horizontal="center"/>
    </xf>
    <xf numFmtId="165" fontId="18" fillId="0" borderId="0" xfId="1" applyNumberFormat="1" applyFont="1" applyFill="1" applyBorder="1"/>
    <xf numFmtId="0" fontId="18" fillId="0" borderId="0" xfId="1" applyFont="1" applyFill="1" applyBorder="1"/>
    <xf numFmtId="0" fontId="18" fillId="0" borderId="0" xfId="1" applyFont="1" applyFill="1" applyAlignment="1">
      <alignment horizontal="left"/>
    </xf>
    <xf numFmtId="165" fontId="16" fillId="3" borderId="5" xfId="1" applyNumberFormat="1" applyFont="1" applyFill="1" applyBorder="1" applyAlignment="1">
      <alignment horizontal="right"/>
    </xf>
    <xf numFmtId="0" fontId="18" fillId="0" borderId="6" xfId="1" applyFont="1" applyBorder="1"/>
    <xf numFmtId="165" fontId="16" fillId="3" borderId="2" xfId="1" applyNumberFormat="1" applyFont="1" applyFill="1" applyBorder="1" applyAlignment="1">
      <alignment horizontal="right"/>
    </xf>
    <xf numFmtId="0" fontId="16" fillId="0" borderId="4" xfId="1" applyFont="1" applyBorder="1"/>
    <xf numFmtId="0" fontId="16" fillId="0" borderId="3" xfId="1" applyFont="1" applyBorder="1"/>
    <xf numFmtId="0" fontId="16" fillId="0" borderId="7" xfId="1" applyFont="1" applyBorder="1"/>
    <xf numFmtId="0" fontId="16" fillId="0" borderId="6" xfId="1" applyFont="1" applyBorder="1" applyAlignment="1">
      <alignment horizontal="center"/>
    </xf>
    <xf numFmtId="0" fontId="16" fillId="0" borderId="11" xfId="1" applyFont="1" applyBorder="1" applyAlignment="1">
      <alignment horizontal="center"/>
    </xf>
    <xf numFmtId="0" fontId="16" fillId="0" borderId="5" xfId="1" applyFont="1" applyBorder="1" applyAlignment="1">
      <alignment horizontal="center"/>
    </xf>
    <xf numFmtId="0" fontId="16" fillId="0" borderId="11" xfId="1" applyFont="1" applyBorder="1"/>
    <xf numFmtId="0" fontId="16" fillId="0" borderId="7" xfId="1" applyFont="1" applyBorder="1" applyAlignment="1">
      <alignment horizontal="center"/>
    </xf>
    <xf numFmtId="14" fontId="17" fillId="0" borderId="4" xfId="1" applyNumberFormat="1" applyFont="1" applyBorder="1" applyAlignment="1">
      <alignment horizontal="center"/>
    </xf>
    <xf numFmtId="0" fontId="18" fillId="0" borderId="3" xfId="1" applyFont="1" applyBorder="1"/>
    <xf numFmtId="165" fontId="18" fillId="3" borderId="6" xfId="1" applyNumberFormat="1" applyFont="1" applyFill="1" applyBorder="1" applyAlignment="1">
      <alignment horizontal="right"/>
    </xf>
    <xf numFmtId="165" fontId="18" fillId="3" borderId="3" xfId="1" applyNumberFormat="1" applyFont="1" applyFill="1" applyBorder="1" applyAlignment="1">
      <alignment horizontal="right"/>
    </xf>
    <xf numFmtId="165" fontId="16" fillId="3" borderId="3" xfId="1" applyNumberFormat="1" applyFont="1" applyFill="1" applyBorder="1" applyAlignment="1">
      <alignment horizontal="right"/>
    </xf>
    <xf numFmtId="165" fontId="18" fillId="0" borderId="0" xfId="1" applyNumberFormat="1" applyFont="1" applyBorder="1"/>
    <xf numFmtId="3" fontId="18" fillId="0" borderId="0" xfId="1" applyNumberFormat="1" applyFont="1" applyBorder="1"/>
    <xf numFmtId="165" fontId="18" fillId="3" borderId="2" xfId="1" applyNumberFormat="1" applyFont="1" applyFill="1" applyBorder="1" applyAlignment="1">
      <alignment horizontal="right"/>
    </xf>
    <xf numFmtId="0" fontId="15" fillId="0" borderId="0" xfId="1" applyFont="1"/>
    <xf numFmtId="0" fontId="22" fillId="0" borderId="0" xfId="1" applyFont="1"/>
    <xf numFmtId="0" fontId="15" fillId="0" borderId="0" xfId="1" applyFont="1" applyFill="1"/>
    <xf numFmtId="0" fontId="15" fillId="0" borderId="0" xfId="1" applyFont="1" applyFill="1" applyBorder="1"/>
    <xf numFmtId="165" fontId="16" fillId="0" borderId="0" xfId="1" applyNumberFormat="1" applyFont="1" applyFill="1" applyBorder="1" applyAlignment="1">
      <alignment horizontal="right"/>
    </xf>
    <xf numFmtId="3" fontId="18" fillId="0" borderId="0" xfId="1" applyNumberFormat="1" applyFont="1" applyFill="1" applyBorder="1" applyAlignment="1">
      <alignment horizontal="center"/>
    </xf>
    <xf numFmtId="165" fontId="18" fillId="0" borderId="0" xfId="1" applyNumberFormat="1" applyFont="1" applyFill="1" applyBorder="1" applyAlignment="1">
      <alignment horizontal="right"/>
    </xf>
    <xf numFmtId="49" fontId="18" fillId="0" borderId="0" xfId="1" applyNumberFormat="1" applyFont="1" applyFill="1" applyBorder="1" applyAlignment="1">
      <alignment horizontal="right"/>
    </xf>
    <xf numFmtId="165" fontId="16" fillId="3" borderId="6" xfId="1" applyNumberFormat="1" applyFont="1" applyFill="1" applyBorder="1" applyAlignment="1">
      <alignment horizontal="right"/>
    </xf>
    <xf numFmtId="3" fontId="18" fillId="0" borderId="0" xfId="1" quotePrefix="1" applyNumberFormat="1" applyFont="1" applyFill="1" applyBorder="1" applyAlignment="1">
      <alignment horizontal="center"/>
    </xf>
    <xf numFmtId="0" fontId="18" fillId="0" borderId="3" xfId="1" applyFont="1" applyFill="1" applyBorder="1"/>
    <xf numFmtId="0" fontId="16" fillId="0" borderId="3" xfId="1" applyFont="1" applyFill="1" applyBorder="1"/>
    <xf numFmtId="0" fontId="16" fillId="0" borderId="0" xfId="1" applyFont="1" applyFill="1" applyBorder="1" applyAlignment="1">
      <alignment horizontal="center"/>
    </xf>
    <xf numFmtId="0" fontId="16" fillId="0" borderId="6" xfId="1" applyFont="1" applyBorder="1"/>
    <xf numFmtId="14" fontId="17" fillId="0" borderId="0" xfId="1" applyNumberFormat="1" applyFont="1" applyFill="1" applyBorder="1" applyAlignment="1">
      <alignment horizontal="center"/>
    </xf>
    <xf numFmtId="0" fontId="16" fillId="0" borderId="0" xfId="1" applyFont="1"/>
    <xf numFmtId="3" fontId="18" fillId="0" borderId="3" xfId="1" applyNumberFormat="1" applyFont="1" applyFill="1" applyBorder="1" applyAlignment="1">
      <alignment horizontal="right"/>
    </xf>
    <xf numFmtId="3" fontId="18" fillId="0" borderId="6" xfId="1" applyNumberFormat="1" applyFont="1" applyFill="1" applyBorder="1" applyAlignment="1">
      <alignment horizontal="right"/>
    </xf>
    <xf numFmtId="0" fontId="18" fillId="0" borderId="6" xfId="1" applyFont="1" applyFill="1" applyBorder="1"/>
    <xf numFmtId="0" fontId="16" fillId="0" borderId="0" xfId="1" applyFont="1" applyBorder="1"/>
    <xf numFmtId="3" fontId="19" fillId="0" borderId="0" xfId="1" applyNumberFormat="1" applyFont="1" applyFill="1" applyBorder="1" applyAlignment="1">
      <alignment horizontal="right"/>
    </xf>
    <xf numFmtId="0" fontId="18" fillId="0" borderId="4" xfId="1" applyFont="1" applyFill="1" applyBorder="1"/>
    <xf numFmtId="0" fontId="18" fillId="0" borderId="0" xfId="1" applyFont="1" applyFill="1" applyAlignment="1">
      <alignment horizontal="right"/>
    </xf>
    <xf numFmtId="0" fontId="20" fillId="0" borderId="0" xfId="1"/>
    <xf numFmtId="0" fontId="27" fillId="0" borderId="0" xfId="1" applyFont="1"/>
    <xf numFmtId="0" fontId="0" fillId="0" borderId="0" xfId="1" applyFont="1"/>
    <xf numFmtId="0" fontId="28" fillId="0" borderId="0" xfId="1" applyFont="1" applyAlignment="1">
      <alignment horizontal="right"/>
    </xf>
    <xf numFmtId="0" fontId="29" fillId="0" borderId="0" xfId="1" applyFont="1" applyAlignment="1">
      <alignment horizontal="left"/>
    </xf>
    <xf numFmtId="0" fontId="30" fillId="0" borderId="0" xfId="1" applyFont="1" applyAlignment="1">
      <alignment horizontal="left"/>
    </xf>
    <xf numFmtId="0" fontId="31" fillId="0" borderId="0" xfId="1" applyFont="1" applyAlignment="1">
      <alignment horizontal="left"/>
    </xf>
    <xf numFmtId="0" fontId="32" fillId="0" borderId="0" xfId="1" applyFont="1" applyAlignment="1">
      <alignment horizontal="right"/>
    </xf>
    <xf numFmtId="0" fontId="20" fillId="0" borderId="0" xfId="1" applyAlignment="1">
      <alignment horizontal="right"/>
    </xf>
    <xf numFmtId="0" fontId="33" fillId="0" borderId="0" xfId="1" applyFont="1" applyAlignment="1">
      <alignment horizontal="left"/>
    </xf>
    <xf numFmtId="14" fontId="34" fillId="0" borderId="0" xfId="1" applyNumberFormat="1" applyFont="1" applyAlignment="1">
      <alignment horizontal="left"/>
    </xf>
    <xf numFmtId="0" fontId="34" fillId="0" borderId="0" xfId="1" applyFont="1" applyAlignment="1">
      <alignment horizontal="left"/>
    </xf>
    <xf numFmtId="0" fontId="35" fillId="0" borderId="0" xfId="1" applyFont="1" applyAlignment="1">
      <alignment vertical="center"/>
    </xf>
    <xf numFmtId="0" fontId="36" fillId="0" borderId="0" xfId="1" applyFont="1" applyAlignment="1">
      <alignment vertical="center"/>
    </xf>
    <xf numFmtId="0" fontId="37" fillId="0" borderId="0" xfId="1" applyFont="1"/>
    <xf numFmtId="14" fontId="38" fillId="0" borderId="0" xfId="1" applyNumberFormat="1" applyFont="1"/>
    <xf numFmtId="0" fontId="39" fillId="0" borderId="0" xfId="0" applyFont="1"/>
    <xf numFmtId="0" fontId="40" fillId="0" borderId="0" xfId="0" applyFont="1"/>
    <xf numFmtId="0" fontId="41" fillId="0" borderId="0" xfId="0" applyFont="1"/>
    <xf numFmtId="0" fontId="43" fillId="0" borderId="0" xfId="0" applyFont="1"/>
    <xf numFmtId="0" fontId="43" fillId="0" borderId="0" xfId="3" applyFont="1" applyAlignment="1" applyProtection="1"/>
    <xf numFmtId="0" fontId="45" fillId="0" borderId="0" xfId="0" applyFont="1"/>
    <xf numFmtId="0" fontId="18" fillId="0" borderId="0" xfId="3" applyFont="1" applyFill="1" applyAlignment="1" applyProtection="1"/>
    <xf numFmtId="0" fontId="31" fillId="0" borderId="0" xfId="0" applyFont="1"/>
    <xf numFmtId="0" fontId="46" fillId="0" borderId="0" xfId="0" applyFont="1"/>
    <xf numFmtId="0" fontId="47" fillId="0" borderId="0" xfId="0" applyFont="1"/>
    <xf numFmtId="3" fontId="31" fillId="0" borderId="0" xfId="0" applyNumberFormat="1" applyFont="1"/>
    <xf numFmtId="3" fontId="31" fillId="0" borderId="0" xfId="0" applyNumberFormat="1" applyFont="1" applyFill="1"/>
    <xf numFmtId="0" fontId="31" fillId="0" borderId="0" xfId="0" applyFont="1" applyFill="1"/>
    <xf numFmtId="0" fontId="42" fillId="0" borderId="0" xfId="0" applyFont="1"/>
    <xf numFmtId="0" fontId="37" fillId="0" borderId="0" xfId="0" applyFont="1"/>
    <xf numFmtId="14" fontId="14" fillId="0" borderId="13" xfId="0" applyNumberFormat="1" applyFont="1" applyFill="1" applyBorder="1" applyAlignment="1">
      <alignment horizontal="left"/>
    </xf>
    <xf numFmtId="0" fontId="31" fillId="0" borderId="10" xfId="0" applyFont="1" applyBorder="1"/>
    <xf numFmtId="0" fontId="31" fillId="0" borderId="8" xfId="0" applyFont="1" applyBorder="1"/>
    <xf numFmtId="0" fontId="31" fillId="0" borderId="9" xfId="0" applyFont="1" applyBorder="1"/>
    <xf numFmtId="0" fontId="31" fillId="0" borderId="3" xfId="0" applyFont="1" applyBorder="1"/>
    <xf numFmtId="0" fontId="18" fillId="0" borderId="0" xfId="0" applyFont="1"/>
    <xf numFmtId="3" fontId="46" fillId="0" borderId="7" xfId="0" applyNumberFormat="1" applyFont="1" applyFill="1" applyBorder="1"/>
    <xf numFmtId="0" fontId="46" fillId="0" borderId="0" xfId="0" applyFont="1" applyBorder="1" applyAlignment="1">
      <alignment horizontal="center"/>
    </xf>
    <xf numFmtId="0" fontId="46" fillId="0" borderId="3" xfId="0" applyFont="1" applyBorder="1" applyAlignment="1">
      <alignment horizontal="center"/>
    </xf>
    <xf numFmtId="3" fontId="46" fillId="0" borderId="3" xfId="0" applyNumberFormat="1" applyFont="1" applyFill="1" applyBorder="1"/>
    <xf numFmtId="0" fontId="16" fillId="0" borderId="4" xfId="0" applyFont="1" applyBorder="1" applyAlignment="1">
      <alignment horizontal="center"/>
    </xf>
    <xf numFmtId="0" fontId="16" fillId="0" borderId="1" xfId="0" applyFont="1" applyBorder="1" applyAlignment="1">
      <alignment horizontal="center"/>
    </xf>
    <xf numFmtId="0" fontId="16" fillId="0" borderId="7" xfId="0" applyFont="1" applyBorder="1" applyAlignment="1">
      <alignment horizontal="center"/>
    </xf>
    <xf numFmtId="0" fontId="16" fillId="0" borderId="3" xfId="0" applyFont="1" applyBorder="1" applyAlignment="1">
      <alignment horizontal="center"/>
    </xf>
    <xf numFmtId="3" fontId="49" fillId="4" borderId="6" xfId="0" applyNumberFormat="1" applyFont="1" applyFill="1" applyBorder="1"/>
    <xf numFmtId="0" fontId="14" fillId="0" borderId="11" xfId="0" applyFont="1" applyBorder="1" applyAlignment="1">
      <alignment horizontal="center"/>
    </xf>
    <xf numFmtId="0" fontId="16" fillId="0" borderId="11" xfId="0" applyFont="1" applyBorder="1" applyAlignment="1">
      <alignment horizontal="center"/>
    </xf>
    <xf numFmtId="0" fontId="16" fillId="0" borderId="6" xfId="0" applyFont="1" applyBorder="1" applyAlignment="1">
      <alignment horizontal="center"/>
    </xf>
    <xf numFmtId="0" fontId="16" fillId="0" borderId="0" xfId="0" applyFont="1" applyBorder="1" applyAlignment="1">
      <alignment horizontal="center"/>
    </xf>
    <xf numFmtId="0" fontId="46" fillId="0" borderId="3" xfId="0" applyFont="1" applyBorder="1"/>
    <xf numFmtId="0" fontId="31" fillId="0" borderId="1" xfId="0" applyFont="1" applyBorder="1"/>
    <xf numFmtId="3" fontId="31" fillId="0" borderId="4" xfId="0" applyNumberFormat="1" applyFont="1" applyBorder="1"/>
    <xf numFmtId="3" fontId="31" fillId="0" borderId="4" xfId="0" applyNumberFormat="1" applyFont="1" applyBorder="1" applyAlignment="1">
      <alignment horizontal="right"/>
    </xf>
    <xf numFmtId="3" fontId="31" fillId="0" borderId="4" xfId="0" applyNumberFormat="1" applyFont="1" applyFill="1" applyBorder="1"/>
    <xf numFmtId="3" fontId="31" fillId="0" borderId="4" xfId="0" applyNumberFormat="1" applyFont="1" applyFill="1" applyBorder="1" applyAlignment="1">
      <alignment horizontal="right"/>
    </xf>
    <xf numFmtId="0" fontId="31" fillId="0" borderId="3" xfId="0" applyFont="1" applyFill="1" applyBorder="1"/>
    <xf numFmtId="0" fontId="31" fillId="0" borderId="4" xfId="0" applyFont="1" applyFill="1" applyBorder="1"/>
    <xf numFmtId="3" fontId="46" fillId="0" borderId="4" xfId="0" applyNumberFormat="1" applyFont="1" applyBorder="1"/>
    <xf numFmtId="3" fontId="46" fillId="0" borderId="4" xfId="0" applyNumberFormat="1" applyFont="1" applyBorder="1" applyAlignment="1">
      <alignment horizontal="right"/>
    </xf>
    <xf numFmtId="0" fontId="16" fillId="0" borderId="0" xfId="0" applyFont="1"/>
    <xf numFmtId="0" fontId="31" fillId="0" borderId="0" xfId="0" applyFont="1" applyBorder="1"/>
    <xf numFmtId="0" fontId="46" fillId="0" borderId="6" xfId="0" applyFont="1" applyBorder="1"/>
    <xf numFmtId="3" fontId="46" fillId="0" borderId="11" xfId="0" applyNumberFormat="1" applyFont="1" applyBorder="1"/>
    <xf numFmtId="3" fontId="46" fillId="0" borderId="11" xfId="0" applyNumberFormat="1" applyFont="1" applyBorder="1" applyAlignment="1">
      <alignment horizontal="right"/>
    </xf>
    <xf numFmtId="0" fontId="31" fillId="0" borderId="0" xfId="0" applyFont="1" applyAlignment="1">
      <alignment horizontal="left"/>
    </xf>
    <xf numFmtId="0" fontId="46" fillId="0" borderId="0" xfId="0" applyFont="1" applyAlignment="1">
      <alignment horizontal="left"/>
    </xf>
    <xf numFmtId="0" fontId="31" fillId="0" borderId="14" xfId="0" applyFont="1" applyBorder="1"/>
    <xf numFmtId="0" fontId="31" fillId="0" borderId="15" xfId="0" applyFont="1" applyBorder="1"/>
    <xf numFmtId="167" fontId="46" fillId="0" borderId="7" xfId="0" applyNumberFormat="1" applyFont="1" applyBorder="1" applyAlignment="1">
      <alignment horizontal="left"/>
    </xf>
    <xf numFmtId="0" fontId="46" fillId="0" borderId="2" xfId="0" applyFont="1" applyBorder="1" applyAlignment="1">
      <alignment horizontal="center"/>
    </xf>
    <xf numFmtId="167" fontId="46" fillId="0" borderId="3" xfId="0" applyNumberFormat="1" applyFont="1" applyBorder="1" applyAlignment="1">
      <alignment horizontal="left"/>
    </xf>
    <xf numFmtId="0" fontId="46" fillId="0" borderId="4" xfId="0" applyFont="1" applyBorder="1" applyAlignment="1">
      <alignment horizontal="center"/>
    </xf>
    <xf numFmtId="0" fontId="46" fillId="0" borderId="1" xfId="0" applyFont="1" applyBorder="1" applyAlignment="1">
      <alignment horizontal="center"/>
    </xf>
    <xf numFmtId="0" fontId="16" fillId="0" borderId="2" xfId="0" applyFont="1" applyBorder="1" applyAlignment="1">
      <alignment horizontal="center"/>
    </xf>
    <xf numFmtId="167" fontId="51" fillId="0" borderId="6" xfId="0" applyNumberFormat="1" applyFont="1" applyBorder="1" applyAlignment="1">
      <alignment horizontal="left"/>
    </xf>
    <xf numFmtId="0" fontId="14" fillId="0" borderId="6" xfId="0" applyFont="1" applyBorder="1" applyAlignment="1">
      <alignment horizontal="center"/>
    </xf>
    <xf numFmtId="0" fontId="16" fillId="0" borderId="12" xfId="0" applyFont="1" applyBorder="1" applyAlignment="1">
      <alignment horizontal="center"/>
    </xf>
    <xf numFmtId="3" fontId="31" fillId="0" borderId="1" xfId="0" applyNumberFormat="1" applyFont="1" applyBorder="1"/>
    <xf numFmtId="3" fontId="31" fillId="0" borderId="2" xfId="0" applyNumberFormat="1" applyFont="1" applyBorder="1"/>
    <xf numFmtId="3" fontId="52" fillId="0" borderId="4" xfId="0" applyNumberFormat="1" applyFont="1" applyFill="1" applyBorder="1" applyAlignment="1">
      <alignment horizontal="right"/>
    </xf>
    <xf numFmtId="0" fontId="47" fillId="0" borderId="0" xfId="0" applyFont="1" applyFill="1"/>
    <xf numFmtId="0" fontId="53" fillId="0" borderId="0" xfId="0" applyFont="1" applyFill="1"/>
    <xf numFmtId="3" fontId="54" fillId="0" borderId="0" xfId="0" applyNumberFormat="1" applyFont="1"/>
    <xf numFmtId="0" fontId="54" fillId="0" borderId="0" xfId="0" applyFont="1"/>
    <xf numFmtId="0" fontId="54" fillId="0" borderId="0" xfId="0" applyFont="1" applyFill="1"/>
    <xf numFmtId="0" fontId="46" fillId="0" borderId="4" xfId="0" applyFont="1" applyBorder="1"/>
    <xf numFmtId="3" fontId="46" fillId="0" borderId="0" xfId="0" applyNumberFormat="1" applyFont="1" applyBorder="1" applyAlignment="1">
      <alignment horizontal="right"/>
    </xf>
    <xf numFmtId="3" fontId="31" fillId="0" borderId="0" xfId="0" applyNumberFormat="1" applyFont="1" applyBorder="1"/>
    <xf numFmtId="3" fontId="16" fillId="0" borderId="4" xfId="1" applyNumberFormat="1" applyFont="1" applyBorder="1"/>
    <xf numFmtId="0" fontId="0" fillId="0" borderId="0" xfId="0"/>
    <xf numFmtId="3" fontId="15" fillId="0" borderId="0" xfId="1" applyNumberFormat="1" applyFont="1" applyFill="1" applyBorder="1"/>
    <xf numFmtId="3" fontId="16" fillId="0" borderId="0" xfId="1" applyNumberFormat="1" applyFont="1"/>
    <xf numFmtId="3" fontId="16" fillId="0" borderId="1" xfId="1" applyNumberFormat="1" applyFont="1" applyBorder="1"/>
    <xf numFmtId="3" fontId="18" fillId="0" borderId="0" xfId="1" applyNumberFormat="1" applyFont="1" applyFill="1" applyBorder="1" applyAlignment="1">
      <alignment horizontal="right"/>
    </xf>
    <xf numFmtId="3" fontId="18" fillId="0" borderId="0" xfId="1" applyNumberFormat="1" applyFont="1" applyFill="1" applyBorder="1"/>
    <xf numFmtId="3" fontId="14" fillId="0" borderId="0" xfId="1" applyNumberFormat="1" applyFont="1"/>
    <xf numFmtId="3" fontId="18" fillId="0" borderId="0" xfId="1" applyNumberFormat="1" applyFont="1" applyFill="1"/>
    <xf numFmtId="3" fontId="18" fillId="0" borderId="0" xfId="1" applyNumberFormat="1" applyFont="1"/>
    <xf numFmtId="3" fontId="16" fillId="0" borderId="5" xfId="1" applyNumberFormat="1" applyFont="1" applyBorder="1" applyAlignment="1">
      <alignment horizontal="center"/>
    </xf>
    <xf numFmtId="3" fontId="22" fillId="0" borderId="0" xfId="1" applyNumberFormat="1" applyFont="1"/>
    <xf numFmtId="3" fontId="17" fillId="0" borderId="4" xfId="1" applyNumberFormat="1" applyFont="1" applyBorder="1" applyAlignment="1">
      <alignment horizontal="center"/>
    </xf>
    <xf numFmtId="3" fontId="18" fillId="0" borderId="4" xfId="1" applyNumberFormat="1" applyFont="1" applyFill="1" applyBorder="1"/>
    <xf numFmtId="3" fontId="15" fillId="0" borderId="0" xfId="1" applyNumberFormat="1" applyFont="1" applyFill="1"/>
    <xf numFmtId="3" fontId="18" fillId="0" borderId="0" xfId="1" applyNumberFormat="1" applyFont="1" applyAlignment="1">
      <alignment horizontal="left"/>
    </xf>
    <xf numFmtId="3" fontId="16" fillId="0" borderId="6" xfId="1" applyNumberFormat="1" applyFont="1" applyBorder="1" applyAlignment="1">
      <alignment horizontal="center"/>
    </xf>
    <xf numFmtId="3" fontId="15" fillId="0" borderId="0" xfId="1" applyNumberFormat="1" applyFont="1"/>
    <xf numFmtId="3" fontId="16" fillId="0" borderId="3" xfId="1" applyNumberFormat="1" applyFont="1" applyBorder="1"/>
    <xf numFmtId="3" fontId="16" fillId="0" borderId="0" xfId="1" applyNumberFormat="1" applyFont="1" applyFill="1" applyBorder="1" applyAlignment="1">
      <alignment horizontal="right"/>
    </xf>
    <xf numFmtId="3" fontId="16" fillId="3" borderId="2" xfId="1" applyNumberFormat="1" applyFont="1" applyFill="1" applyBorder="1" applyAlignment="1">
      <alignment horizontal="right"/>
    </xf>
    <xf numFmtId="3" fontId="16" fillId="0" borderId="11" xfId="1" applyNumberFormat="1" applyFont="1" applyBorder="1" applyAlignment="1">
      <alignment horizontal="center"/>
    </xf>
    <xf numFmtId="3" fontId="16" fillId="0" borderId="7" xfId="1" applyNumberFormat="1" applyFont="1" applyBorder="1" applyAlignment="1">
      <alignment horizontal="center"/>
    </xf>
    <xf numFmtId="3" fontId="14" fillId="0" borderId="12" xfId="1" applyNumberFormat="1" applyFont="1" applyBorder="1"/>
    <xf numFmtId="3" fontId="18" fillId="0" borderId="0" xfId="1" applyNumberFormat="1" applyFont="1" applyFill="1" applyAlignment="1">
      <alignment horizontal="left"/>
    </xf>
    <xf numFmtId="3" fontId="14" fillId="0" borderId="0" xfId="1" applyNumberFormat="1" applyFont="1" applyBorder="1"/>
    <xf numFmtId="3" fontId="18" fillId="3" borderId="3" xfId="1" applyNumberFormat="1" applyFont="1" applyFill="1" applyBorder="1" applyAlignment="1">
      <alignment horizontal="right"/>
    </xf>
    <xf numFmtId="3" fontId="18" fillId="3" borderId="6" xfId="1" applyNumberFormat="1" applyFont="1" applyFill="1" applyBorder="1" applyAlignment="1">
      <alignment horizontal="right"/>
    </xf>
    <xf numFmtId="3" fontId="16" fillId="0" borderId="0" xfId="1" applyNumberFormat="1" applyFont="1" applyBorder="1"/>
    <xf numFmtId="3" fontId="16" fillId="3" borderId="6" xfId="1" applyNumberFormat="1" applyFont="1" applyFill="1" applyBorder="1" applyAlignment="1">
      <alignment horizontal="right"/>
    </xf>
    <xf numFmtId="3" fontId="16" fillId="3" borderId="5" xfId="1" applyNumberFormat="1" applyFont="1" applyFill="1" applyBorder="1" applyAlignment="1">
      <alignment horizontal="right"/>
    </xf>
    <xf numFmtId="3" fontId="16" fillId="3" borderId="3" xfId="1" applyNumberFormat="1" applyFont="1" applyFill="1" applyBorder="1" applyAlignment="1">
      <alignment horizontal="right"/>
    </xf>
    <xf numFmtId="3" fontId="18" fillId="0" borderId="10" xfId="1" applyNumberFormat="1" applyFont="1" applyBorder="1" applyAlignment="1">
      <alignment horizontal="left"/>
    </xf>
    <xf numFmtId="3" fontId="16" fillId="0" borderId="0" xfId="1" applyNumberFormat="1" applyFont="1" applyFill="1" applyBorder="1" applyAlignment="1">
      <alignment horizontal="center"/>
    </xf>
    <xf numFmtId="3" fontId="17" fillId="0" borderId="0" xfId="1" applyNumberFormat="1" applyFont="1" applyFill="1" applyBorder="1" applyAlignment="1">
      <alignment horizontal="center"/>
    </xf>
    <xf numFmtId="3" fontId="18" fillId="3" borderId="2" xfId="1" applyNumberFormat="1" applyFont="1" applyFill="1" applyBorder="1" applyAlignment="1">
      <alignment horizontal="right"/>
    </xf>
    <xf numFmtId="3" fontId="31" fillId="0" borderId="3" xfId="0" applyNumberFormat="1" applyFont="1" applyBorder="1"/>
    <xf numFmtId="3" fontId="31" fillId="0" borderId="3" xfId="0" applyNumberFormat="1" applyFont="1" applyFill="1" applyBorder="1"/>
    <xf numFmtId="3" fontId="46" fillId="0" borderId="3" xfId="0" applyNumberFormat="1" applyFont="1" applyBorder="1"/>
    <xf numFmtId="3" fontId="46" fillId="0" borderId="0" xfId="0" applyNumberFormat="1" applyFont="1" applyBorder="1"/>
    <xf numFmtId="3" fontId="31" fillId="0" borderId="4" xfId="2" applyNumberFormat="1" applyFont="1" applyBorder="1"/>
    <xf numFmtId="3" fontId="46" fillId="0" borderId="6" xfId="0" applyNumberFormat="1" applyFont="1" applyBorder="1"/>
    <xf numFmtId="3" fontId="31" fillId="0" borderId="0" xfId="0" applyNumberFormat="1" applyFont="1" applyBorder="1" applyAlignment="1">
      <alignment horizontal="right"/>
    </xf>
    <xf numFmtId="3" fontId="52" fillId="0" borderId="0" xfId="0" applyNumberFormat="1" applyFont="1" applyFill="1" applyBorder="1" applyAlignment="1">
      <alignment horizontal="right"/>
    </xf>
    <xf numFmtId="0" fontId="14" fillId="0" borderId="4" xfId="0" applyFont="1" applyBorder="1" applyAlignment="1">
      <alignment horizontal="center"/>
    </xf>
    <xf numFmtId="0" fontId="14" fillId="0" borderId="3" xfId="0" applyFont="1" applyBorder="1" applyAlignment="1">
      <alignment horizontal="center"/>
    </xf>
    <xf numFmtId="0" fontId="31" fillId="0" borderId="0" xfId="0" applyFont="1" applyFill="1" applyBorder="1"/>
    <xf numFmtId="3" fontId="18" fillId="2" borderId="3" xfId="1" applyNumberFormat="1" applyFont="1" applyFill="1" applyBorder="1" applyAlignment="1">
      <alignment horizontal="right"/>
    </xf>
    <xf numFmtId="0" fontId="18" fillId="0" borderId="0" xfId="0" applyFont="1" applyFill="1" applyBorder="1"/>
    <xf numFmtId="3" fontId="23" fillId="0" borderId="4" xfId="1" applyNumberFormat="1" applyFont="1" applyFill="1" applyBorder="1" applyAlignment="1">
      <alignment horizontal="right"/>
    </xf>
    <xf numFmtId="3" fontId="23" fillId="0" borderId="3" xfId="1" applyNumberFormat="1" applyFont="1" applyFill="1" applyBorder="1" applyAlignment="1">
      <alignment horizontal="right"/>
    </xf>
    <xf numFmtId="3" fontId="18" fillId="0" borderId="4" xfId="1" quotePrefix="1" applyNumberFormat="1" applyFont="1" applyFill="1" applyBorder="1" applyAlignment="1">
      <alignment horizontal="right"/>
    </xf>
    <xf numFmtId="167" fontId="46" fillId="0" borderId="4" xfId="0" applyNumberFormat="1" applyFont="1" applyBorder="1" applyAlignment="1">
      <alignment horizontal="left"/>
    </xf>
    <xf numFmtId="0" fontId="31" fillId="0" borderId="4" xfId="0" applyFont="1" applyBorder="1"/>
    <xf numFmtId="0" fontId="52" fillId="0" borderId="4" xfId="0" applyFont="1" applyFill="1" applyBorder="1"/>
    <xf numFmtId="0" fontId="46" fillId="0" borderId="11" xfId="0" applyFont="1" applyBorder="1"/>
    <xf numFmtId="3" fontId="31" fillId="0" borderId="3" xfId="0" applyNumberFormat="1" applyFont="1" applyBorder="1" applyAlignment="1">
      <alignment horizontal="right"/>
    </xf>
    <xf numFmtId="3" fontId="52" fillId="0" borderId="3" xfId="0" applyNumberFormat="1" applyFont="1" applyFill="1" applyBorder="1" applyAlignment="1">
      <alignment horizontal="right"/>
    </xf>
    <xf numFmtId="3" fontId="46" fillId="0" borderId="3" xfId="0" applyNumberFormat="1" applyFont="1" applyBorder="1" applyAlignment="1">
      <alignment horizontal="right"/>
    </xf>
    <xf numFmtId="3" fontId="46" fillId="0" borderId="6" xfId="0" applyNumberFormat="1" applyFont="1" applyBorder="1" applyAlignment="1">
      <alignment horizontal="right"/>
    </xf>
    <xf numFmtId="0" fontId="37" fillId="0" borderId="4" xfId="0" applyFont="1" applyBorder="1" applyAlignment="1">
      <alignment horizontal="right"/>
    </xf>
    <xf numFmtId="3" fontId="31" fillId="0" borderId="7" xfId="0" applyNumberFormat="1" applyFont="1" applyBorder="1" applyAlignment="1">
      <alignment horizontal="right"/>
    </xf>
    <xf numFmtId="3" fontId="31" fillId="0" borderId="14" xfId="0" applyNumberFormat="1" applyFont="1" applyBorder="1" applyAlignment="1">
      <alignment horizontal="right"/>
    </xf>
    <xf numFmtId="0" fontId="37" fillId="0" borderId="3" xfId="0" applyFont="1" applyBorder="1" applyAlignment="1">
      <alignment horizontal="right"/>
    </xf>
    <xf numFmtId="3" fontId="31" fillId="0" borderId="6" xfId="0" applyNumberFormat="1" applyFont="1" applyBorder="1" applyAlignment="1">
      <alignment horizontal="right"/>
    </xf>
    <xf numFmtId="3" fontId="16" fillId="0" borderId="0" xfId="0" applyNumberFormat="1" applyFont="1"/>
    <xf numFmtId="3" fontId="16" fillId="0" borderId="4" xfId="1" applyNumberFormat="1" applyFont="1" applyBorder="1" applyAlignment="1">
      <alignment horizontal="center"/>
    </xf>
    <xf numFmtId="3" fontId="18" fillId="0" borderId="0" xfId="0" applyNumberFormat="1" applyFont="1" applyBorder="1"/>
    <xf numFmtId="3" fontId="18" fillId="0" borderId="0" xfId="0" applyNumberFormat="1" applyFont="1"/>
    <xf numFmtId="3" fontId="16" fillId="0" borderId="0" xfId="0" applyNumberFormat="1" applyFont="1" applyBorder="1"/>
    <xf numFmtId="3" fontId="18" fillId="0" borderId="0" xfId="0" applyNumberFormat="1" applyFont="1" applyFill="1" applyBorder="1"/>
    <xf numFmtId="0" fontId="18" fillId="8" borderId="1" xfId="0" applyFont="1" applyFill="1" applyBorder="1"/>
    <xf numFmtId="0" fontId="18" fillId="8" borderId="15" xfId="0" applyFont="1" applyFill="1" applyBorder="1"/>
    <xf numFmtId="0" fontId="18" fillId="8" borderId="14" xfId="0" applyFont="1" applyFill="1" applyBorder="1"/>
    <xf numFmtId="0" fontId="16" fillId="8" borderId="1" xfId="0" applyFont="1" applyFill="1" applyBorder="1" applyAlignment="1">
      <alignment horizontal="center"/>
    </xf>
    <xf numFmtId="0" fontId="16" fillId="8" borderId="15" xfId="0" applyFont="1" applyFill="1" applyBorder="1" applyAlignment="1">
      <alignment horizontal="center"/>
    </xf>
    <xf numFmtId="0" fontId="16" fillId="8" borderId="14" xfId="0" applyFont="1" applyFill="1" applyBorder="1" applyAlignment="1">
      <alignment horizontal="center"/>
    </xf>
    <xf numFmtId="0" fontId="16" fillId="8" borderId="11" xfId="0" applyFont="1" applyFill="1" applyBorder="1" applyAlignment="1">
      <alignment horizontal="center"/>
    </xf>
    <xf numFmtId="0" fontId="16" fillId="8" borderId="5" xfId="0" applyFont="1" applyFill="1" applyBorder="1" applyAlignment="1">
      <alignment horizontal="center"/>
    </xf>
    <xf numFmtId="0" fontId="16" fillId="8" borderId="12" xfId="0" applyFont="1" applyFill="1" applyBorder="1" applyAlignment="1">
      <alignment horizontal="center"/>
    </xf>
    <xf numFmtId="0" fontId="16" fillId="8" borderId="3" xfId="0" applyFont="1" applyFill="1" applyBorder="1"/>
    <xf numFmtId="3" fontId="18" fillId="8" borderId="2" xfId="0" applyNumberFormat="1" applyFont="1" applyFill="1" applyBorder="1"/>
    <xf numFmtId="3" fontId="18" fillId="8" borderId="7" xfId="0" applyNumberFormat="1" applyFont="1" applyFill="1" applyBorder="1"/>
    <xf numFmtId="3" fontId="18" fillId="8" borderId="3" xfId="0" applyNumberFormat="1" applyFont="1" applyFill="1" applyBorder="1"/>
    <xf numFmtId="0" fontId="16" fillId="8" borderId="3" xfId="0" applyFont="1" applyFill="1" applyBorder="1" applyAlignment="1">
      <alignment horizontal="center"/>
    </xf>
    <xf numFmtId="0" fontId="16" fillId="8" borderId="2" xfId="0" applyFont="1" applyFill="1" applyBorder="1" applyAlignment="1">
      <alignment horizontal="center"/>
    </xf>
    <xf numFmtId="0" fontId="18" fillId="8" borderId="2" xfId="0" applyFont="1" applyFill="1" applyBorder="1"/>
    <xf numFmtId="0" fontId="18" fillId="8" borderId="3" xfId="0" applyFont="1" applyFill="1" applyBorder="1"/>
    <xf numFmtId="3" fontId="18" fillId="8" borderId="2" xfId="2" applyNumberFormat="1" applyFont="1" applyFill="1" applyBorder="1"/>
    <xf numFmtId="3" fontId="16" fillId="8" borderId="6" xfId="0" applyNumberFormat="1" applyFont="1" applyFill="1" applyBorder="1"/>
    <xf numFmtId="3" fontId="16" fillId="8" borderId="5" xfId="0" applyNumberFormat="1" applyFont="1" applyFill="1" applyBorder="1"/>
    <xf numFmtId="3" fontId="31" fillId="0" borderId="2" xfId="0" quotePrefix="1" applyNumberFormat="1" applyFont="1" applyBorder="1" applyAlignment="1">
      <alignment horizontal="right"/>
    </xf>
    <xf numFmtId="0" fontId="37" fillId="0" borderId="1" xfId="0" applyFont="1" applyBorder="1" applyAlignment="1">
      <alignment horizontal="right"/>
    </xf>
    <xf numFmtId="3" fontId="31" fillId="0" borderId="3" xfId="0" quotePrefix="1" applyNumberFormat="1" applyFont="1" applyBorder="1" applyAlignment="1">
      <alignment horizontal="right"/>
    </xf>
    <xf numFmtId="3" fontId="18" fillId="0" borderId="2" xfId="1" applyNumberFormat="1" applyFont="1" applyFill="1" applyBorder="1" applyAlignment="1">
      <alignment horizontal="right"/>
    </xf>
    <xf numFmtId="3" fontId="18" fillId="2" borderId="2" xfId="1" applyNumberFormat="1" applyFont="1" applyFill="1" applyBorder="1" applyAlignment="1">
      <alignment horizontal="right"/>
    </xf>
    <xf numFmtId="3" fontId="16" fillId="0" borderId="3" xfId="1" applyNumberFormat="1" applyFont="1" applyFill="1" applyBorder="1" applyAlignment="1">
      <alignment horizontal="right"/>
    </xf>
    <xf numFmtId="3" fontId="18" fillId="0" borderId="2" xfId="1" quotePrefix="1" applyNumberFormat="1" applyFont="1" applyFill="1" applyBorder="1" applyAlignment="1">
      <alignment horizontal="right"/>
    </xf>
    <xf numFmtId="3" fontId="18" fillId="0" borderId="6" xfId="1" quotePrefix="1" applyNumberFormat="1" applyFont="1" applyFill="1" applyBorder="1" applyAlignment="1">
      <alignment horizontal="right"/>
    </xf>
    <xf numFmtId="3" fontId="18" fillId="0" borderId="5" xfId="1" quotePrefix="1" applyNumberFormat="1" applyFont="1" applyFill="1" applyBorder="1" applyAlignment="1">
      <alignment horizontal="right"/>
    </xf>
    <xf numFmtId="3" fontId="18" fillId="3" borderId="0" xfId="1" applyNumberFormat="1" applyFont="1" applyFill="1" applyBorder="1" applyAlignment="1">
      <alignment horizontal="right"/>
    </xf>
    <xf numFmtId="165" fontId="56" fillId="7" borderId="3" xfId="844" applyNumberFormat="1" applyFont="1" applyBorder="1" applyAlignment="1">
      <alignment horizontal="right"/>
    </xf>
    <xf numFmtId="3" fontId="46" fillId="0" borderId="2" xfId="0" applyNumberFormat="1" applyFont="1" applyBorder="1"/>
    <xf numFmtId="3" fontId="14" fillId="0" borderId="9" xfId="1" applyNumberFormat="1" applyFont="1" applyBorder="1" applyAlignment="1">
      <alignment horizontal="center"/>
    </xf>
    <xf numFmtId="3" fontId="17" fillId="0" borderId="6" xfId="1" applyNumberFormat="1" applyFont="1" applyBorder="1" applyAlignment="1">
      <alignment horizontal="center"/>
    </xf>
    <xf numFmtId="3" fontId="16" fillId="0" borderId="3" xfId="1" applyNumberFormat="1" applyFont="1" applyBorder="1" applyAlignment="1">
      <alignment horizontal="center"/>
    </xf>
    <xf numFmtId="3" fontId="16" fillId="0" borderId="2" xfId="1" applyNumberFormat="1" applyFont="1" applyBorder="1" applyAlignment="1">
      <alignment horizontal="center"/>
    </xf>
    <xf numFmtId="3" fontId="14" fillId="0" borderId="1" xfId="1" applyNumberFormat="1" applyFont="1" applyBorder="1"/>
    <xf numFmtId="0" fontId="18" fillId="0" borderId="6" xfId="0" applyFont="1" applyBorder="1"/>
    <xf numFmtId="0" fontId="16" fillId="0" borderId="3" xfId="1" applyFont="1" applyBorder="1" applyAlignment="1">
      <alignment horizontal="center"/>
    </xf>
    <xf numFmtId="0" fontId="16" fillId="0" borderId="15" xfId="1" applyFont="1" applyBorder="1" applyAlignment="1">
      <alignment horizontal="center"/>
    </xf>
    <xf numFmtId="0" fontId="18" fillId="0" borderId="5" xfId="1" applyFont="1" applyFill="1" applyBorder="1"/>
    <xf numFmtId="0" fontId="18" fillId="0" borderId="9" xfId="1" applyFont="1" applyFill="1" applyBorder="1"/>
    <xf numFmtId="168" fontId="18" fillId="0" borderId="0" xfId="1" applyNumberFormat="1" applyFont="1" applyFill="1" applyBorder="1" applyAlignment="1">
      <alignment horizontal="center"/>
    </xf>
    <xf numFmtId="168" fontId="18" fillId="3" borderId="3" xfId="1" applyNumberFormat="1" applyFont="1" applyFill="1" applyBorder="1" applyAlignment="1">
      <alignment horizontal="right"/>
    </xf>
    <xf numFmtId="168" fontId="18" fillId="3" borderId="6" xfId="1" applyNumberFormat="1" applyFont="1" applyFill="1" applyBorder="1" applyAlignment="1">
      <alignment horizontal="right"/>
    </xf>
    <xf numFmtId="0" fontId="46" fillId="0" borderId="0" xfId="0" applyFont="1" applyBorder="1"/>
    <xf numFmtId="0" fontId="46" fillId="0" borderId="7" xfId="0" applyFont="1" applyBorder="1"/>
    <xf numFmtId="14" fontId="14" fillId="0" borderId="6" xfId="0" applyNumberFormat="1" applyFont="1" applyFill="1" applyBorder="1" applyAlignment="1">
      <alignment horizontal="left"/>
    </xf>
    <xf numFmtId="14" fontId="14" fillId="0" borderId="3" xfId="0" applyNumberFormat="1" applyFont="1" applyFill="1" applyBorder="1" applyAlignment="1">
      <alignment horizontal="center"/>
    </xf>
    <xf numFmtId="167" fontId="16" fillId="0" borderId="4" xfId="0" applyNumberFormat="1" applyFont="1" applyBorder="1" applyAlignment="1">
      <alignment horizontal="center"/>
    </xf>
    <xf numFmtId="167" fontId="16" fillId="0" borderId="11" xfId="0" applyNumberFormat="1" applyFont="1" applyBorder="1" applyAlignment="1">
      <alignment horizontal="center"/>
    </xf>
    <xf numFmtId="0" fontId="16" fillId="0" borderId="5" xfId="0" applyFont="1" applyBorder="1" applyAlignment="1">
      <alignment horizontal="center"/>
    </xf>
    <xf numFmtId="165" fontId="46" fillId="0" borderId="4" xfId="0" applyNumberFormat="1" applyFont="1" applyBorder="1" applyAlignment="1">
      <alignment horizontal="right"/>
    </xf>
    <xf numFmtId="165" fontId="46" fillId="0" borderId="3" xfId="0" applyNumberFormat="1" applyFont="1" applyBorder="1" applyAlignment="1">
      <alignment horizontal="right"/>
    </xf>
    <xf numFmtId="165" fontId="31" fillId="0" borderId="4" xfId="0" applyNumberFormat="1" applyFont="1" applyBorder="1" applyAlignment="1">
      <alignment horizontal="right"/>
    </xf>
    <xf numFmtId="165" fontId="31" fillId="0" borderId="3" xfId="0" applyNumberFormat="1" applyFont="1" applyBorder="1" applyAlignment="1">
      <alignment horizontal="right"/>
    </xf>
    <xf numFmtId="165" fontId="31" fillId="0" borderId="4" xfId="0" applyNumberFormat="1" applyFont="1" applyFill="1" applyBorder="1" applyAlignment="1">
      <alignment horizontal="right"/>
    </xf>
    <xf numFmtId="0" fontId="31" fillId="0" borderId="11" xfId="0" applyFont="1" applyBorder="1"/>
    <xf numFmtId="3" fontId="31" fillId="0" borderId="11" xfId="0" applyNumberFormat="1" applyFont="1" applyBorder="1"/>
    <xf numFmtId="165" fontId="31" fillId="0" borderId="11" xfId="0" applyNumberFormat="1" applyFont="1" applyBorder="1" applyAlignment="1">
      <alignment horizontal="right"/>
    </xf>
    <xf numFmtId="165" fontId="31" fillId="0" borderId="6" xfId="0" applyNumberFormat="1" applyFont="1" applyBorder="1" applyAlignment="1">
      <alignment horizontal="right"/>
    </xf>
    <xf numFmtId="3" fontId="46" fillId="0" borderId="3" xfId="0" applyNumberFormat="1" applyFont="1" applyFill="1" applyBorder="1" applyAlignment="1">
      <alignment horizontal="right"/>
    </xf>
    <xf numFmtId="0" fontId="43" fillId="9" borderId="0" xfId="0" applyFont="1" applyFill="1"/>
    <xf numFmtId="0" fontId="67" fillId="0" borderId="0" xfId="3" applyFont="1" applyAlignment="1" applyProtection="1"/>
    <xf numFmtId="0" fontId="42" fillId="0" borderId="0" xfId="0" applyFont="1" applyFill="1" applyAlignment="1">
      <alignment horizontal="center"/>
    </xf>
    <xf numFmtId="3" fontId="16" fillId="0" borderId="6" xfId="1" applyNumberFormat="1" applyFont="1" applyFill="1" applyBorder="1" applyAlignment="1">
      <alignment horizontal="right"/>
    </xf>
    <xf numFmtId="3" fontId="68" fillId="0" borderId="4" xfId="1" applyNumberFormat="1" applyFont="1" applyFill="1" applyBorder="1" applyAlignment="1">
      <alignment horizontal="right"/>
    </xf>
    <xf numFmtId="3" fontId="68" fillId="0" borderId="3" xfId="1" applyNumberFormat="1" applyFont="1" applyFill="1" applyBorder="1" applyAlignment="1">
      <alignment horizontal="right"/>
    </xf>
    <xf numFmtId="3" fontId="68" fillId="0" borderId="11" xfId="1" applyNumberFormat="1" applyFont="1" applyFill="1" applyBorder="1" applyAlignment="1">
      <alignment horizontal="right"/>
    </xf>
    <xf numFmtId="3" fontId="68" fillId="0" borderId="6" xfId="1" applyNumberFormat="1" applyFont="1" applyFill="1" applyBorder="1" applyAlignment="1">
      <alignment horizontal="right"/>
    </xf>
    <xf numFmtId="3" fontId="18" fillId="0" borderId="3" xfId="2" applyNumberFormat="1" applyFont="1" applyFill="1" applyBorder="1" applyAlignment="1">
      <alignment horizontal="right"/>
    </xf>
    <xf numFmtId="3" fontId="18" fillId="0" borderId="4" xfId="2" applyNumberFormat="1" applyFont="1" applyFill="1" applyBorder="1" applyAlignment="1">
      <alignment horizontal="right"/>
    </xf>
    <xf numFmtId="3" fontId="18" fillId="0" borderId="6" xfId="2" applyNumberFormat="1" applyFont="1" applyFill="1" applyBorder="1" applyAlignment="1">
      <alignment horizontal="right"/>
    </xf>
    <xf numFmtId="3" fontId="18" fillId="0" borderId="11" xfId="2" applyNumberFormat="1" applyFont="1" applyFill="1" applyBorder="1" applyAlignment="1">
      <alignment horizontal="right"/>
    </xf>
    <xf numFmtId="3" fontId="18" fillId="2" borderId="3" xfId="2" applyNumberFormat="1" applyFont="1" applyFill="1" applyBorder="1" applyAlignment="1">
      <alignment horizontal="right"/>
    </xf>
    <xf numFmtId="3" fontId="18" fillId="2" borderId="4" xfId="2" applyNumberFormat="1" applyFont="1" applyFill="1" applyBorder="1" applyAlignment="1">
      <alignment horizontal="right"/>
    </xf>
    <xf numFmtId="3" fontId="18" fillId="0" borderId="4" xfId="1" applyNumberFormat="1" applyFont="1" applyFill="1" applyBorder="1" applyAlignment="1">
      <alignment horizontal="right"/>
    </xf>
    <xf numFmtId="3" fontId="18" fillId="0" borderId="11" xfId="1" applyNumberFormat="1" applyFont="1" applyFill="1" applyBorder="1" applyAlignment="1">
      <alignment horizontal="right"/>
    </xf>
    <xf numFmtId="3" fontId="18" fillId="2" borderId="0" xfId="1" applyNumberFormat="1" applyFont="1" applyFill="1" applyBorder="1" applyAlignment="1">
      <alignment horizontal="right"/>
    </xf>
    <xf numFmtId="3" fontId="18" fillId="0" borderId="3" xfId="2" applyNumberFormat="1" applyFont="1" applyBorder="1" applyAlignment="1">
      <alignment horizontal="right"/>
    </xf>
    <xf numFmtId="3" fontId="18" fillId="0" borderId="4" xfId="2" applyNumberFormat="1" applyFont="1" applyBorder="1" applyAlignment="1">
      <alignment horizontal="right"/>
    </xf>
    <xf numFmtId="3" fontId="23" fillId="0" borderId="2" xfId="1" applyNumberFormat="1" applyFont="1" applyFill="1" applyBorder="1" applyAlignment="1">
      <alignment horizontal="right"/>
    </xf>
    <xf numFmtId="3" fontId="23" fillId="0" borderId="0" xfId="1" applyNumberFormat="1" applyFont="1" applyFill="1" applyBorder="1" applyAlignment="1">
      <alignment horizontal="right"/>
    </xf>
    <xf numFmtId="3" fontId="19" fillId="2" borderId="2" xfId="1" applyNumberFormat="1" applyFont="1" applyFill="1" applyBorder="1" applyAlignment="1">
      <alignment horizontal="right"/>
    </xf>
    <xf numFmtId="3" fontId="19" fillId="2" borderId="0" xfId="1" applyNumberFormat="1" applyFont="1" applyFill="1" applyBorder="1" applyAlignment="1">
      <alignment horizontal="right"/>
    </xf>
    <xf numFmtId="3" fontId="18" fillId="0" borderId="3" xfId="2" applyNumberFormat="1" applyFont="1" applyBorder="1" applyAlignment="1">
      <alignment horizontal="left"/>
    </xf>
    <xf numFmtId="0" fontId="14" fillId="0" borderId="0" xfId="1" applyFont="1" applyBorder="1" applyAlignment="1">
      <alignment horizontal="center"/>
    </xf>
    <xf numFmtId="0" fontId="14" fillId="0" borderId="0" xfId="1" applyFont="1" applyFill="1" applyBorder="1" applyAlignment="1">
      <alignment horizontal="center"/>
    </xf>
    <xf numFmtId="3" fontId="14" fillId="0" borderId="0"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4" fillId="0" borderId="0" xfId="1" applyNumberFormat="1" applyFont="1" applyFill="1" applyBorder="1" applyAlignment="1">
      <alignment horizontal="center"/>
    </xf>
    <xf numFmtId="3" fontId="14" fillId="0" borderId="12" xfId="1" applyNumberFormat="1" applyFont="1" applyBorder="1" applyAlignment="1">
      <alignment horizontal="center"/>
    </xf>
    <xf numFmtId="3" fontId="16" fillId="0" borderId="9" xfId="1" applyNumberFormat="1" applyFont="1" applyBorder="1" applyAlignment="1">
      <alignment horizontal="center"/>
    </xf>
    <xf numFmtId="3" fontId="16" fillId="0" borderId="1" xfId="1" applyNumberFormat="1" applyFont="1" applyBorder="1" applyAlignment="1">
      <alignment horizontal="center"/>
    </xf>
    <xf numFmtId="3" fontId="16" fillId="0" borderId="7" xfId="2" applyNumberFormat="1" applyFont="1" applyFill="1" applyBorder="1" applyAlignment="1">
      <alignment horizontal="right"/>
    </xf>
    <xf numFmtId="3" fontId="16" fillId="0" borderId="1" xfId="2" applyNumberFormat="1" applyFont="1" applyFill="1" applyBorder="1" applyAlignment="1">
      <alignment horizontal="right"/>
    </xf>
    <xf numFmtId="3" fontId="16" fillId="0" borderId="2" xfId="1" applyNumberFormat="1" applyFont="1" applyFill="1" applyBorder="1" applyAlignment="1">
      <alignment horizontal="right"/>
    </xf>
    <xf numFmtId="3" fontId="16" fillId="0" borderId="4" xfId="1" applyNumberFormat="1" applyFont="1" applyFill="1" applyBorder="1" applyAlignment="1">
      <alignment horizontal="right"/>
    </xf>
    <xf numFmtId="3" fontId="16" fillId="0" borderId="3" xfId="2" applyNumberFormat="1" applyFont="1" applyFill="1" applyBorder="1" applyAlignment="1">
      <alignment horizontal="right"/>
    </xf>
    <xf numFmtId="3" fontId="16" fillId="0" borderId="4" xfId="2" applyNumberFormat="1" applyFont="1" applyFill="1" applyBorder="1" applyAlignment="1">
      <alignment horizontal="right"/>
    </xf>
    <xf numFmtId="3" fontId="16" fillId="0" borderId="6" xfId="2" applyNumberFormat="1" applyFont="1" applyFill="1" applyBorder="1" applyAlignment="1">
      <alignment horizontal="right"/>
    </xf>
    <xf numFmtId="3" fontId="16" fillId="0" borderId="11" xfId="2" applyNumberFormat="1" applyFont="1" applyFill="1" applyBorder="1" applyAlignment="1">
      <alignment horizontal="right"/>
    </xf>
    <xf numFmtId="3" fontId="16" fillId="0" borderId="5" xfId="1" applyNumberFormat="1" applyFont="1" applyFill="1" applyBorder="1" applyAlignment="1">
      <alignment horizontal="right"/>
    </xf>
    <xf numFmtId="3" fontId="16" fillId="0" borderId="11" xfId="1" applyNumberFormat="1" applyFont="1" applyFill="1" applyBorder="1" applyAlignment="1">
      <alignment horizontal="right"/>
    </xf>
    <xf numFmtId="3" fontId="16" fillId="0" borderId="7" xfId="1" applyNumberFormat="1" applyFont="1" applyFill="1" applyBorder="1" applyAlignment="1">
      <alignment horizontal="right"/>
    </xf>
    <xf numFmtId="3" fontId="16" fillId="0" borderId="1" xfId="1" applyNumberFormat="1" applyFont="1" applyFill="1" applyBorder="1" applyAlignment="1">
      <alignment horizontal="right"/>
    </xf>
    <xf numFmtId="3" fontId="16" fillId="0" borderId="15" xfId="1" applyNumberFormat="1" applyFont="1" applyFill="1" applyBorder="1" applyAlignment="1">
      <alignment horizontal="right"/>
    </xf>
    <xf numFmtId="3" fontId="16" fillId="2" borderId="2" xfId="1" applyNumberFormat="1" applyFont="1" applyFill="1" applyBorder="1" applyAlignment="1">
      <alignment horizontal="right"/>
    </xf>
    <xf numFmtId="3" fontId="16" fillId="2" borderId="0" xfId="1" applyNumberFormat="1" applyFont="1" applyFill="1" applyBorder="1" applyAlignment="1">
      <alignment horizontal="right"/>
    </xf>
    <xf numFmtId="3" fontId="16" fillId="2" borderId="4" xfId="1" applyNumberFormat="1" applyFont="1" applyFill="1" applyBorder="1" applyAlignment="1">
      <alignment horizontal="right"/>
    </xf>
    <xf numFmtId="3" fontId="16" fillId="2" borderId="5" xfId="1" applyNumberFormat="1" applyFont="1" applyFill="1" applyBorder="1" applyAlignment="1">
      <alignment horizontal="right"/>
    </xf>
    <xf numFmtId="3" fontId="16" fillId="2" borderId="11" xfId="1" applyNumberFormat="1" applyFont="1" applyFill="1" applyBorder="1" applyAlignment="1">
      <alignment horizontal="right"/>
    </xf>
    <xf numFmtId="3" fontId="16" fillId="2" borderId="3" xfId="1" applyNumberFormat="1" applyFont="1" applyFill="1" applyBorder="1" applyAlignment="1">
      <alignment horizontal="right"/>
    </xf>
    <xf numFmtId="3" fontId="16" fillId="2" borderId="2" xfId="1" quotePrefix="1" applyNumberFormat="1" applyFont="1" applyFill="1" applyBorder="1" applyAlignment="1">
      <alignment horizontal="right"/>
    </xf>
    <xf numFmtId="3" fontId="16" fillId="2" borderId="6" xfId="1" applyNumberFormat="1" applyFont="1" applyFill="1" applyBorder="1" applyAlignment="1">
      <alignment horizontal="right"/>
    </xf>
    <xf numFmtId="14" fontId="17" fillId="0" borderId="10" xfId="1" applyNumberFormat="1" applyFont="1" applyBorder="1" applyAlignment="1"/>
    <xf numFmtId="0" fontId="0" fillId="0" borderId="8" xfId="0" applyBorder="1" applyAlignment="1"/>
    <xf numFmtId="3" fontId="16" fillId="0" borderId="2" xfId="1" quotePrefix="1" applyNumberFormat="1" applyFont="1" applyFill="1" applyBorder="1" applyAlignment="1">
      <alignment horizontal="right"/>
    </xf>
    <xf numFmtId="0" fontId="57" fillId="0" borderId="0" xfId="1" applyFont="1" applyFill="1"/>
    <xf numFmtId="0" fontId="15" fillId="0" borderId="0" xfId="1" applyFont="1" applyFill="1" applyAlignment="1">
      <alignment horizontal="right" vertical="top"/>
    </xf>
    <xf numFmtId="0" fontId="15" fillId="0" borderId="0" xfId="1" applyFont="1" applyAlignment="1">
      <alignment vertical="top" wrapText="1"/>
    </xf>
    <xf numFmtId="0" fontId="15" fillId="0" borderId="0" xfId="1" applyFont="1" applyFill="1" applyAlignment="1">
      <alignment horizontal="right"/>
    </xf>
    <xf numFmtId="0" fontId="15" fillId="0" borderId="0" xfId="1" applyFont="1" applyFill="1" applyAlignment="1">
      <alignment vertical="top" wrapText="1"/>
    </xf>
    <xf numFmtId="0" fontId="24" fillId="0" borderId="0" xfId="1" applyFont="1" applyFill="1"/>
    <xf numFmtId="0" fontId="15" fillId="0" borderId="0" xfId="1" applyFont="1" applyFill="1" applyAlignment="1">
      <alignment wrapText="1"/>
    </xf>
    <xf numFmtId="0" fontId="14" fillId="0" borderId="0" xfId="1" applyFont="1" applyFill="1" applyAlignment="1">
      <alignment horizontal="left"/>
    </xf>
    <xf numFmtId="3" fontId="31" fillId="4" borderId="3" xfId="0" applyNumberFormat="1" applyFont="1" applyFill="1" applyBorder="1" applyAlignment="1" applyProtection="1">
      <alignment horizontal="right"/>
      <protection locked="0"/>
    </xf>
    <xf numFmtId="0" fontId="69" fillId="0" borderId="0" xfId="0" applyFont="1" applyAlignment="1">
      <alignment horizontal="left" vertical="center" readingOrder="1"/>
    </xf>
    <xf numFmtId="0" fontId="18" fillId="0" borderId="0" xfId="1" applyFont="1" applyFill="1" applyBorder="1" applyAlignment="1">
      <alignment horizontal="left"/>
    </xf>
    <xf numFmtId="0" fontId="71" fillId="0" borderId="0" xfId="1" applyFont="1" applyFill="1" applyAlignment="1">
      <alignment horizontal="left"/>
    </xf>
    <xf numFmtId="0" fontId="19" fillId="0" borderId="0" xfId="1" applyFont="1" applyFill="1"/>
    <xf numFmtId="0" fontId="43" fillId="9" borderId="0" xfId="3" applyFont="1" applyFill="1" applyAlignment="1" applyProtection="1"/>
    <xf numFmtId="0" fontId="65" fillId="0" borderId="0" xfId="0" applyFont="1" applyFill="1"/>
    <xf numFmtId="0" fontId="66" fillId="0" borderId="0" xfId="0" applyFont="1" applyFill="1"/>
    <xf numFmtId="0" fontId="43" fillId="0" borderId="0" xfId="0" applyFont="1" applyFill="1"/>
    <xf numFmtId="0" fontId="41" fillId="0" borderId="0" xfId="0" applyFont="1" applyFill="1"/>
    <xf numFmtId="0" fontId="39" fillId="0" borderId="0" xfId="0" applyFont="1" applyFill="1"/>
    <xf numFmtId="0" fontId="43" fillId="0" borderId="0" xfId="3" applyFont="1" applyFill="1" applyAlignment="1" applyProtection="1"/>
    <xf numFmtId="3" fontId="16" fillId="3" borderId="7" xfId="1" applyNumberFormat="1" applyFont="1" applyFill="1" applyBorder="1" applyAlignment="1">
      <alignment horizontal="right"/>
    </xf>
    <xf numFmtId="0" fontId="73" fillId="0" borderId="0" xfId="1" applyFont="1" applyBorder="1" applyAlignment="1">
      <alignment horizontal="left"/>
    </xf>
    <xf numFmtId="3" fontId="68" fillId="0" borderId="2" xfId="1" applyNumberFormat="1" applyFont="1" applyFill="1" applyBorder="1" applyAlignment="1">
      <alignment horizontal="right"/>
    </xf>
    <xf numFmtId="3" fontId="60" fillId="0" borderId="2" xfId="1" applyNumberFormat="1" applyFont="1" applyFill="1" applyBorder="1" applyAlignment="1">
      <alignment horizontal="right"/>
    </xf>
    <xf numFmtId="0" fontId="72" fillId="0" borderId="0" xfId="0" applyFont="1" applyFill="1" applyAlignment="1">
      <alignment horizontal="left" vertical="center" readingOrder="1"/>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12"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3" fontId="14" fillId="0" borderId="14" xfId="1" applyNumberFormat="1" applyFont="1" applyFill="1" applyBorder="1" applyAlignment="1">
      <alignment horizontal="center"/>
    </xf>
    <xf numFmtId="171" fontId="16" fillId="0" borderId="7" xfId="846" applyFont="1" applyFill="1" applyBorder="1" applyAlignment="1">
      <alignment horizontal="right"/>
    </xf>
    <xf numFmtId="171" fontId="16" fillId="0" borderId="1" xfId="846" applyFont="1" applyFill="1" applyBorder="1" applyAlignment="1">
      <alignment horizontal="right"/>
    </xf>
    <xf numFmtId="171" fontId="18" fillId="0" borderId="3" xfId="846" applyFont="1" applyBorder="1" applyAlignment="1">
      <alignment horizontal="right"/>
    </xf>
    <xf numFmtId="171" fontId="18" fillId="0" borderId="3" xfId="846" applyFont="1" applyFill="1" applyBorder="1" applyAlignment="1">
      <alignment horizontal="right"/>
    </xf>
    <xf numFmtId="171" fontId="18" fillId="0" borderId="4" xfId="846" applyFont="1" applyFill="1" applyBorder="1" applyAlignment="1">
      <alignment horizontal="right"/>
    </xf>
    <xf numFmtId="171" fontId="16" fillId="0" borderId="3" xfId="846" applyFont="1" applyFill="1" applyBorder="1" applyAlignment="1">
      <alignment horizontal="right"/>
    </xf>
    <xf numFmtId="171" fontId="16" fillId="0" borderId="4" xfId="846" applyFont="1" applyFill="1" applyBorder="1" applyAlignment="1">
      <alignment horizontal="right"/>
    </xf>
    <xf numFmtId="171" fontId="16" fillId="0" borderId="6" xfId="846" applyFont="1" applyFill="1" applyBorder="1" applyAlignment="1">
      <alignment horizontal="right"/>
    </xf>
    <xf numFmtId="171" fontId="16" fillId="0" borderId="11" xfId="846" applyFont="1" applyFill="1" applyBorder="1" applyAlignment="1">
      <alignment horizontal="right"/>
    </xf>
    <xf numFmtId="171" fontId="18" fillId="3" borderId="7" xfId="846" applyFont="1" applyFill="1" applyBorder="1" applyAlignment="1">
      <alignment horizontal="right"/>
    </xf>
    <xf numFmtId="171" fontId="18" fillId="3" borderId="2" xfId="846" applyFont="1" applyFill="1" applyBorder="1" applyAlignment="1">
      <alignment horizontal="right"/>
    </xf>
    <xf numFmtId="171" fontId="16" fillId="0" borderId="2" xfId="846" applyFont="1" applyFill="1" applyBorder="1" applyAlignment="1">
      <alignment horizontal="right"/>
    </xf>
    <xf numFmtId="171" fontId="18" fillId="3" borderId="3" xfId="846" applyFont="1" applyFill="1" applyBorder="1" applyAlignment="1">
      <alignment horizontal="right"/>
    </xf>
    <xf numFmtId="171" fontId="18" fillId="2" borderId="3" xfId="846" applyFont="1" applyFill="1" applyBorder="1" applyAlignment="1">
      <alignment horizontal="right"/>
    </xf>
    <xf numFmtId="171" fontId="18" fillId="2" borderId="4" xfId="846" applyFont="1" applyFill="1" applyBorder="1" applyAlignment="1">
      <alignment horizontal="right"/>
    </xf>
    <xf numFmtId="171" fontId="18" fillId="0" borderId="2" xfId="846" applyFont="1" applyFill="1" applyBorder="1" applyAlignment="1">
      <alignment horizontal="right"/>
    </xf>
    <xf numFmtId="171" fontId="18" fillId="3" borderId="6" xfId="846" applyFont="1" applyFill="1" applyBorder="1" applyAlignment="1">
      <alignment horizontal="right"/>
    </xf>
    <xf numFmtId="171" fontId="16" fillId="0" borderId="5" xfId="846" applyFont="1" applyFill="1" applyBorder="1" applyAlignment="1">
      <alignment horizontal="right"/>
    </xf>
    <xf numFmtId="171" fontId="16" fillId="0" borderId="15" xfId="846" applyFont="1" applyFill="1" applyBorder="1" applyAlignment="1">
      <alignment horizontal="right"/>
    </xf>
    <xf numFmtId="171" fontId="16" fillId="2" borderId="2" xfId="846" applyFont="1" applyFill="1" applyBorder="1" applyAlignment="1">
      <alignment horizontal="right"/>
    </xf>
    <xf numFmtId="171" fontId="16" fillId="2" borderId="0" xfId="846" applyFont="1" applyFill="1" applyBorder="1" applyAlignment="1">
      <alignment horizontal="right"/>
    </xf>
    <xf numFmtId="171" fontId="16" fillId="2" borderId="4" xfId="846" applyFont="1" applyFill="1" applyBorder="1" applyAlignment="1">
      <alignment horizontal="right"/>
    </xf>
    <xf numFmtId="171" fontId="16" fillId="2" borderId="5" xfId="846" applyFont="1" applyFill="1" applyBorder="1" applyAlignment="1">
      <alignment horizontal="right"/>
    </xf>
    <xf numFmtId="171" fontId="16" fillId="2" borderId="11" xfId="846" applyFont="1" applyFill="1" applyBorder="1" applyAlignment="1">
      <alignment horizontal="right"/>
    </xf>
    <xf numFmtId="171" fontId="18" fillId="0" borderId="4" xfId="846" applyFont="1" applyBorder="1" applyAlignment="1">
      <alignment horizontal="right"/>
    </xf>
    <xf numFmtId="171" fontId="18" fillId="0" borderId="6" xfId="846" applyFont="1" applyFill="1" applyBorder="1" applyAlignment="1">
      <alignment horizontal="right"/>
    </xf>
    <xf numFmtId="171" fontId="18" fillId="0" borderId="11" xfId="846" applyFont="1" applyFill="1" applyBorder="1" applyAlignment="1">
      <alignment horizontal="right"/>
    </xf>
    <xf numFmtId="171" fontId="68" fillId="0" borderId="2" xfId="846" applyFont="1" applyFill="1" applyBorder="1" applyAlignment="1">
      <alignment horizontal="right"/>
    </xf>
    <xf numFmtId="171" fontId="18" fillId="0" borderId="0" xfId="846" applyFont="1" applyFill="1" applyBorder="1" applyAlignment="1">
      <alignment horizontal="right"/>
    </xf>
    <xf numFmtId="171" fontId="23" fillId="0" borderId="2" xfId="846" applyFont="1" applyFill="1" applyBorder="1" applyAlignment="1">
      <alignment horizontal="right"/>
    </xf>
    <xf numFmtId="171" fontId="23" fillId="0" borderId="0" xfId="846" applyFont="1" applyFill="1" applyBorder="1" applyAlignment="1">
      <alignment horizontal="right"/>
    </xf>
    <xf numFmtId="171" fontId="19" fillId="2" borderId="2" xfId="846" applyFont="1" applyFill="1" applyBorder="1" applyAlignment="1">
      <alignment horizontal="right"/>
    </xf>
    <xf numFmtId="171" fontId="19" fillId="2" borderId="0" xfId="846" applyFont="1" applyFill="1" applyBorder="1" applyAlignment="1">
      <alignment horizontal="right"/>
    </xf>
    <xf numFmtId="171" fontId="18" fillId="2" borderId="2" xfId="846" applyFont="1" applyFill="1" applyBorder="1" applyAlignment="1">
      <alignment horizontal="right"/>
    </xf>
    <xf numFmtId="171" fontId="18" fillId="2" borderId="0" xfId="846" applyFont="1" applyFill="1" applyBorder="1" applyAlignment="1">
      <alignment horizontal="right"/>
    </xf>
    <xf numFmtId="171" fontId="16" fillId="0" borderId="0" xfId="846" applyFont="1" applyFill="1" applyBorder="1" applyAlignment="1">
      <alignment horizontal="right"/>
    </xf>
    <xf numFmtId="171" fontId="18" fillId="3" borderId="5" xfId="846" applyFont="1" applyFill="1" applyBorder="1" applyAlignment="1">
      <alignment horizontal="right"/>
    </xf>
    <xf numFmtId="171" fontId="18" fillId="3" borderId="0" xfId="846" applyFont="1" applyFill="1" applyBorder="1" applyAlignment="1">
      <alignment horizontal="right"/>
    </xf>
    <xf numFmtId="171" fontId="18" fillId="3" borderId="1" xfId="846" applyFont="1" applyFill="1" applyBorder="1" applyAlignment="1">
      <alignment horizontal="right"/>
    </xf>
    <xf numFmtId="171" fontId="18" fillId="3" borderId="4" xfId="846" applyFont="1" applyFill="1" applyBorder="1" applyAlignment="1">
      <alignment horizontal="right"/>
    </xf>
    <xf numFmtId="171" fontId="18" fillId="3" borderId="11" xfId="846" applyFont="1" applyFill="1" applyBorder="1" applyAlignment="1">
      <alignment horizontal="right"/>
    </xf>
    <xf numFmtId="3" fontId="14" fillId="0" borderId="12"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3" fontId="16" fillId="0" borderId="9" xfId="1" applyNumberFormat="1" applyFont="1" applyBorder="1" applyAlignment="1">
      <alignment horizontal="center"/>
    </xf>
    <xf numFmtId="165" fontId="31" fillId="0" borderId="3" xfId="0" applyNumberFormat="1" applyFont="1" applyBorder="1"/>
    <xf numFmtId="165" fontId="46" fillId="0" borderId="3" xfId="0" applyNumberFormat="1" applyFont="1" applyBorder="1"/>
    <xf numFmtId="165" fontId="31" fillId="0" borderId="3" xfId="0" applyNumberFormat="1" applyFont="1" applyFill="1" applyBorder="1"/>
    <xf numFmtId="165" fontId="46" fillId="0" borderId="6" xfId="0" applyNumberFormat="1" applyFont="1" applyBorder="1"/>
    <xf numFmtId="172" fontId="18" fillId="3" borderId="2" xfId="846" applyNumberFormat="1" applyFont="1" applyFill="1" applyBorder="1" applyAlignment="1">
      <alignment horizontal="right"/>
    </xf>
    <xf numFmtId="172" fontId="18" fillId="3" borderId="3" xfId="846" applyNumberFormat="1" applyFont="1" applyFill="1" applyBorder="1" applyAlignment="1">
      <alignment horizontal="right"/>
    </xf>
    <xf numFmtId="172" fontId="18" fillId="3" borderId="6" xfId="846" applyNumberFormat="1" applyFont="1" applyFill="1" applyBorder="1" applyAlignment="1">
      <alignment horizontal="right"/>
    </xf>
    <xf numFmtId="165" fontId="16" fillId="0" borderId="6" xfId="1" applyNumberFormat="1" applyFont="1" applyBorder="1" applyAlignment="1">
      <alignment horizontal="center"/>
    </xf>
    <xf numFmtId="165" fontId="18" fillId="3" borderId="0" xfId="1" applyNumberFormat="1" applyFont="1" applyFill="1" applyBorder="1" applyAlignment="1">
      <alignment horizontal="right"/>
    </xf>
    <xf numFmtId="165" fontId="18" fillId="3" borderId="5" xfId="1" applyNumberFormat="1" applyFont="1" applyFill="1" applyBorder="1" applyAlignment="1">
      <alignment horizontal="right"/>
    </xf>
    <xf numFmtId="0" fontId="18" fillId="0" borderId="4" xfId="1" applyFont="1" applyBorder="1"/>
    <xf numFmtId="0" fontId="16" fillId="0" borderId="0" xfId="1" applyFont="1" applyFill="1"/>
    <xf numFmtId="49" fontId="16" fillId="0" borderId="0" xfId="1" applyNumberFormat="1" applyFont="1" applyFill="1" applyBorder="1" applyAlignment="1">
      <alignment horizontal="right"/>
    </xf>
    <xf numFmtId="49" fontId="16" fillId="0" borderId="0" xfId="1" applyNumberFormat="1" applyFont="1" applyFill="1" applyBorder="1" applyAlignment="1">
      <alignment horizontal="center"/>
    </xf>
    <xf numFmtId="3" fontId="16" fillId="0" borderId="0" xfId="1" quotePrefix="1" applyNumberFormat="1" applyFont="1" applyFill="1" applyBorder="1" applyAlignment="1">
      <alignment horizontal="center"/>
    </xf>
    <xf numFmtId="171" fontId="16" fillId="3" borderId="7" xfId="846" applyFont="1" applyFill="1" applyBorder="1" applyAlignment="1">
      <alignment horizontal="right"/>
    </xf>
    <xf numFmtId="172" fontId="16" fillId="3" borderId="2" xfId="846" applyNumberFormat="1" applyFont="1" applyFill="1" applyBorder="1" applyAlignment="1">
      <alignment horizontal="right"/>
    </xf>
    <xf numFmtId="3" fontId="16" fillId="0" borderId="0" xfId="1" applyNumberFormat="1" applyFont="1" applyFill="1"/>
    <xf numFmtId="168" fontId="16" fillId="3" borderId="7" xfId="1" applyNumberFormat="1" applyFont="1" applyFill="1" applyBorder="1" applyAlignment="1">
      <alignment horizontal="right"/>
    </xf>
    <xf numFmtId="168" fontId="16" fillId="3" borderId="3" xfId="1" applyNumberFormat="1" applyFont="1" applyFill="1" applyBorder="1" applyAlignment="1">
      <alignment horizontal="right"/>
    </xf>
    <xf numFmtId="168" fontId="16" fillId="3" borderId="6" xfId="1" applyNumberFormat="1" applyFont="1" applyFill="1" applyBorder="1" applyAlignment="1">
      <alignment horizontal="right"/>
    </xf>
    <xf numFmtId="3" fontId="16" fillId="3" borderId="0" xfId="1" applyNumberFormat="1" applyFont="1" applyFill="1" applyBorder="1" applyAlignment="1">
      <alignment horizontal="right"/>
    </xf>
    <xf numFmtId="3" fontId="16" fillId="3" borderId="1" xfId="1" applyNumberFormat="1" applyFont="1" applyFill="1" applyBorder="1" applyAlignment="1">
      <alignment horizontal="right"/>
    </xf>
    <xf numFmtId="3" fontId="16" fillId="3" borderId="4" xfId="1" applyNumberFormat="1" applyFont="1" applyFill="1" applyBorder="1" applyAlignment="1">
      <alignment horizontal="right"/>
    </xf>
    <xf numFmtId="3" fontId="16" fillId="3" borderId="11" xfId="1" applyNumberFormat="1" applyFont="1" applyFill="1" applyBorder="1" applyAlignment="1">
      <alignment horizontal="right"/>
    </xf>
    <xf numFmtId="165" fontId="16" fillId="3" borderId="0" xfId="1" applyNumberFormat="1" applyFont="1" applyFill="1" applyBorder="1" applyAlignment="1">
      <alignment horizontal="right"/>
    </xf>
    <xf numFmtId="0" fontId="14" fillId="0" borderId="0" xfId="1" applyFont="1" applyBorder="1" applyAlignment="1">
      <alignment horizontal="center"/>
    </xf>
    <xf numFmtId="3" fontId="61" fillId="4" borderId="3" xfId="0" applyNumberFormat="1" applyFont="1" applyFill="1" applyBorder="1" applyAlignment="1" applyProtection="1">
      <alignment horizontal="right"/>
      <protection locked="0"/>
    </xf>
    <xf numFmtId="3" fontId="31" fillId="4" borderId="4" xfId="0" applyNumberFormat="1" applyFont="1" applyFill="1" applyBorder="1" applyAlignment="1" applyProtection="1">
      <alignment horizontal="right"/>
      <protection locked="0"/>
    </xf>
    <xf numFmtId="3" fontId="31" fillId="4" borderId="4" xfId="847" applyNumberFormat="1" applyFont="1" applyFill="1" applyBorder="1" applyAlignment="1" applyProtection="1">
      <alignment horizontal="right"/>
      <protection locked="0"/>
    </xf>
    <xf numFmtId="3" fontId="31" fillId="4" borderId="4" xfId="0" applyNumberFormat="1" applyFont="1" applyFill="1" applyBorder="1" applyAlignment="1" applyProtection="1">
      <alignment horizontal="right"/>
    </xf>
    <xf numFmtId="3" fontId="46" fillId="4" borderId="3" xfId="0" applyNumberFormat="1" applyFont="1" applyFill="1" applyBorder="1" applyAlignment="1" applyProtection="1">
      <alignment horizontal="right"/>
      <protection locked="0"/>
    </xf>
    <xf numFmtId="3" fontId="46" fillId="0" borderId="3" xfId="0" applyNumberFormat="1" applyFont="1" applyBorder="1" applyAlignment="1" applyProtection="1">
      <alignment horizontal="right"/>
      <protection locked="0"/>
    </xf>
    <xf numFmtId="3" fontId="46" fillId="0" borderId="3" xfId="0" applyNumberFormat="1" applyFont="1" applyFill="1" applyBorder="1" applyAlignment="1" applyProtection="1">
      <alignment horizontal="right"/>
      <protection locked="0"/>
    </xf>
    <xf numFmtId="3" fontId="31" fillId="0" borderId="4" xfId="0" applyNumberFormat="1" applyFont="1" applyFill="1" applyBorder="1" applyAlignment="1" applyProtection="1">
      <alignment horizontal="right"/>
      <protection locked="0"/>
    </xf>
    <xf numFmtId="3" fontId="31" fillId="0" borderId="4" xfId="847" applyNumberFormat="1" applyFont="1" applyFill="1" applyBorder="1" applyAlignment="1" applyProtection="1">
      <alignment horizontal="right"/>
    </xf>
    <xf numFmtId="3" fontId="31" fillId="0" borderId="3" xfId="0" applyNumberFormat="1" applyFont="1" applyFill="1" applyBorder="1" applyAlignment="1" applyProtection="1">
      <alignment horizontal="right"/>
      <protection locked="0"/>
    </xf>
    <xf numFmtId="3" fontId="31" fillId="0" borderId="4" xfId="0" applyNumberFormat="1" applyFont="1" applyFill="1" applyBorder="1" applyAlignment="1" applyProtection="1">
      <alignment horizontal="right"/>
    </xf>
    <xf numFmtId="3" fontId="31" fillId="0" borderId="3" xfId="845" applyNumberFormat="1" applyFont="1" applyFill="1" applyBorder="1" applyAlignment="1" applyProtection="1">
      <alignment horizontal="right"/>
      <protection locked="0"/>
    </xf>
    <xf numFmtId="3" fontId="31" fillId="0" borderId="3" xfId="0" applyNumberFormat="1" applyFont="1" applyBorder="1" applyAlignment="1" applyProtection="1">
      <alignment horizontal="right"/>
      <protection locked="0"/>
    </xf>
    <xf numFmtId="3" fontId="31" fillId="4" borderId="3" xfId="845" applyNumberFormat="1" applyFont="1" applyFill="1" applyBorder="1" applyAlignment="1" applyProtection="1">
      <alignment horizontal="right"/>
      <protection locked="0"/>
    </xf>
    <xf numFmtId="3" fontId="46" fillId="4" borderId="4" xfId="0" applyNumberFormat="1" applyFont="1" applyFill="1" applyBorder="1" applyAlignment="1" applyProtection="1">
      <alignment horizontal="right"/>
      <protection locked="0"/>
    </xf>
    <xf numFmtId="3" fontId="46" fillId="4" borderId="4" xfId="0" applyNumberFormat="1" applyFont="1" applyFill="1" applyBorder="1" applyAlignment="1" applyProtection="1">
      <alignment horizontal="right"/>
    </xf>
    <xf numFmtId="3" fontId="46" fillId="4" borderId="3" xfId="845" applyNumberFormat="1" applyFont="1" applyFill="1" applyBorder="1" applyAlignment="1" applyProtection="1">
      <alignment horizontal="right"/>
      <protection locked="0"/>
    </xf>
    <xf numFmtId="3" fontId="46" fillId="0" borderId="4" xfId="0" applyNumberFormat="1" applyFont="1" applyFill="1" applyBorder="1" applyAlignment="1" applyProtection="1">
      <alignment horizontal="right"/>
    </xf>
    <xf numFmtId="3" fontId="46" fillId="0" borderId="6" xfId="0" applyNumberFormat="1" applyFont="1" applyBorder="1" applyAlignment="1" applyProtection="1">
      <alignment horizontal="right"/>
      <protection locked="0"/>
    </xf>
    <xf numFmtId="3" fontId="46" fillId="4" borderId="6" xfId="0" applyNumberFormat="1" applyFont="1" applyFill="1" applyBorder="1" applyAlignment="1" applyProtection="1">
      <alignment horizontal="right"/>
      <protection locked="0"/>
    </xf>
    <xf numFmtId="3" fontId="46" fillId="4" borderId="6" xfId="845" applyNumberFormat="1" applyFont="1" applyFill="1" applyBorder="1" applyAlignment="1" applyProtection="1">
      <alignment horizontal="right"/>
      <protection locked="0"/>
    </xf>
    <xf numFmtId="3" fontId="51" fillId="4" borderId="11" xfId="0" applyNumberFormat="1" applyFont="1" applyFill="1" applyBorder="1" applyProtection="1">
      <protection locked="0"/>
    </xf>
    <xf numFmtId="169" fontId="16" fillId="0" borderId="6" xfId="0" applyNumberFormat="1" applyFont="1" applyFill="1" applyBorder="1" applyAlignment="1" applyProtection="1">
      <alignment horizontal="center"/>
      <protection locked="0"/>
    </xf>
    <xf numFmtId="3" fontId="61" fillId="4" borderId="4" xfId="0" applyNumberFormat="1" applyFont="1" applyFill="1" applyBorder="1" applyProtection="1">
      <protection locked="0"/>
    </xf>
    <xf numFmtId="0" fontId="46" fillId="0" borderId="4" xfId="0" applyFont="1" applyFill="1" applyBorder="1" applyProtection="1">
      <protection locked="0"/>
    </xf>
    <xf numFmtId="3" fontId="46" fillId="4" borderId="4" xfId="0" applyNumberFormat="1" applyFont="1" applyFill="1" applyBorder="1" applyProtection="1">
      <protection locked="0"/>
    </xf>
    <xf numFmtId="0" fontId="31" fillId="0" borderId="4" xfId="0" applyFont="1" applyFill="1" applyBorder="1" applyProtection="1">
      <protection locked="0"/>
    </xf>
    <xf numFmtId="0" fontId="31" fillId="0" borderId="3" xfId="0" applyFont="1" applyFill="1" applyBorder="1" applyProtection="1">
      <protection locked="0"/>
    </xf>
    <xf numFmtId="0" fontId="20" fillId="0" borderId="3" xfId="0" applyFont="1" applyFill="1" applyBorder="1" applyProtection="1">
      <protection locked="0"/>
    </xf>
    <xf numFmtId="0" fontId="46" fillId="0" borderId="11" xfId="0" applyFont="1" applyFill="1" applyBorder="1" applyProtection="1">
      <protection locked="0"/>
    </xf>
    <xf numFmtId="0" fontId="31" fillId="0" borderId="0" xfId="0" applyFont="1" applyProtection="1">
      <protection locked="0"/>
    </xf>
    <xf numFmtId="0" fontId="0" fillId="0" borderId="0" xfId="0" applyProtection="1">
      <protection locked="0"/>
    </xf>
    <xf numFmtId="0" fontId="20" fillId="0" borderId="0" xfId="0" applyFont="1" applyProtection="1">
      <protection locked="0"/>
    </xf>
    <xf numFmtId="3" fontId="31" fillId="0" borderId="0" xfId="0" applyNumberFormat="1" applyFont="1" applyBorder="1" applyProtection="1">
      <protection locked="0"/>
    </xf>
    <xf numFmtId="0" fontId="62" fillId="0" borderId="0" xfId="0" applyFont="1" applyProtection="1">
      <protection locked="0"/>
    </xf>
    <xf numFmtId="3" fontId="63" fillId="0" borderId="0" xfId="0" applyNumberFormat="1" applyFont="1" applyBorder="1" applyProtection="1">
      <protection locked="0"/>
    </xf>
    <xf numFmtId="0" fontId="42" fillId="0" borderId="0" xfId="0" applyFont="1" applyProtection="1">
      <protection locked="0"/>
    </xf>
    <xf numFmtId="0" fontId="18" fillId="0" borderId="0" xfId="3" applyFont="1" applyFill="1" applyAlignment="1" applyProtection="1">
      <protection locked="0"/>
    </xf>
    <xf numFmtId="0" fontId="58" fillId="0" borderId="0" xfId="0" applyFont="1" applyProtection="1">
      <protection locked="0"/>
    </xf>
    <xf numFmtId="165" fontId="0" fillId="0" borderId="0" xfId="0" applyNumberFormat="1" applyProtection="1">
      <protection locked="0"/>
    </xf>
    <xf numFmtId="3" fontId="59" fillId="4" borderId="12" xfId="0" applyNumberFormat="1" applyFont="1" applyFill="1" applyBorder="1" applyProtection="1">
      <protection locked="0"/>
    </xf>
    <xf numFmtId="3" fontId="60" fillId="4" borderId="0" xfId="0" applyNumberFormat="1" applyFont="1" applyFill="1" applyBorder="1" applyProtection="1">
      <protection locked="0"/>
    </xf>
    <xf numFmtId="165" fontId="0" fillId="0" borderId="0" xfId="0" applyNumberFormat="1" applyBorder="1" applyProtection="1">
      <protection locked="0"/>
    </xf>
    <xf numFmtId="14" fontId="14" fillId="0" borderId="7" xfId="0" applyNumberFormat="1" applyFont="1" applyFill="1" applyBorder="1" applyAlignment="1" applyProtection="1">
      <alignment horizontal="left"/>
      <protection locked="0"/>
    </xf>
    <xf numFmtId="3" fontId="14" fillId="0" borderId="8" xfId="0" quotePrefix="1" applyNumberFormat="1" applyFont="1" applyFill="1" applyBorder="1" applyProtection="1">
      <protection locked="0"/>
    </xf>
    <xf numFmtId="3" fontId="14" fillId="0" borderId="9" xfId="0" quotePrefix="1" applyNumberFormat="1" applyFont="1" applyFill="1" applyBorder="1" applyProtection="1">
      <protection locked="0"/>
    </xf>
    <xf numFmtId="3" fontId="14" fillId="0" borderId="10" xfId="0" quotePrefix="1" applyNumberFormat="1" applyFont="1" applyFill="1" applyBorder="1" applyProtection="1">
      <protection locked="0"/>
    </xf>
    <xf numFmtId="0" fontId="18" fillId="0" borderId="8" xfId="0" applyFont="1" applyBorder="1" applyProtection="1">
      <protection locked="0"/>
    </xf>
    <xf numFmtId="0" fontId="18" fillId="0" borderId="10" xfId="0" applyFont="1" applyBorder="1" applyProtection="1">
      <protection locked="0"/>
    </xf>
    <xf numFmtId="0" fontId="18" fillId="0" borderId="9" xfId="0" applyFont="1" applyBorder="1" applyProtection="1">
      <protection locked="0"/>
    </xf>
    <xf numFmtId="165" fontId="18" fillId="4" borderId="0" xfId="0" applyNumberFormat="1" applyFont="1" applyFill="1" applyBorder="1" applyProtection="1">
      <protection locked="0"/>
    </xf>
    <xf numFmtId="0" fontId="18" fillId="4" borderId="0" xfId="0" applyFont="1" applyFill="1" applyBorder="1" applyProtection="1">
      <protection locked="0"/>
    </xf>
    <xf numFmtId="3" fontId="46" fillId="0" borderId="1" xfId="0" applyNumberFormat="1" applyFont="1" applyFill="1" applyBorder="1" applyProtection="1">
      <protection locked="0"/>
    </xf>
    <xf numFmtId="0" fontId="0" fillId="0" borderId="0" xfId="0" applyBorder="1" applyProtection="1">
      <protection locked="0"/>
    </xf>
    <xf numFmtId="0" fontId="46" fillId="4" borderId="0" xfId="0" applyNumberFormat="1" applyFont="1" applyFill="1" applyBorder="1" applyAlignment="1" applyProtection="1">
      <alignment horizontal="center"/>
      <protection locked="0"/>
    </xf>
    <xf numFmtId="3" fontId="46" fillId="0" borderId="4" xfId="0" applyNumberFormat="1" applyFont="1" applyFill="1" applyBorder="1" applyProtection="1">
      <protection locked="0"/>
    </xf>
    <xf numFmtId="0" fontId="16" fillId="0" borderId="7" xfId="0" applyNumberFormat="1" applyFont="1" applyFill="1" applyBorder="1" applyAlignment="1" applyProtection="1">
      <alignment horizontal="center"/>
      <protection locked="0"/>
    </xf>
    <xf numFmtId="169" fontId="14" fillId="4" borderId="0" xfId="0" applyNumberFormat="1" applyFont="1" applyFill="1" applyBorder="1" applyAlignment="1" applyProtection="1">
      <alignment horizontal="center"/>
      <protection locked="0"/>
    </xf>
    <xf numFmtId="0" fontId="14" fillId="4" borderId="0" xfId="0" applyNumberFormat="1" applyFont="1" applyFill="1" applyBorder="1" applyAlignment="1" applyProtection="1">
      <alignment horizontal="center"/>
      <protection locked="0"/>
    </xf>
    <xf numFmtId="0" fontId="20" fillId="0" borderId="0" xfId="0" applyFont="1" applyBorder="1" applyProtection="1">
      <protection locked="0"/>
    </xf>
    <xf numFmtId="0" fontId="20" fillId="0" borderId="0" xfId="0" applyFont="1" applyFill="1" applyBorder="1" applyProtection="1">
      <protection locked="0"/>
    </xf>
    <xf numFmtId="0" fontId="20" fillId="0" borderId="0" xfId="0" applyFont="1" applyFill="1" applyProtection="1">
      <protection locked="0"/>
    </xf>
    <xf numFmtId="3" fontId="20" fillId="0" borderId="0" xfId="0" applyNumberFormat="1" applyFont="1" applyFill="1" applyProtection="1">
      <protection locked="0"/>
    </xf>
    <xf numFmtId="3" fontId="20" fillId="0" borderId="0" xfId="0" applyNumberFormat="1" applyFont="1" applyProtection="1">
      <protection locked="0"/>
    </xf>
    <xf numFmtId="3" fontId="20" fillId="0" borderId="0" xfId="0" applyNumberFormat="1" applyFont="1" applyBorder="1" applyProtection="1">
      <protection locked="0"/>
    </xf>
    <xf numFmtId="0" fontId="50" fillId="0" borderId="0" xfId="0" applyFont="1" applyBorder="1" applyProtection="1">
      <protection locked="0"/>
    </xf>
    <xf numFmtId="3" fontId="50" fillId="0" borderId="0" xfId="0" applyNumberFormat="1" applyFont="1" applyProtection="1">
      <protection locked="0"/>
    </xf>
    <xf numFmtId="0" fontId="50" fillId="0" borderId="0" xfId="0" applyFont="1" applyProtection="1">
      <protection locked="0"/>
    </xf>
    <xf numFmtId="0" fontId="62" fillId="0" borderId="0" xfId="0" applyFont="1" applyBorder="1" applyProtection="1">
      <protection locked="0"/>
    </xf>
    <xf numFmtId="0" fontId="15" fillId="0" borderId="0" xfId="0" applyFont="1" applyProtection="1">
      <protection locked="0"/>
    </xf>
    <xf numFmtId="0" fontId="64" fillId="0" borderId="0" xfId="0" applyFont="1" applyProtection="1">
      <protection locked="0"/>
    </xf>
    <xf numFmtId="0" fontId="42" fillId="0" borderId="0" xfId="1" applyFont="1" applyProtection="1">
      <protection locked="0"/>
    </xf>
    <xf numFmtId="0" fontId="58" fillId="0" borderId="0" xfId="1" applyFont="1" applyProtection="1">
      <protection locked="0"/>
    </xf>
    <xf numFmtId="0" fontId="20" fillId="0" borderId="0" xfId="1" applyProtection="1">
      <protection locked="0"/>
    </xf>
    <xf numFmtId="0" fontId="20" fillId="0" borderId="0" xfId="1" applyFont="1" applyProtection="1">
      <protection locked="0"/>
    </xf>
    <xf numFmtId="3" fontId="46" fillId="4" borderId="0" xfId="1" applyNumberFormat="1" applyFont="1" applyFill="1" applyProtection="1">
      <protection locked="0"/>
    </xf>
    <xf numFmtId="3" fontId="16" fillId="4" borderId="0" xfId="1" applyNumberFormat="1" applyFont="1" applyFill="1" applyProtection="1">
      <protection locked="0"/>
    </xf>
    <xf numFmtId="3" fontId="14" fillId="0" borderId="8" xfId="1" quotePrefix="1" applyNumberFormat="1" applyFont="1" applyFill="1" applyBorder="1" applyAlignment="1" applyProtection="1">
      <alignment horizontal="center"/>
      <protection locked="0"/>
    </xf>
    <xf numFmtId="3" fontId="14" fillId="0" borderId="9" xfId="1" quotePrefix="1" applyNumberFormat="1" applyFont="1" applyFill="1" applyBorder="1" applyAlignment="1" applyProtection="1">
      <alignment horizontal="center"/>
      <protection locked="0"/>
    </xf>
    <xf numFmtId="3" fontId="14" fillId="0" borderId="10" xfId="1" quotePrefix="1" applyNumberFormat="1" applyFont="1" applyFill="1" applyBorder="1" applyAlignment="1" applyProtection="1">
      <alignment horizontal="center"/>
      <protection locked="0"/>
    </xf>
    <xf numFmtId="0" fontId="18" fillId="0" borderId="8" xfId="1" applyFont="1" applyBorder="1" applyProtection="1">
      <protection locked="0"/>
    </xf>
    <xf numFmtId="0" fontId="18" fillId="0" borderId="10" xfId="1" applyFont="1" applyBorder="1" applyProtection="1">
      <protection locked="0"/>
    </xf>
    <xf numFmtId="0" fontId="18" fillId="0" borderId="9" xfId="1" applyFont="1" applyBorder="1" applyProtection="1">
      <protection locked="0"/>
    </xf>
    <xf numFmtId="0" fontId="18" fillId="4" borderId="10" xfId="1" applyFont="1" applyFill="1" applyBorder="1" applyProtection="1">
      <protection locked="0"/>
    </xf>
    <xf numFmtId="0" fontId="18" fillId="4" borderId="8" xfId="1" applyFont="1" applyFill="1" applyBorder="1" applyProtection="1">
      <protection locked="0"/>
    </xf>
    <xf numFmtId="0" fontId="18" fillId="4" borderId="9" xfId="1" applyFont="1" applyFill="1" applyBorder="1" applyProtection="1">
      <protection locked="0"/>
    </xf>
    <xf numFmtId="0" fontId="20" fillId="0" borderId="9" xfId="1" applyFont="1" applyBorder="1" applyProtection="1">
      <protection locked="0"/>
    </xf>
    <xf numFmtId="3" fontId="46" fillId="0" borderId="1" xfId="1" applyNumberFormat="1" applyFont="1" applyFill="1" applyBorder="1" applyProtection="1">
      <protection locked="0"/>
    </xf>
    <xf numFmtId="3" fontId="46" fillId="0" borderId="4" xfId="1" applyNumberFormat="1" applyFont="1" applyFill="1" applyBorder="1" applyProtection="1">
      <protection locked="0"/>
    </xf>
    <xf numFmtId="0" fontId="16" fillId="0" borderId="7" xfId="1" applyNumberFormat="1" applyFont="1" applyFill="1" applyBorder="1" applyAlignment="1" applyProtection="1">
      <alignment horizontal="center"/>
      <protection locked="0"/>
    </xf>
    <xf numFmtId="3" fontId="51" fillId="4" borderId="6" xfId="1" applyNumberFormat="1" applyFont="1" applyFill="1" applyBorder="1" applyProtection="1">
      <protection locked="0"/>
    </xf>
    <xf numFmtId="169" fontId="16" fillId="0" borderId="6" xfId="1" applyNumberFormat="1" applyFont="1" applyFill="1" applyBorder="1" applyAlignment="1" applyProtection="1">
      <alignment horizontal="center"/>
      <protection locked="0"/>
    </xf>
    <xf numFmtId="3" fontId="31" fillId="4" borderId="1" xfId="1" applyNumberFormat="1" applyFont="1" applyFill="1" applyBorder="1" applyAlignment="1" applyProtection="1">
      <alignment horizontal="right"/>
      <protection locked="0"/>
    </xf>
    <xf numFmtId="3" fontId="31" fillId="4" borderId="7" xfId="1" applyNumberFormat="1" applyFont="1" applyFill="1" applyBorder="1" applyAlignment="1" applyProtection="1">
      <alignment horizontal="right"/>
      <protection locked="0"/>
    </xf>
    <xf numFmtId="3" fontId="31" fillId="4" borderId="1" xfId="15" applyNumberFormat="1" applyFont="1" applyFill="1" applyBorder="1" applyAlignment="1" applyProtection="1">
      <alignment horizontal="right"/>
      <protection locked="0"/>
    </xf>
    <xf numFmtId="0" fontId="31" fillId="4" borderId="7" xfId="1" applyFont="1" applyFill="1" applyBorder="1" applyAlignment="1" applyProtection="1">
      <alignment horizontal="right"/>
      <protection locked="0"/>
    </xf>
    <xf numFmtId="0" fontId="31" fillId="0" borderId="4" xfId="1" applyFont="1" applyFill="1" applyBorder="1" applyProtection="1">
      <protection locked="0"/>
    </xf>
    <xf numFmtId="3" fontId="31" fillId="4" borderId="4" xfId="1" applyNumberFormat="1" applyFont="1" applyFill="1" applyBorder="1" applyAlignment="1" applyProtection="1">
      <alignment horizontal="right"/>
      <protection locked="0"/>
    </xf>
    <xf numFmtId="3" fontId="31" fillId="4" borderId="3" xfId="1" applyNumberFormat="1" applyFont="1" applyFill="1" applyBorder="1" applyAlignment="1" applyProtection="1">
      <alignment horizontal="right"/>
      <protection locked="0"/>
    </xf>
    <xf numFmtId="3" fontId="31" fillId="4" borderId="4" xfId="15" applyNumberFormat="1" applyFont="1" applyFill="1" applyBorder="1" applyAlignment="1" applyProtection="1">
      <alignment horizontal="right"/>
      <protection locked="0"/>
    </xf>
    <xf numFmtId="0" fontId="31" fillId="4" borderId="3" xfId="1" applyFont="1" applyFill="1" applyBorder="1" applyAlignment="1" applyProtection="1">
      <alignment horizontal="right"/>
      <protection locked="0"/>
    </xf>
    <xf numFmtId="3" fontId="31" fillId="0" borderId="3" xfId="1" applyNumberFormat="1" applyFont="1" applyFill="1" applyBorder="1" applyAlignment="1" applyProtection="1">
      <alignment horizontal="right"/>
      <protection locked="0"/>
    </xf>
    <xf numFmtId="0" fontId="31" fillId="0" borderId="3" xfId="1" applyFont="1" applyBorder="1" applyAlignment="1" applyProtection="1">
      <alignment horizontal="right"/>
      <protection locked="0"/>
    </xf>
    <xf numFmtId="166" fontId="31" fillId="0" borderId="3" xfId="847" applyNumberFormat="1" applyFont="1" applyBorder="1" applyAlignment="1" applyProtection="1">
      <alignment horizontal="right"/>
      <protection locked="0"/>
    </xf>
    <xf numFmtId="3" fontId="31" fillId="10" borderId="3" xfId="1" applyNumberFormat="1" applyFont="1" applyFill="1" applyBorder="1" applyAlignment="1" applyProtection="1">
      <alignment horizontal="right"/>
      <protection locked="0"/>
    </xf>
    <xf numFmtId="170" fontId="31" fillId="0" borderId="3" xfId="847" applyNumberFormat="1" applyFont="1" applyBorder="1" applyAlignment="1" applyProtection="1">
      <alignment horizontal="right"/>
      <protection locked="0"/>
    </xf>
    <xf numFmtId="0" fontId="31" fillId="0" borderId="3" xfId="1" applyFont="1" applyFill="1" applyBorder="1" applyAlignment="1" applyProtection="1">
      <alignment horizontal="right"/>
      <protection locked="0"/>
    </xf>
    <xf numFmtId="166" fontId="31" fillId="4" borderId="4" xfId="847" applyNumberFormat="1" applyFont="1" applyFill="1" applyBorder="1" applyAlignment="1" applyProtection="1">
      <alignment horizontal="right"/>
      <protection locked="0"/>
    </xf>
    <xf numFmtId="166" fontId="31" fillId="4" borderId="3" xfId="847" applyNumberFormat="1" applyFont="1" applyFill="1" applyBorder="1" applyAlignment="1" applyProtection="1">
      <alignment horizontal="right"/>
      <protection locked="0"/>
    </xf>
    <xf numFmtId="0" fontId="20" fillId="0" borderId="0" xfId="1" applyFont="1" applyFill="1" applyProtection="1">
      <protection locked="0"/>
    </xf>
    <xf numFmtId="0" fontId="46" fillId="0" borderId="11" xfId="1" applyFont="1" applyFill="1" applyBorder="1" applyProtection="1">
      <protection locked="0"/>
    </xf>
    <xf numFmtId="3" fontId="46" fillId="4" borderId="6" xfId="1" applyNumberFormat="1" applyFont="1" applyFill="1" applyBorder="1" applyAlignment="1" applyProtection="1">
      <alignment horizontal="right"/>
      <protection locked="0"/>
    </xf>
    <xf numFmtId="0" fontId="50" fillId="0" borderId="0" xfId="1" applyFont="1" applyProtection="1">
      <protection locked="0"/>
    </xf>
    <xf numFmtId="0" fontId="46" fillId="0" borderId="4" xfId="1" applyFont="1" applyFill="1" applyBorder="1" applyProtection="1">
      <protection locked="0"/>
    </xf>
    <xf numFmtId="3" fontId="46" fillId="4" borderId="4" xfId="15" applyNumberFormat="1" applyFont="1" applyFill="1" applyBorder="1" applyAlignment="1" applyProtection="1">
      <alignment horizontal="right"/>
      <protection locked="0"/>
    </xf>
    <xf numFmtId="3" fontId="46" fillId="4" borderId="3" xfId="1" applyNumberFormat="1" applyFont="1" applyFill="1" applyBorder="1" applyAlignment="1" applyProtection="1">
      <alignment horizontal="right"/>
      <protection locked="0"/>
    </xf>
    <xf numFmtId="3" fontId="46" fillId="4" borderId="7" xfId="1" applyNumberFormat="1" applyFont="1" applyFill="1" applyBorder="1" applyAlignment="1" applyProtection="1">
      <alignment horizontal="right"/>
      <protection locked="0"/>
    </xf>
    <xf numFmtId="0" fontId="46" fillId="4" borderId="7" xfId="1" applyFont="1" applyFill="1" applyBorder="1" applyAlignment="1" applyProtection="1">
      <alignment horizontal="right"/>
      <protection locked="0"/>
    </xf>
    <xf numFmtId="0" fontId="46" fillId="4" borderId="15" xfId="1" applyFont="1" applyFill="1" applyBorder="1" applyAlignment="1" applyProtection="1">
      <alignment horizontal="right"/>
      <protection locked="0"/>
    </xf>
    <xf numFmtId="0" fontId="50" fillId="0" borderId="7" xfId="1" applyFont="1" applyBorder="1" applyAlignment="1" applyProtection="1">
      <alignment horizontal="right"/>
      <protection locked="0"/>
    </xf>
    <xf numFmtId="0" fontId="46" fillId="4" borderId="3" xfId="1" applyFont="1" applyFill="1" applyBorder="1" applyAlignment="1" applyProtection="1">
      <alignment horizontal="right"/>
      <protection locked="0"/>
    </xf>
    <xf numFmtId="0" fontId="46" fillId="4" borderId="2" xfId="1" applyFont="1" applyFill="1" applyBorder="1" applyAlignment="1" applyProtection="1">
      <alignment horizontal="right"/>
      <protection locked="0"/>
    </xf>
    <xf numFmtId="0" fontId="50" fillId="0" borderId="3" xfId="1" applyFont="1" applyBorder="1" applyAlignment="1" applyProtection="1">
      <alignment horizontal="right"/>
      <protection locked="0"/>
    </xf>
    <xf numFmtId="0" fontId="31" fillId="4" borderId="2" xfId="1" applyFont="1" applyFill="1" applyBorder="1" applyAlignment="1" applyProtection="1">
      <alignment horizontal="right"/>
      <protection locked="0"/>
    </xf>
    <xf numFmtId="0" fontId="31" fillId="0" borderId="0" xfId="1" applyFont="1" applyProtection="1">
      <protection locked="0"/>
    </xf>
    <xf numFmtId="3" fontId="31" fillId="4" borderId="2" xfId="1" applyNumberFormat="1" applyFont="1" applyFill="1" applyBorder="1" applyAlignment="1" applyProtection="1">
      <alignment horizontal="right"/>
      <protection locked="0"/>
    </xf>
    <xf numFmtId="3" fontId="46" fillId="4" borderId="2" xfId="1" applyNumberFormat="1" applyFont="1" applyFill="1" applyBorder="1" applyAlignment="1" applyProtection="1">
      <alignment horizontal="right"/>
      <protection locked="0"/>
    </xf>
    <xf numFmtId="0" fontId="46" fillId="0" borderId="0" xfId="1" applyFont="1" applyProtection="1">
      <protection locked="0"/>
    </xf>
    <xf numFmtId="3" fontId="46" fillId="4" borderId="11" xfId="15" applyNumberFormat="1" applyFont="1" applyFill="1" applyBorder="1" applyAlignment="1" applyProtection="1">
      <alignment horizontal="right"/>
      <protection locked="0"/>
    </xf>
    <xf numFmtId="0" fontId="46" fillId="4" borderId="6" xfId="1" applyFont="1" applyFill="1" applyBorder="1" applyAlignment="1" applyProtection="1">
      <alignment horizontal="right"/>
      <protection locked="0"/>
    </xf>
    <xf numFmtId="0" fontId="46" fillId="4" borderId="5" xfId="1" applyFont="1" applyFill="1" applyBorder="1" applyAlignment="1" applyProtection="1">
      <alignment horizontal="right"/>
      <protection locked="0"/>
    </xf>
    <xf numFmtId="0" fontId="46" fillId="0" borderId="6" xfId="1" applyFont="1" applyBorder="1" applyAlignment="1" applyProtection="1">
      <alignment horizontal="right"/>
      <protection locked="0"/>
    </xf>
    <xf numFmtId="0" fontId="46" fillId="0" borderId="7" xfId="1" applyFont="1" applyFill="1" applyBorder="1" applyProtection="1">
      <protection locked="0"/>
    </xf>
    <xf numFmtId="3" fontId="46" fillId="4" borderId="1" xfId="14" applyNumberFormat="1" applyFont="1" applyFill="1" applyBorder="1" applyAlignment="1" applyProtection="1">
      <alignment horizontal="right"/>
      <protection locked="0"/>
    </xf>
    <xf numFmtId="3" fontId="46" fillId="4" borderId="1" xfId="1" applyNumberFormat="1" applyFont="1" applyFill="1" applyBorder="1" applyAlignment="1" applyProtection="1">
      <alignment horizontal="right"/>
      <protection locked="0"/>
    </xf>
    <xf numFmtId="0" fontId="46" fillId="4" borderId="1" xfId="1" applyFont="1" applyFill="1" applyBorder="1" applyAlignment="1" applyProtection="1">
      <alignment horizontal="right"/>
      <protection locked="0"/>
    </xf>
    <xf numFmtId="0" fontId="46" fillId="0" borderId="7" xfId="1" applyFont="1" applyBorder="1" applyAlignment="1" applyProtection="1">
      <alignment horizontal="right"/>
      <protection locked="0"/>
    </xf>
    <xf numFmtId="0" fontId="46" fillId="0" borderId="0" xfId="1" applyFont="1" applyFill="1" applyProtection="1">
      <protection locked="0"/>
    </xf>
    <xf numFmtId="0" fontId="31" fillId="0" borderId="0" xfId="1" applyFont="1" applyFill="1" applyProtection="1">
      <protection locked="0"/>
    </xf>
    <xf numFmtId="0" fontId="62" fillId="0" borderId="0" xfId="1" applyFont="1" applyBorder="1" applyProtection="1">
      <protection locked="0"/>
    </xf>
    <xf numFmtId="0" fontId="62" fillId="0" borderId="0" xfId="1" applyFont="1" applyProtection="1">
      <protection locked="0"/>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0" xfId="1" applyNumberFormat="1" applyFont="1" applyBorder="1" applyAlignment="1">
      <alignment horizontal="center"/>
    </xf>
    <xf numFmtId="3" fontId="14" fillId="0" borderId="12" xfId="1" applyNumberFormat="1" applyFont="1" applyBorder="1" applyAlignment="1">
      <alignment horizontal="center"/>
    </xf>
    <xf numFmtId="3" fontId="14" fillId="0" borderId="0" xfId="1" applyNumberFormat="1" applyFont="1" applyFill="1" applyBorder="1" applyAlignment="1">
      <alignment horizontal="center"/>
    </xf>
    <xf numFmtId="0" fontId="18" fillId="0" borderId="6" xfId="0" applyFont="1" applyFill="1" applyBorder="1"/>
    <xf numFmtId="3" fontId="18" fillId="0" borderId="3" xfId="847" applyNumberFormat="1" applyFont="1" applyBorder="1" applyAlignment="1">
      <alignment horizontal="left"/>
    </xf>
    <xf numFmtId="0" fontId="16" fillId="0" borderId="6" xfId="1" applyFont="1" applyFill="1" applyBorder="1"/>
    <xf numFmtId="3" fontId="18" fillId="0" borderId="3" xfId="847" applyNumberFormat="1" applyFont="1" applyFill="1" applyBorder="1" applyAlignment="1">
      <alignment horizontal="left"/>
    </xf>
    <xf numFmtId="0" fontId="16" fillId="0" borderId="4" xfId="1" applyFont="1" applyFill="1" applyBorder="1"/>
    <xf numFmtId="0" fontId="16" fillId="0" borderId="11" xfId="1" applyFont="1" applyFill="1" applyBorder="1"/>
    <xf numFmtId="0" fontId="46" fillId="2" borderId="3" xfId="0" applyFont="1" applyFill="1" applyBorder="1" applyProtection="1">
      <protection locked="0"/>
    </xf>
    <xf numFmtId="0" fontId="46" fillId="2" borderId="6" xfId="0" applyFont="1" applyFill="1" applyBorder="1" applyProtection="1">
      <protection locked="0"/>
    </xf>
    <xf numFmtId="3" fontId="31" fillId="4" borderId="1" xfId="0" applyNumberFormat="1" applyFont="1" applyFill="1" applyBorder="1" applyAlignment="1" applyProtection="1">
      <alignment horizontal="right"/>
      <protection locked="0"/>
    </xf>
    <xf numFmtId="1" fontId="14" fillId="0" borderId="11" xfId="1" applyNumberFormat="1" applyFont="1" applyBorder="1" applyAlignment="1">
      <alignment horizontal="center"/>
    </xf>
    <xf numFmtId="0" fontId="31" fillId="0" borderId="3" xfId="0" applyFont="1" applyBorder="1" applyAlignment="1" applyProtection="1">
      <alignment horizontal="right"/>
      <protection locked="0"/>
    </xf>
    <xf numFmtId="3" fontId="31" fillId="4" borderId="7" xfId="0" applyNumberFormat="1" applyFont="1" applyFill="1" applyBorder="1" applyAlignment="1" applyProtection="1">
      <alignment horizontal="right"/>
      <protection locked="0"/>
    </xf>
    <xf numFmtId="1" fontId="31" fillId="0" borderId="3" xfId="0" applyNumberFormat="1" applyFont="1" applyBorder="1" applyAlignment="1" applyProtection="1">
      <alignment horizontal="right"/>
      <protection locked="0"/>
    </xf>
    <xf numFmtId="0" fontId="31" fillId="0" borderId="0" xfId="7" applyFont="1" applyProtection="1">
      <protection locked="0"/>
    </xf>
    <xf numFmtId="4" fontId="31" fillId="4" borderId="4" xfId="7" applyNumberFormat="1" applyFont="1" applyFill="1" applyBorder="1" applyAlignment="1" applyProtection="1">
      <alignment horizontal="right"/>
      <protection locked="0"/>
    </xf>
    <xf numFmtId="3" fontId="31" fillId="4" borderId="4" xfId="7" applyNumberFormat="1" applyFont="1" applyFill="1" applyBorder="1" applyAlignment="1" applyProtection="1">
      <alignment horizontal="right"/>
      <protection locked="0"/>
    </xf>
    <xf numFmtId="3" fontId="31" fillId="4" borderId="11" xfId="7" applyNumberFormat="1" applyFont="1" applyFill="1" applyBorder="1" applyAlignment="1" applyProtection="1">
      <alignment horizontal="right"/>
      <protection locked="0"/>
    </xf>
    <xf numFmtId="4" fontId="31" fillId="4" borderId="3" xfId="7" applyNumberFormat="1" applyFont="1" applyFill="1" applyBorder="1" applyAlignment="1" applyProtection="1">
      <alignment horizontal="right"/>
      <protection locked="0"/>
    </xf>
    <xf numFmtId="3" fontId="31" fillId="4" borderId="3" xfId="7" applyNumberFormat="1" applyFont="1" applyFill="1" applyBorder="1" applyAlignment="1" applyProtection="1">
      <alignment horizontal="right"/>
      <protection locked="0"/>
    </xf>
    <xf numFmtId="3" fontId="31" fillId="4" borderId="6" xfId="7" applyNumberFormat="1" applyFont="1" applyFill="1" applyBorder="1" applyAlignment="1" applyProtection="1">
      <alignment horizontal="right"/>
      <protection locked="0"/>
    </xf>
    <xf numFmtId="171" fontId="16" fillId="0" borderId="3" xfId="846" applyFont="1" applyBorder="1" applyAlignment="1">
      <alignment horizontal="right"/>
    </xf>
    <xf numFmtId="3" fontId="46" fillId="0" borderId="6" xfId="0" applyNumberFormat="1" applyFont="1" applyFill="1" applyBorder="1" applyAlignment="1" applyProtection="1">
      <alignment horizontal="right"/>
    </xf>
    <xf numFmtId="0" fontId="31" fillId="2" borderId="3" xfId="0" applyFont="1" applyFill="1" applyBorder="1" applyProtection="1">
      <protection locked="0"/>
    </xf>
    <xf numFmtId="0" fontId="31" fillId="2" borderId="6" xfId="0" applyFont="1" applyFill="1" applyBorder="1" applyProtection="1">
      <protection locked="0"/>
    </xf>
    <xf numFmtId="1" fontId="14" fillId="0" borderId="11" xfId="1" applyNumberFormat="1" applyFont="1" applyFill="1" applyBorder="1" applyAlignment="1">
      <alignment horizontal="center"/>
    </xf>
    <xf numFmtId="3" fontId="14" fillId="0" borderId="0" xfId="1" applyNumberFormat="1" applyFont="1" applyFill="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12"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3" fontId="14" fillId="0" borderId="12" xfId="1" applyNumberFormat="1" applyFont="1" applyFill="1" applyBorder="1"/>
    <xf numFmtId="3" fontId="15" fillId="0" borderId="0" xfId="1" applyNumberFormat="1" applyFont="1" applyFill="1" applyBorder="1" applyAlignment="1">
      <alignment horizontal="center"/>
    </xf>
    <xf numFmtId="3" fontId="31" fillId="4" borderId="1" xfId="0" applyNumberFormat="1" applyFont="1" applyFill="1" applyBorder="1" applyAlignment="1">
      <alignment horizontal="right"/>
    </xf>
    <xf numFmtId="3" fontId="31" fillId="4" borderId="4" xfId="0" applyNumberFormat="1" applyFont="1" applyFill="1" applyBorder="1" applyAlignment="1">
      <alignment horizontal="right"/>
    </xf>
    <xf numFmtId="3" fontId="31" fillId="4" borderId="3" xfId="0" applyNumberFormat="1" applyFont="1" applyFill="1" applyBorder="1" applyAlignment="1">
      <alignment horizontal="right"/>
    </xf>
    <xf numFmtId="3" fontId="31" fillId="0" borderId="4" xfId="0" applyNumberFormat="1" applyFont="1" applyBorder="1" applyAlignment="1" applyProtection="1">
      <alignment horizontal="right"/>
      <protection locked="0"/>
    </xf>
    <xf numFmtId="0" fontId="42" fillId="0" borderId="0" xfId="7" applyFont="1" applyProtection="1">
      <protection locked="0"/>
    </xf>
    <xf numFmtId="0" fontId="18" fillId="0" borderId="0" xfId="3" applyFont="1" applyAlignment="1">
      <protection locked="0"/>
    </xf>
    <xf numFmtId="0" fontId="20" fillId="0" borderId="0" xfId="7" applyProtection="1">
      <protection locked="0"/>
    </xf>
    <xf numFmtId="165" fontId="20" fillId="0" borderId="0" xfId="7" applyNumberFormat="1" applyProtection="1">
      <protection locked="0"/>
    </xf>
    <xf numFmtId="3" fontId="59" fillId="4" borderId="0" xfId="7" applyNumberFormat="1" applyFont="1" applyFill="1" applyProtection="1">
      <protection locked="0"/>
    </xf>
    <xf numFmtId="14" fontId="14" fillId="0" borderId="7" xfId="7" applyNumberFormat="1" applyFont="1" applyBorder="1" applyAlignment="1" applyProtection="1">
      <alignment horizontal="left"/>
      <protection locked="0"/>
    </xf>
    <xf numFmtId="0" fontId="18" fillId="0" borderId="10" xfId="7" applyFont="1" applyBorder="1" applyProtection="1">
      <protection locked="0"/>
    </xf>
    <xf numFmtId="0" fontId="18" fillId="0" borderId="8" xfId="7" applyFont="1" applyBorder="1" applyProtection="1">
      <protection locked="0"/>
    </xf>
    <xf numFmtId="0" fontId="18" fillId="0" borderId="9" xfId="7" applyFont="1" applyBorder="1" applyProtection="1">
      <protection locked="0"/>
    </xf>
    <xf numFmtId="0" fontId="70" fillId="0" borderId="8" xfId="7" applyFont="1" applyBorder="1" applyAlignment="1" applyProtection="1">
      <alignment horizontal="center"/>
      <protection locked="0"/>
    </xf>
    <xf numFmtId="165" fontId="18" fillId="4" borderId="0" xfId="7" applyNumberFormat="1" applyFont="1" applyFill="1" applyProtection="1">
      <protection locked="0"/>
    </xf>
    <xf numFmtId="0" fontId="18" fillId="4" borderId="0" xfId="7" applyFont="1" applyFill="1" applyProtection="1">
      <protection locked="0"/>
    </xf>
    <xf numFmtId="3" fontId="46" fillId="0" borderId="1" xfId="7" applyNumberFormat="1" applyFont="1" applyBorder="1" applyProtection="1">
      <protection locked="0"/>
    </xf>
    <xf numFmtId="0" fontId="46" fillId="4" borderId="0" xfId="7" applyFont="1" applyFill="1" applyAlignment="1" applyProtection="1">
      <alignment horizontal="center"/>
      <protection locked="0"/>
    </xf>
    <xf numFmtId="3" fontId="46" fillId="0" borderId="4" xfId="7" applyNumberFormat="1" applyFont="1" applyBorder="1" applyProtection="1">
      <protection locked="0"/>
    </xf>
    <xf numFmtId="0" fontId="16" fillId="0" borderId="1" xfId="7" applyFont="1" applyBorder="1" applyAlignment="1" applyProtection="1">
      <alignment horizontal="center"/>
      <protection locked="0"/>
    </xf>
    <xf numFmtId="0" fontId="16" fillId="0" borderId="7" xfId="7" applyFont="1" applyBorder="1" applyAlignment="1" applyProtection="1">
      <alignment horizontal="center"/>
      <protection locked="0"/>
    </xf>
    <xf numFmtId="3" fontId="51" fillId="4" borderId="11" xfId="7" applyNumberFormat="1" applyFont="1" applyFill="1" applyBorder="1" applyProtection="1">
      <protection locked="0"/>
    </xf>
    <xf numFmtId="0" fontId="14" fillId="0" borderId="6" xfId="7" applyFont="1" applyBorder="1" applyAlignment="1" applyProtection="1">
      <alignment horizontal="center"/>
      <protection locked="0"/>
    </xf>
    <xf numFmtId="169" fontId="16" fillId="0" borderId="6" xfId="7" applyNumberFormat="1" applyFont="1" applyBorder="1" applyAlignment="1" applyProtection="1">
      <alignment horizontal="center"/>
      <protection locked="0"/>
    </xf>
    <xf numFmtId="169" fontId="14" fillId="4" borderId="0" xfId="7" applyNumberFormat="1" applyFont="1" applyFill="1" applyAlignment="1" applyProtection="1">
      <alignment horizontal="center"/>
      <protection locked="0"/>
    </xf>
    <xf numFmtId="0" fontId="14" fillId="4" borderId="0" xfId="7" applyFont="1" applyFill="1" applyAlignment="1" applyProtection="1">
      <alignment horizontal="center"/>
      <protection locked="0"/>
    </xf>
    <xf numFmtId="0" fontId="46" fillId="0" borderId="7" xfId="7" applyFont="1" applyBorder="1" applyProtection="1">
      <protection locked="0"/>
    </xf>
    <xf numFmtId="4" fontId="31" fillId="4" borderId="7" xfId="7" applyNumberFormat="1" applyFont="1" applyFill="1" applyBorder="1" applyAlignment="1">
      <alignment horizontal="right"/>
    </xf>
    <xf numFmtId="4" fontId="31" fillId="4" borderId="7" xfId="7" applyNumberFormat="1" applyFont="1" applyFill="1" applyBorder="1" applyAlignment="1" applyProtection="1">
      <alignment horizontal="right"/>
      <protection locked="0"/>
    </xf>
    <xf numFmtId="4" fontId="31" fillId="4" borderId="3" xfId="7" applyNumberFormat="1" applyFont="1" applyFill="1" applyBorder="1" applyAlignment="1">
      <alignment horizontal="right"/>
    </xf>
    <xf numFmtId="4" fontId="31" fillId="4" borderId="4" xfId="7" applyNumberFormat="1" applyFont="1" applyFill="1" applyBorder="1" applyAlignment="1">
      <alignment horizontal="right"/>
    </xf>
    <xf numFmtId="0" fontId="31" fillId="0" borderId="3" xfId="7" applyFont="1" applyBorder="1" applyProtection="1">
      <protection locked="0"/>
    </xf>
    <xf numFmtId="3" fontId="31" fillId="4" borderId="3" xfId="7" applyNumberFormat="1" applyFont="1" applyFill="1" applyBorder="1" applyAlignment="1">
      <alignment horizontal="right"/>
    </xf>
    <xf numFmtId="3" fontId="31" fillId="4" borderId="4" xfId="7" applyNumberFormat="1" applyFont="1" applyFill="1" applyBorder="1" applyAlignment="1">
      <alignment horizontal="right"/>
    </xf>
    <xf numFmtId="0" fontId="31" fillId="0" borderId="6" xfId="7" applyFont="1" applyBorder="1" applyProtection="1">
      <protection locked="0"/>
    </xf>
    <xf numFmtId="3" fontId="31" fillId="4" borderId="6" xfId="7" applyNumberFormat="1" applyFont="1" applyFill="1" applyBorder="1" applyAlignment="1">
      <alignment horizontal="right"/>
    </xf>
    <xf numFmtId="3" fontId="31" fillId="0" borderId="11" xfId="7" applyNumberFormat="1" applyFont="1" applyBorder="1" applyAlignment="1">
      <alignment horizontal="right"/>
    </xf>
    <xf numFmtId="3" fontId="31" fillId="4" borderId="11" xfId="7" applyNumberFormat="1" applyFont="1" applyFill="1" applyBorder="1" applyAlignment="1">
      <alignment horizontal="right"/>
    </xf>
    <xf numFmtId="0" fontId="31" fillId="0" borderId="3" xfId="0" applyFont="1" applyBorder="1" applyAlignment="1">
      <alignment horizontal="right"/>
    </xf>
    <xf numFmtId="0" fontId="14" fillId="0" borderId="6" xfId="0" applyFont="1" applyBorder="1" applyAlignment="1" applyProtection="1">
      <alignment horizontal="center"/>
      <protection locked="0"/>
    </xf>
    <xf numFmtId="0" fontId="14" fillId="0" borderId="11" xfId="0" applyFont="1" applyBorder="1" applyAlignment="1" applyProtection="1">
      <alignment horizontal="center"/>
      <protection locked="0"/>
    </xf>
    <xf numFmtId="0" fontId="14" fillId="0" borderId="6" xfId="0" applyFont="1" applyFill="1" applyBorder="1" applyAlignment="1" applyProtection="1">
      <alignment horizontal="center"/>
      <protection locked="0"/>
    </xf>
    <xf numFmtId="3" fontId="31" fillId="4" borderId="0" xfId="0" applyNumberFormat="1" applyFont="1" applyFill="1" applyAlignment="1">
      <alignment horizontal="right"/>
    </xf>
    <xf numFmtId="3" fontId="31" fillId="4" borderId="0" xfId="0" applyNumberFormat="1" applyFont="1" applyFill="1" applyAlignment="1" applyProtection="1">
      <alignment horizontal="right"/>
      <protection locked="0"/>
    </xf>
    <xf numFmtId="3" fontId="61" fillId="4" borderId="3" xfId="0" applyNumberFormat="1" applyFont="1" applyFill="1" applyBorder="1" applyAlignment="1">
      <alignment horizontal="right"/>
    </xf>
    <xf numFmtId="3" fontId="46" fillId="4" borderId="3" xfId="0" applyNumberFormat="1" applyFont="1" applyFill="1" applyBorder="1" applyAlignment="1">
      <alignment horizontal="right"/>
    </xf>
    <xf numFmtId="3" fontId="31" fillId="4" borderId="7" xfId="0" applyNumberFormat="1" applyFont="1" applyFill="1" applyBorder="1" applyAlignment="1">
      <alignment horizontal="right"/>
    </xf>
    <xf numFmtId="1" fontId="31" fillId="0" borderId="3" xfId="0" applyNumberFormat="1" applyFont="1" applyBorder="1" applyAlignment="1">
      <alignment horizontal="right"/>
    </xf>
    <xf numFmtId="3" fontId="46" fillId="4" borderId="4" xfId="15" applyNumberFormat="1" applyFont="1" applyFill="1" applyBorder="1" applyAlignment="1" applyProtection="1">
      <alignment horizontal="right"/>
    </xf>
    <xf numFmtId="3" fontId="31" fillId="4" borderId="4" xfId="15" applyNumberFormat="1" applyFont="1" applyFill="1" applyBorder="1" applyAlignment="1" applyProtection="1">
      <alignment horizontal="right"/>
    </xf>
    <xf numFmtId="3" fontId="46" fillId="4" borderId="11" xfId="15" applyNumberFormat="1" applyFont="1" applyFill="1" applyBorder="1" applyAlignment="1" applyProtection="1">
      <alignment horizontal="right"/>
    </xf>
    <xf numFmtId="3" fontId="46" fillId="4" borderId="1" xfId="15" applyNumberFormat="1" applyFont="1" applyFill="1" applyBorder="1" applyAlignment="1" applyProtection="1">
      <alignment horizontal="right"/>
      <protection locked="0"/>
    </xf>
    <xf numFmtId="166" fontId="31" fillId="0" borderId="3" xfId="847" applyNumberFormat="1" applyFont="1" applyBorder="1" applyAlignment="1" applyProtection="1">
      <alignment horizontal="right"/>
    </xf>
    <xf numFmtId="166" fontId="31" fillId="4" borderId="4" xfId="847" applyNumberFormat="1" applyFont="1" applyFill="1" applyBorder="1" applyAlignment="1" applyProtection="1">
      <alignment horizontal="right"/>
    </xf>
    <xf numFmtId="166" fontId="31" fillId="4" borderId="3" xfId="847" applyNumberFormat="1" applyFont="1" applyFill="1" applyBorder="1" applyAlignment="1" applyProtection="1">
      <alignment horizontal="right"/>
    </xf>
    <xf numFmtId="170" fontId="31" fillId="0" borderId="3" xfId="847" applyNumberFormat="1" applyFont="1" applyBorder="1" applyAlignment="1" applyProtection="1">
      <alignment horizontal="right"/>
    </xf>
    <xf numFmtId="4" fontId="31" fillId="4" borderId="3" xfId="7" applyNumberFormat="1" applyFont="1" applyFill="1" applyBorder="1" applyAlignment="1" applyProtection="1">
      <alignment horizontal="right"/>
      <protection locked="0"/>
    </xf>
    <xf numFmtId="3" fontId="31" fillId="4" borderId="3" xfId="7" applyNumberFormat="1" applyFont="1" applyFill="1" applyBorder="1" applyAlignment="1" applyProtection="1">
      <alignment horizontal="right"/>
      <protection locked="0"/>
    </xf>
    <xf numFmtId="3" fontId="31" fillId="4" borderId="6" xfId="7" applyNumberFormat="1" applyFont="1" applyFill="1" applyBorder="1" applyAlignment="1" applyProtection="1">
      <alignment horizontal="right"/>
      <protection locked="0"/>
    </xf>
    <xf numFmtId="3" fontId="31" fillId="4" borderId="1" xfId="15" applyNumberFormat="1" applyFont="1" applyFill="1" applyBorder="1" applyAlignment="1" applyProtection="1">
      <alignment horizontal="right"/>
    </xf>
    <xf numFmtId="3" fontId="31" fillId="4" borderId="4" xfId="847" applyNumberFormat="1" applyFont="1" applyFill="1" applyBorder="1" applyAlignment="1" applyProtection="1">
      <alignment horizontal="right"/>
    </xf>
    <xf numFmtId="3" fontId="31" fillId="0" borderId="4" xfId="847" applyNumberFormat="1" applyFont="1" applyFill="1" applyBorder="1" applyAlignment="1" applyProtection="1">
      <alignment horizontal="right"/>
      <protection locked="0"/>
    </xf>
    <xf numFmtId="0" fontId="46" fillId="0" borderId="1" xfId="1" applyNumberFormat="1" applyFont="1" applyFill="1" applyBorder="1" applyAlignment="1" applyProtection="1">
      <alignment horizontal="center"/>
      <protection locked="0"/>
    </xf>
    <xf numFmtId="0" fontId="46" fillId="0" borderId="14" xfId="1" applyNumberFormat="1" applyFont="1" applyFill="1" applyBorder="1" applyAlignment="1" applyProtection="1">
      <alignment horizontal="center"/>
      <protection locked="0"/>
    </xf>
    <xf numFmtId="0" fontId="46" fillId="0" borderId="15" xfId="1" applyNumberFormat="1" applyFont="1" applyFill="1" applyBorder="1" applyAlignment="1" applyProtection="1">
      <alignment horizontal="center"/>
      <protection locked="0"/>
    </xf>
    <xf numFmtId="0" fontId="46" fillId="0" borderId="1" xfId="1" applyNumberFormat="1" applyFont="1" applyFill="1" applyBorder="1" applyAlignment="1" applyProtection="1">
      <alignment horizontal="center"/>
      <protection locked="0"/>
    </xf>
    <xf numFmtId="0" fontId="46" fillId="0" borderId="14" xfId="1" applyNumberFormat="1" applyFont="1" applyFill="1" applyBorder="1" applyAlignment="1" applyProtection="1">
      <alignment horizontal="center"/>
      <protection locked="0"/>
    </xf>
    <xf numFmtId="0" fontId="46" fillId="0" borderId="15" xfId="1" applyNumberFormat="1" applyFont="1" applyFill="1" applyBorder="1" applyAlignment="1" applyProtection="1">
      <alignment horizontal="center"/>
      <protection locked="0"/>
    </xf>
    <xf numFmtId="0" fontId="46" fillId="0" borderId="1" xfId="0" applyNumberFormat="1" applyFont="1" applyFill="1" applyBorder="1" applyAlignment="1" applyProtection="1">
      <alignment horizontal="center"/>
      <protection locked="0"/>
    </xf>
    <xf numFmtId="0" fontId="46" fillId="0" borderId="14" xfId="0" applyNumberFormat="1" applyFont="1" applyFill="1" applyBorder="1" applyAlignment="1" applyProtection="1">
      <alignment horizontal="center"/>
      <protection locked="0"/>
    </xf>
    <xf numFmtId="0" fontId="46" fillId="0" borderId="15" xfId="0" applyNumberFormat="1" applyFont="1" applyFill="1" applyBorder="1" applyAlignment="1" applyProtection="1">
      <alignment horizontal="center"/>
      <protection locked="0"/>
    </xf>
    <xf numFmtId="0" fontId="46" fillId="0" borderId="1" xfId="7" applyFont="1" applyFill="1" applyBorder="1" applyAlignment="1" applyProtection="1">
      <alignment horizontal="center"/>
      <protection locked="0"/>
    </xf>
    <xf numFmtId="0" fontId="46" fillId="0" borderId="14" xfId="7" applyFont="1" applyFill="1" applyBorder="1" applyAlignment="1" applyProtection="1">
      <alignment horizontal="center"/>
      <protection locked="0"/>
    </xf>
    <xf numFmtId="0" fontId="46" fillId="0" borderId="15" xfId="7" applyFont="1" applyFill="1" applyBorder="1" applyAlignment="1" applyProtection="1">
      <alignment horizontal="center"/>
      <protection locked="0"/>
    </xf>
    <xf numFmtId="165" fontId="31" fillId="4" borderId="6" xfId="7" applyNumberFormat="1" applyFont="1" applyFill="1" applyBorder="1" applyAlignment="1" applyProtection="1">
      <alignment horizontal="right"/>
      <protection locked="0"/>
    </xf>
    <xf numFmtId="0" fontId="46" fillId="0" borderId="1" xfId="0" applyNumberFormat="1" applyFont="1" applyFill="1" applyBorder="1" applyAlignment="1" applyProtection="1">
      <alignment horizontal="center"/>
      <protection locked="0"/>
    </xf>
    <xf numFmtId="0" fontId="46" fillId="0" borderId="14" xfId="0" applyNumberFormat="1" applyFont="1" applyFill="1" applyBorder="1" applyAlignment="1" applyProtection="1">
      <alignment horizontal="center"/>
      <protection locked="0"/>
    </xf>
    <xf numFmtId="0" fontId="46" fillId="0" borderId="15" xfId="0" applyNumberFormat="1" applyFont="1" applyFill="1" applyBorder="1" applyAlignment="1" applyProtection="1">
      <alignment horizontal="center"/>
      <protection locked="0"/>
    </xf>
    <xf numFmtId="0" fontId="46" fillId="0" borderId="1" xfId="0" applyNumberFormat="1" applyFont="1" applyFill="1" applyBorder="1" applyAlignment="1" applyProtection="1">
      <alignment horizontal="center"/>
      <protection locked="0"/>
    </xf>
    <xf numFmtId="0" fontId="46" fillId="0" borderId="14" xfId="0" applyNumberFormat="1" applyFont="1" applyFill="1" applyBorder="1" applyAlignment="1" applyProtection="1">
      <alignment horizontal="center"/>
      <protection locked="0"/>
    </xf>
    <xf numFmtId="0" fontId="46" fillId="0" borderId="15" xfId="0" applyNumberFormat="1" applyFont="1" applyFill="1" applyBorder="1" applyAlignment="1" applyProtection="1">
      <alignment horizontal="center"/>
      <protection locked="0"/>
    </xf>
    <xf numFmtId="0" fontId="46" fillId="0" borderId="1" xfId="7" applyFont="1" applyFill="1" applyBorder="1" applyAlignment="1" applyProtection="1">
      <alignment horizontal="center"/>
      <protection locked="0"/>
    </xf>
    <xf numFmtId="0" fontId="46" fillId="0" borderId="14" xfId="7" applyFont="1" applyFill="1" applyBorder="1" applyAlignment="1" applyProtection="1">
      <alignment horizontal="center"/>
      <protection locked="0"/>
    </xf>
    <xf numFmtId="0" fontId="46" fillId="0" borderId="15" xfId="7" applyFont="1" applyFill="1" applyBorder="1" applyAlignment="1" applyProtection="1">
      <alignment horizontal="center"/>
      <protection locked="0"/>
    </xf>
    <xf numFmtId="4" fontId="31" fillId="11" borderId="4" xfId="7" applyNumberFormat="1" applyFont="1" applyFill="1" applyBorder="1" applyAlignment="1" applyProtection="1">
      <alignment horizontal="right"/>
      <protection locked="0"/>
    </xf>
    <xf numFmtId="0" fontId="57" fillId="0" borderId="0" xfId="0" applyFont="1" applyFill="1"/>
    <xf numFmtId="3" fontId="16" fillId="0" borderId="2" xfId="1" applyNumberFormat="1" applyFont="1" applyBorder="1" applyAlignment="1">
      <alignment horizontal="right"/>
    </xf>
    <xf numFmtId="3" fontId="16" fillId="0" borderId="4" xfId="1" applyNumberFormat="1" applyFont="1" applyBorder="1" applyAlignment="1">
      <alignment horizontal="right"/>
    </xf>
    <xf numFmtId="3" fontId="18" fillId="0" borderId="2" xfId="1" applyNumberFormat="1" applyFont="1" applyBorder="1" applyAlignment="1">
      <alignment horizontal="right"/>
    </xf>
    <xf numFmtId="3" fontId="18" fillId="0" borderId="4" xfId="1" applyNumberFormat="1" applyFont="1" applyBorder="1" applyAlignment="1">
      <alignment horizontal="right"/>
    </xf>
    <xf numFmtId="3" fontId="16" fillId="0" borderId="6" xfId="1" applyNumberFormat="1" applyFont="1" applyFill="1" applyBorder="1"/>
    <xf numFmtId="3" fontId="16" fillId="0" borderId="11" xfId="1" applyNumberFormat="1" applyFont="1" applyFill="1" applyBorder="1"/>
    <xf numFmtId="3" fontId="18" fillId="0" borderId="8" xfId="1" applyNumberFormat="1" applyFont="1" applyFill="1" applyBorder="1"/>
    <xf numFmtId="14" fontId="31" fillId="0" borderId="0" xfId="1" applyNumberFormat="1" applyFont="1" applyAlignment="1">
      <alignment horizontal="center"/>
    </xf>
    <xf numFmtId="0" fontId="16" fillId="8" borderId="0" xfId="0" applyFont="1" applyFill="1" applyBorder="1" applyAlignment="1">
      <alignment horizontal="center"/>
    </xf>
    <xf numFmtId="0" fontId="16" fillId="8" borderId="2" xfId="0" applyFont="1" applyFill="1" applyBorder="1" applyAlignment="1">
      <alignment horizontal="center"/>
    </xf>
    <xf numFmtId="0" fontId="46" fillId="0" borderId="12" xfId="0" applyFont="1" applyBorder="1" applyAlignment="1">
      <alignment horizontal="left"/>
    </xf>
    <xf numFmtId="0" fontId="46" fillId="0" borderId="10" xfId="0" applyFont="1" applyBorder="1" applyAlignment="1">
      <alignment horizontal="center"/>
    </xf>
    <xf numFmtId="0" fontId="46" fillId="0" borderId="8" xfId="0" applyFont="1" applyBorder="1" applyAlignment="1">
      <alignment horizontal="center"/>
    </xf>
    <xf numFmtId="0" fontId="46" fillId="0" borderId="9" xfId="0" applyFont="1" applyBorder="1" applyAlignment="1">
      <alignment horizontal="center"/>
    </xf>
    <xf numFmtId="0" fontId="16" fillId="8" borderId="4" xfId="0" applyFont="1" applyFill="1" applyBorder="1" applyAlignment="1">
      <alignment horizontal="center"/>
    </xf>
    <xf numFmtId="0" fontId="46" fillId="0" borderId="14" xfId="0" applyFont="1" applyBorder="1" applyAlignment="1">
      <alignment horizontal="center"/>
    </xf>
    <xf numFmtId="0" fontId="46" fillId="0" borderId="15" xfId="0" applyFont="1" applyBorder="1" applyAlignment="1">
      <alignment horizontal="center"/>
    </xf>
    <xf numFmtId="0" fontId="46" fillId="0" borderId="1" xfId="0" applyFont="1" applyBorder="1" applyAlignment="1">
      <alignment horizontal="center"/>
    </xf>
    <xf numFmtId="14" fontId="14" fillId="0" borderId="11" xfId="0" applyNumberFormat="1" applyFont="1" applyFill="1" applyBorder="1" applyAlignment="1">
      <alignment horizontal="center"/>
    </xf>
    <xf numFmtId="14" fontId="14" fillId="0" borderId="12" xfId="0" applyNumberFormat="1" applyFont="1" applyFill="1" applyBorder="1" applyAlignment="1">
      <alignment horizontal="center"/>
    </xf>
    <xf numFmtId="14" fontId="14" fillId="0" borderId="5" xfId="0" applyNumberFormat="1" applyFont="1" applyFill="1" applyBorder="1" applyAlignment="1">
      <alignment horizontal="center"/>
    </xf>
    <xf numFmtId="3" fontId="46" fillId="0" borderId="11" xfId="0" applyNumberFormat="1" applyFont="1" applyBorder="1" applyAlignment="1">
      <alignment horizontal="center"/>
    </xf>
    <xf numFmtId="3" fontId="46" fillId="0" borderId="12" xfId="0" applyNumberFormat="1" applyFont="1" applyBorder="1" applyAlignment="1">
      <alignment horizontal="center"/>
    </xf>
    <xf numFmtId="3" fontId="46" fillId="0" borderId="5" xfId="0" applyNumberFormat="1" applyFont="1" applyBorder="1" applyAlignment="1">
      <alignment horizontal="center"/>
    </xf>
    <xf numFmtId="0" fontId="16" fillId="0" borderId="10" xfId="1" applyFont="1" applyBorder="1" applyAlignment="1">
      <alignment horizontal="center"/>
    </xf>
    <xf numFmtId="0" fontId="16" fillId="0" borderId="8" xfId="1" applyFont="1" applyBorder="1" applyAlignment="1">
      <alignment horizontal="center"/>
    </xf>
    <xf numFmtId="0" fontId="16" fillId="0" borderId="9" xfId="1" applyFont="1" applyBorder="1" applyAlignment="1">
      <alignment horizontal="center"/>
    </xf>
    <xf numFmtId="0" fontId="14" fillId="0" borderId="0" xfId="1" applyFont="1" applyBorder="1" applyAlignment="1">
      <alignment horizontal="center"/>
    </xf>
    <xf numFmtId="0" fontId="14" fillId="0" borderId="0" xfId="1" applyFont="1" applyFill="1" applyBorder="1" applyAlignment="1">
      <alignment horizontal="center"/>
    </xf>
    <xf numFmtId="3" fontId="14" fillId="0" borderId="0"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4" fillId="0" borderId="12" xfId="1" applyNumberFormat="1" applyFont="1" applyBorder="1" applyAlignment="1">
      <alignment horizontal="center"/>
    </xf>
    <xf numFmtId="3" fontId="14" fillId="0" borderId="14" xfId="1" applyNumberFormat="1" applyFont="1" applyFill="1" applyBorder="1" applyAlignment="1">
      <alignment horizontal="center"/>
    </xf>
    <xf numFmtId="3" fontId="14" fillId="0" borderId="0" xfId="1" applyNumberFormat="1" applyFont="1" applyFill="1" applyBorder="1" applyAlignment="1">
      <alignment horizontal="center"/>
    </xf>
    <xf numFmtId="3" fontId="16" fillId="0" borderId="9" xfId="1" applyNumberFormat="1" applyFont="1" applyBorder="1" applyAlignment="1">
      <alignment horizontal="center"/>
    </xf>
    <xf numFmtId="0" fontId="46" fillId="0" borderId="1" xfId="1" applyNumberFormat="1" applyFont="1" applyFill="1" applyBorder="1" applyAlignment="1" applyProtection="1">
      <alignment horizontal="center"/>
      <protection locked="0"/>
    </xf>
    <xf numFmtId="0" fontId="46" fillId="0" borderId="14" xfId="1" applyNumberFormat="1" applyFont="1" applyFill="1" applyBorder="1" applyAlignment="1" applyProtection="1">
      <alignment horizontal="center"/>
      <protection locked="0"/>
    </xf>
    <xf numFmtId="0" fontId="46" fillId="0" borderId="15" xfId="1" applyNumberFormat="1" applyFont="1" applyFill="1" applyBorder="1" applyAlignment="1" applyProtection="1">
      <alignment horizontal="center"/>
      <protection locked="0"/>
    </xf>
    <xf numFmtId="0" fontId="46" fillId="0" borderId="11" xfId="1" applyNumberFormat="1" applyFont="1" applyFill="1" applyBorder="1" applyAlignment="1" applyProtection="1">
      <alignment horizontal="center"/>
      <protection locked="0"/>
    </xf>
    <xf numFmtId="0" fontId="46" fillId="0" borderId="12" xfId="1" applyNumberFormat="1" applyFont="1" applyFill="1" applyBorder="1" applyAlignment="1" applyProtection="1">
      <alignment horizontal="center"/>
      <protection locked="0"/>
    </xf>
    <xf numFmtId="0" fontId="46" fillId="0" borderId="5" xfId="1" applyNumberFormat="1" applyFont="1" applyFill="1" applyBorder="1" applyAlignment="1" applyProtection="1">
      <alignment horizontal="center"/>
      <protection locked="0"/>
    </xf>
    <xf numFmtId="0" fontId="46" fillId="0" borderId="1" xfId="1" applyFont="1" applyFill="1" applyBorder="1" applyAlignment="1" applyProtection="1">
      <alignment horizontal="center"/>
      <protection locked="0"/>
    </xf>
    <xf numFmtId="0" fontId="46" fillId="0" borderId="14" xfId="1" applyFont="1" applyFill="1" applyBorder="1" applyAlignment="1" applyProtection="1">
      <alignment horizontal="center"/>
      <protection locked="0"/>
    </xf>
    <xf numFmtId="0" fontId="46" fillId="0" borderId="15" xfId="1" applyFont="1" applyFill="1" applyBorder="1" applyAlignment="1" applyProtection="1">
      <alignment horizontal="center"/>
      <protection locked="0"/>
    </xf>
    <xf numFmtId="0" fontId="46" fillId="0" borderId="11" xfId="1" applyFont="1" applyFill="1" applyBorder="1" applyAlignment="1" applyProtection="1">
      <alignment horizontal="center"/>
      <protection locked="0"/>
    </xf>
    <xf numFmtId="0" fontId="46" fillId="0" borderId="12" xfId="1" applyFont="1" applyFill="1" applyBorder="1" applyAlignment="1" applyProtection="1">
      <alignment horizontal="center"/>
      <protection locked="0"/>
    </xf>
    <xf numFmtId="0" fontId="46" fillId="0" borderId="5" xfId="1" applyFont="1" applyFill="1" applyBorder="1" applyAlignment="1" applyProtection="1">
      <alignment horizontal="center"/>
      <protection locked="0"/>
    </xf>
    <xf numFmtId="0" fontId="46" fillId="0" borderId="11" xfId="0" applyNumberFormat="1" applyFont="1" applyFill="1" applyBorder="1" applyAlignment="1" applyProtection="1">
      <alignment horizontal="center"/>
      <protection locked="0"/>
    </xf>
    <xf numFmtId="0" fontId="46" fillId="0" borderId="12" xfId="0" applyNumberFormat="1" applyFont="1" applyFill="1" applyBorder="1" applyAlignment="1" applyProtection="1">
      <alignment horizontal="center"/>
      <protection locked="0"/>
    </xf>
    <xf numFmtId="0" fontId="46" fillId="0" borderId="5" xfId="0" applyNumberFormat="1" applyFont="1" applyFill="1" applyBorder="1" applyAlignment="1" applyProtection="1">
      <alignment horizontal="center"/>
      <protection locked="0"/>
    </xf>
    <xf numFmtId="0" fontId="46" fillId="4" borderId="0" xfId="0" applyNumberFormat="1" applyFont="1" applyFill="1" applyBorder="1" applyAlignment="1" applyProtection="1">
      <alignment horizontal="center"/>
      <protection locked="0"/>
    </xf>
    <xf numFmtId="0" fontId="46" fillId="0" borderId="1" xfId="0" applyNumberFormat="1" applyFont="1" applyFill="1" applyBorder="1" applyAlignment="1" applyProtection="1">
      <alignment horizontal="center"/>
      <protection locked="0"/>
    </xf>
    <xf numFmtId="0" fontId="46" fillId="0" borderId="14" xfId="0" applyNumberFormat="1" applyFont="1" applyFill="1" applyBorder="1" applyAlignment="1" applyProtection="1">
      <alignment horizontal="center"/>
      <protection locked="0"/>
    </xf>
    <xf numFmtId="0" fontId="46" fillId="0" borderId="15" xfId="0" applyNumberFormat="1" applyFont="1" applyFill="1" applyBorder="1" applyAlignment="1" applyProtection="1">
      <alignment horizontal="center"/>
      <protection locked="0"/>
    </xf>
    <xf numFmtId="0" fontId="46" fillId="4" borderId="0" xfId="7" applyFont="1" applyFill="1" applyAlignment="1" applyProtection="1">
      <alignment horizontal="center"/>
      <protection locked="0"/>
    </xf>
    <xf numFmtId="0" fontId="46" fillId="0" borderId="11" xfId="7" applyFont="1" applyFill="1" applyBorder="1" applyAlignment="1" applyProtection="1">
      <alignment horizontal="center"/>
      <protection locked="0"/>
    </xf>
    <xf numFmtId="0" fontId="46" fillId="0" borderId="12" xfId="7" applyFont="1" applyFill="1" applyBorder="1" applyAlignment="1" applyProtection="1">
      <alignment horizontal="center"/>
      <protection locked="0"/>
    </xf>
    <xf numFmtId="0" fontId="46" fillId="0" borderId="5" xfId="7" applyFont="1" applyFill="1" applyBorder="1" applyAlignment="1" applyProtection="1">
      <alignment horizontal="center"/>
      <protection locked="0"/>
    </xf>
    <xf numFmtId="0" fontId="46" fillId="0" borderId="11" xfId="7" applyFont="1" applyBorder="1" applyAlignment="1" applyProtection="1">
      <alignment horizontal="center"/>
      <protection locked="0"/>
    </xf>
    <xf numFmtId="0" fontId="46" fillId="0" borderId="12" xfId="7" applyFont="1" applyBorder="1" applyAlignment="1" applyProtection="1">
      <alignment horizontal="center"/>
      <protection locked="0"/>
    </xf>
    <xf numFmtId="0" fontId="46" fillId="0" borderId="5" xfId="7" applyFont="1" applyBorder="1" applyAlignment="1" applyProtection="1">
      <alignment horizontal="center"/>
      <protection locked="0"/>
    </xf>
    <xf numFmtId="0" fontId="46" fillId="0" borderId="1" xfId="7" applyFont="1" applyFill="1" applyBorder="1" applyAlignment="1" applyProtection="1">
      <alignment horizontal="center"/>
      <protection locked="0"/>
    </xf>
    <xf numFmtId="0" fontId="46" fillId="0" borderId="14" xfId="7" applyFont="1" applyFill="1" applyBorder="1" applyAlignment="1" applyProtection="1">
      <alignment horizontal="center"/>
      <protection locked="0"/>
    </xf>
    <xf numFmtId="0" fontId="46" fillId="0" borderId="15" xfId="7" applyFont="1" applyFill="1" applyBorder="1" applyAlignment="1" applyProtection="1">
      <alignment horizontal="center"/>
      <protection locked="0"/>
    </xf>
    <xf numFmtId="0" fontId="46" fillId="0" borderId="1" xfId="7" applyFont="1" applyBorder="1" applyAlignment="1" applyProtection="1">
      <alignment horizontal="center"/>
      <protection locked="0"/>
    </xf>
    <xf numFmtId="0" fontId="46" fillId="0" borderId="14" xfId="7" applyFont="1" applyBorder="1" applyAlignment="1" applyProtection="1">
      <alignment horizontal="center"/>
      <protection locked="0"/>
    </xf>
    <xf numFmtId="0" fontId="46" fillId="0" borderId="15" xfId="7" applyFont="1" applyBorder="1" applyAlignment="1" applyProtection="1">
      <alignment horizontal="center"/>
      <protection locked="0"/>
    </xf>
  </cellXfs>
  <cellStyles count="851">
    <cellStyle name="20 % – uthevingsfarge 2" xfId="844" builtinId="34"/>
    <cellStyle name="40% - uthevingsfarge 4 2" xfId="38" xr:uid="{00000000-0005-0000-0000-000001000000}"/>
    <cellStyle name="40% - uthevingsfarge 4 2 10" xfId="771" xr:uid="{00000000-0005-0000-0000-000002000000}"/>
    <cellStyle name="40% - uthevingsfarge 4 2 2" xfId="80" xr:uid="{00000000-0005-0000-0000-000003000000}"/>
    <cellStyle name="40% - uthevingsfarge 4 2 2 2" xfId="173" xr:uid="{00000000-0005-0000-0000-000004000000}"/>
    <cellStyle name="40% - uthevingsfarge 4 2 2 3" xfId="263" xr:uid="{00000000-0005-0000-0000-000005000000}"/>
    <cellStyle name="40% - uthevingsfarge 4 2 2 4" xfId="353" xr:uid="{00000000-0005-0000-0000-000006000000}"/>
    <cellStyle name="40% - uthevingsfarge 4 2 2 5" xfId="443" xr:uid="{00000000-0005-0000-0000-000007000000}"/>
    <cellStyle name="40% - uthevingsfarge 4 2 2 6" xfId="533" xr:uid="{00000000-0005-0000-0000-000008000000}"/>
    <cellStyle name="40% - uthevingsfarge 4 2 2 7" xfId="623" xr:uid="{00000000-0005-0000-0000-000009000000}"/>
    <cellStyle name="40% - uthevingsfarge 4 2 2 8" xfId="713" xr:uid="{00000000-0005-0000-0000-00000A000000}"/>
    <cellStyle name="40% - uthevingsfarge 4 2 2 9" xfId="810" xr:uid="{00000000-0005-0000-0000-00000B000000}"/>
    <cellStyle name="40% - uthevingsfarge 4 2 3" xfId="136" xr:uid="{00000000-0005-0000-0000-00000C000000}"/>
    <cellStyle name="40% - uthevingsfarge 4 2 4" xfId="226" xr:uid="{00000000-0005-0000-0000-00000D000000}"/>
    <cellStyle name="40% - uthevingsfarge 4 2 5" xfId="316" xr:uid="{00000000-0005-0000-0000-00000E000000}"/>
    <cellStyle name="40% - uthevingsfarge 4 2 6" xfId="406" xr:uid="{00000000-0005-0000-0000-00000F000000}"/>
    <cellStyle name="40% - uthevingsfarge 4 2 7" xfId="496" xr:uid="{00000000-0005-0000-0000-000010000000}"/>
    <cellStyle name="40% - uthevingsfarge 4 2 8" xfId="586" xr:uid="{00000000-0005-0000-0000-000011000000}"/>
    <cellStyle name="40% - uthevingsfarge 4 2 9" xfId="676" xr:uid="{00000000-0005-0000-0000-000012000000}"/>
    <cellStyle name="Hyperkobling" xfId="3" builtinId="8"/>
    <cellStyle name="Komma" xfId="2" builtinId="3"/>
    <cellStyle name="Komma 2" xfId="847" xr:uid="{00000000-0005-0000-0000-000015000000}"/>
    <cellStyle name="Komma 2 3" xfId="849" xr:uid="{0D7BB789-C0BC-4F58-B366-11FD845789ED}"/>
    <cellStyle name="Merknad 2" xfId="94" xr:uid="{00000000-0005-0000-0000-000016000000}"/>
    <cellStyle name="Normal" xfId="0" builtinId="0"/>
    <cellStyle name="Normal 10" xfId="31" xr:uid="{00000000-0005-0000-0000-000018000000}"/>
    <cellStyle name="Normal 10 10" xfId="670" xr:uid="{00000000-0005-0000-0000-000019000000}"/>
    <cellStyle name="Normal 10 11" xfId="765" xr:uid="{00000000-0005-0000-0000-00001A000000}"/>
    <cellStyle name="Normal 10 2" xfId="53" xr:uid="{00000000-0005-0000-0000-00001B000000}"/>
    <cellStyle name="Normal 10 2 10" xfId="785" xr:uid="{00000000-0005-0000-0000-00001C000000}"/>
    <cellStyle name="Normal 10 2 2" xfId="93" xr:uid="{00000000-0005-0000-0000-00001D000000}"/>
    <cellStyle name="Normal 10 2 2 10" xfId="823" xr:uid="{00000000-0005-0000-0000-00001E000000}"/>
    <cellStyle name="Normal 10 2 2 2" xfId="6" xr:uid="{00000000-0005-0000-0000-00001F000000}"/>
    <cellStyle name="Normal 10 2 2 2 2" xfId="116" xr:uid="{00000000-0005-0000-0000-000020000000}"/>
    <cellStyle name="Normal 10 2 2 3" xfId="186" xr:uid="{00000000-0005-0000-0000-000021000000}"/>
    <cellStyle name="Normal 10 2 2 4" xfId="276" xr:uid="{00000000-0005-0000-0000-000022000000}"/>
    <cellStyle name="Normal 10 2 2 5" xfId="366" xr:uid="{00000000-0005-0000-0000-000023000000}"/>
    <cellStyle name="Normal 10 2 2 6" xfId="456" xr:uid="{00000000-0005-0000-0000-000024000000}"/>
    <cellStyle name="Normal 10 2 2 7" xfId="546" xr:uid="{00000000-0005-0000-0000-000025000000}"/>
    <cellStyle name="Normal 10 2 2 8" xfId="636" xr:uid="{00000000-0005-0000-0000-000026000000}"/>
    <cellStyle name="Normal 10 2 2 9" xfId="726" xr:uid="{00000000-0005-0000-0000-000027000000}"/>
    <cellStyle name="Normal 10 2 3" xfId="149" xr:uid="{00000000-0005-0000-0000-000028000000}"/>
    <cellStyle name="Normal 10 2 4" xfId="239" xr:uid="{00000000-0005-0000-0000-000029000000}"/>
    <cellStyle name="Normal 10 2 5" xfId="329" xr:uid="{00000000-0005-0000-0000-00002A000000}"/>
    <cellStyle name="Normal 10 2 6" xfId="419" xr:uid="{00000000-0005-0000-0000-00002B000000}"/>
    <cellStyle name="Normal 10 2 7" xfId="509" xr:uid="{00000000-0005-0000-0000-00002C000000}"/>
    <cellStyle name="Normal 10 2 8" xfId="599" xr:uid="{00000000-0005-0000-0000-00002D000000}"/>
    <cellStyle name="Normal 10 2 9" xfId="689" xr:uid="{00000000-0005-0000-0000-00002E000000}"/>
    <cellStyle name="Normal 10 3" xfId="74" xr:uid="{00000000-0005-0000-0000-00002F000000}"/>
    <cellStyle name="Normal 10 3 2" xfId="167" xr:uid="{00000000-0005-0000-0000-000030000000}"/>
    <cellStyle name="Normal 10 3 3" xfId="257" xr:uid="{00000000-0005-0000-0000-000031000000}"/>
    <cellStyle name="Normal 10 3 4" xfId="347" xr:uid="{00000000-0005-0000-0000-000032000000}"/>
    <cellStyle name="Normal 10 3 5" xfId="437" xr:uid="{00000000-0005-0000-0000-000033000000}"/>
    <cellStyle name="Normal 10 3 6" xfId="527" xr:uid="{00000000-0005-0000-0000-000034000000}"/>
    <cellStyle name="Normal 10 3 7" xfId="617" xr:uid="{00000000-0005-0000-0000-000035000000}"/>
    <cellStyle name="Normal 10 3 8" xfId="707" xr:uid="{00000000-0005-0000-0000-000036000000}"/>
    <cellStyle name="Normal 10 3 9" xfId="804" xr:uid="{00000000-0005-0000-0000-000037000000}"/>
    <cellStyle name="Normal 10 4" xfId="130" xr:uid="{00000000-0005-0000-0000-000038000000}"/>
    <cellStyle name="Normal 10 5" xfId="220" xr:uid="{00000000-0005-0000-0000-000039000000}"/>
    <cellStyle name="Normal 10 6" xfId="310" xr:uid="{00000000-0005-0000-0000-00003A000000}"/>
    <cellStyle name="Normal 10 7" xfId="400" xr:uid="{00000000-0005-0000-0000-00003B000000}"/>
    <cellStyle name="Normal 10 8" xfId="490" xr:uid="{00000000-0005-0000-0000-00003C000000}"/>
    <cellStyle name="Normal 10 9" xfId="580" xr:uid="{00000000-0005-0000-0000-00003D000000}"/>
    <cellStyle name="Normal 11" xfId="35" xr:uid="{00000000-0005-0000-0000-00003E000000}"/>
    <cellStyle name="Normal 11 10" xfId="673" xr:uid="{00000000-0005-0000-0000-00003F000000}"/>
    <cellStyle name="Normal 11 11" xfId="768" xr:uid="{00000000-0005-0000-0000-000040000000}"/>
    <cellStyle name="Normal 11 2" xfId="57" xr:uid="{00000000-0005-0000-0000-000041000000}"/>
    <cellStyle name="Normal 11 2 10" xfId="788" xr:uid="{00000000-0005-0000-0000-000042000000}"/>
    <cellStyle name="Normal 11 2 2" xfId="97" xr:uid="{00000000-0005-0000-0000-000043000000}"/>
    <cellStyle name="Normal 11 2 2 2" xfId="189" xr:uid="{00000000-0005-0000-0000-000044000000}"/>
    <cellStyle name="Normal 11 2 2 3" xfId="279" xr:uid="{00000000-0005-0000-0000-000045000000}"/>
    <cellStyle name="Normal 11 2 2 4" xfId="369" xr:uid="{00000000-0005-0000-0000-000046000000}"/>
    <cellStyle name="Normal 11 2 2 5" xfId="459" xr:uid="{00000000-0005-0000-0000-000047000000}"/>
    <cellStyle name="Normal 11 2 2 6" xfId="549" xr:uid="{00000000-0005-0000-0000-000048000000}"/>
    <cellStyle name="Normal 11 2 2 7" xfId="639" xr:uid="{00000000-0005-0000-0000-000049000000}"/>
    <cellStyle name="Normal 11 2 2 8" xfId="729" xr:uid="{00000000-0005-0000-0000-00004A000000}"/>
    <cellStyle name="Normal 11 2 2 9" xfId="826" xr:uid="{00000000-0005-0000-0000-00004B000000}"/>
    <cellStyle name="Normal 11 2 3" xfId="152" xr:uid="{00000000-0005-0000-0000-00004C000000}"/>
    <cellStyle name="Normal 11 2 4" xfId="242" xr:uid="{00000000-0005-0000-0000-00004D000000}"/>
    <cellStyle name="Normal 11 2 5" xfId="332" xr:uid="{00000000-0005-0000-0000-00004E000000}"/>
    <cellStyle name="Normal 11 2 6" xfId="422" xr:uid="{00000000-0005-0000-0000-00004F000000}"/>
    <cellStyle name="Normal 11 2 7" xfId="512" xr:uid="{00000000-0005-0000-0000-000050000000}"/>
    <cellStyle name="Normal 11 2 8" xfId="602" xr:uid="{00000000-0005-0000-0000-000051000000}"/>
    <cellStyle name="Normal 11 2 9" xfId="692" xr:uid="{00000000-0005-0000-0000-000052000000}"/>
    <cellStyle name="Normal 11 3" xfId="77" xr:uid="{00000000-0005-0000-0000-000053000000}"/>
    <cellStyle name="Normal 11 3 2" xfId="170" xr:uid="{00000000-0005-0000-0000-000054000000}"/>
    <cellStyle name="Normal 11 3 3" xfId="260" xr:uid="{00000000-0005-0000-0000-000055000000}"/>
    <cellStyle name="Normal 11 3 4" xfId="350" xr:uid="{00000000-0005-0000-0000-000056000000}"/>
    <cellStyle name="Normal 11 3 5" xfId="440" xr:uid="{00000000-0005-0000-0000-000057000000}"/>
    <cellStyle name="Normal 11 3 6" xfId="530" xr:uid="{00000000-0005-0000-0000-000058000000}"/>
    <cellStyle name="Normal 11 3 7" xfId="620" xr:uid="{00000000-0005-0000-0000-000059000000}"/>
    <cellStyle name="Normal 11 3 8" xfId="710" xr:uid="{00000000-0005-0000-0000-00005A000000}"/>
    <cellStyle name="Normal 11 3 9" xfId="807" xr:uid="{00000000-0005-0000-0000-00005B000000}"/>
    <cellStyle name="Normal 11 4" xfId="133" xr:uid="{00000000-0005-0000-0000-00005C000000}"/>
    <cellStyle name="Normal 11 5" xfId="223" xr:uid="{00000000-0005-0000-0000-00005D000000}"/>
    <cellStyle name="Normal 11 6" xfId="313" xr:uid="{00000000-0005-0000-0000-00005E000000}"/>
    <cellStyle name="Normal 11 7" xfId="403" xr:uid="{00000000-0005-0000-0000-00005F000000}"/>
    <cellStyle name="Normal 11 8" xfId="493" xr:uid="{00000000-0005-0000-0000-000060000000}"/>
    <cellStyle name="Normal 11 9" xfId="583" xr:uid="{00000000-0005-0000-0000-000061000000}"/>
    <cellStyle name="Normal 12" xfId="100" xr:uid="{00000000-0005-0000-0000-000062000000}"/>
    <cellStyle name="Normal 12 2" xfId="192" xr:uid="{00000000-0005-0000-0000-000063000000}"/>
    <cellStyle name="Normal 12 3" xfId="282" xr:uid="{00000000-0005-0000-0000-000064000000}"/>
    <cellStyle name="Normal 12 4" xfId="372" xr:uid="{00000000-0005-0000-0000-000065000000}"/>
    <cellStyle name="Normal 12 5" xfId="462" xr:uid="{00000000-0005-0000-0000-000066000000}"/>
    <cellStyle name="Normal 12 6" xfId="552" xr:uid="{00000000-0005-0000-0000-000067000000}"/>
    <cellStyle name="Normal 12 7" xfId="642" xr:uid="{00000000-0005-0000-0000-000068000000}"/>
    <cellStyle name="Normal 12 8" xfId="732" xr:uid="{00000000-0005-0000-0000-000069000000}"/>
    <cellStyle name="Normal 12 9" xfId="829" xr:uid="{00000000-0005-0000-0000-00006A000000}"/>
    <cellStyle name="Normal 13" xfId="103" xr:uid="{00000000-0005-0000-0000-00006B000000}"/>
    <cellStyle name="Normal 13 2" xfId="195" xr:uid="{00000000-0005-0000-0000-00006C000000}"/>
    <cellStyle name="Normal 13 3" xfId="285" xr:uid="{00000000-0005-0000-0000-00006D000000}"/>
    <cellStyle name="Normal 13 4" xfId="375" xr:uid="{00000000-0005-0000-0000-00006E000000}"/>
    <cellStyle name="Normal 13 5" xfId="465" xr:uid="{00000000-0005-0000-0000-00006F000000}"/>
    <cellStyle name="Normal 13 6" xfId="555" xr:uid="{00000000-0005-0000-0000-000070000000}"/>
    <cellStyle name="Normal 13 7" xfId="645" xr:uid="{00000000-0005-0000-0000-000071000000}"/>
    <cellStyle name="Normal 13 8" xfId="735" xr:uid="{00000000-0005-0000-0000-000072000000}"/>
    <cellStyle name="Normal 13 9" xfId="832" xr:uid="{00000000-0005-0000-0000-000073000000}"/>
    <cellStyle name="Normal 14" xfId="106" xr:uid="{00000000-0005-0000-0000-000074000000}"/>
    <cellStyle name="Normal 14 2" xfId="198" xr:uid="{00000000-0005-0000-0000-000075000000}"/>
    <cellStyle name="Normal 14 3" xfId="288" xr:uid="{00000000-0005-0000-0000-000076000000}"/>
    <cellStyle name="Normal 14 4" xfId="378" xr:uid="{00000000-0005-0000-0000-000077000000}"/>
    <cellStyle name="Normal 14 5" xfId="468" xr:uid="{00000000-0005-0000-0000-000078000000}"/>
    <cellStyle name="Normal 14 6" xfId="558" xr:uid="{00000000-0005-0000-0000-000079000000}"/>
    <cellStyle name="Normal 14 7" xfId="648" xr:uid="{00000000-0005-0000-0000-00007A000000}"/>
    <cellStyle name="Normal 14 8" xfId="738" xr:uid="{00000000-0005-0000-0000-00007B000000}"/>
    <cellStyle name="Normal 14 9" xfId="835" xr:uid="{00000000-0005-0000-0000-00007C000000}"/>
    <cellStyle name="Normal 15" xfId="109" xr:uid="{00000000-0005-0000-0000-00007D000000}"/>
    <cellStyle name="Normal 15 2" xfId="201" xr:uid="{00000000-0005-0000-0000-00007E000000}"/>
    <cellStyle name="Normal 15 3" xfId="291" xr:uid="{00000000-0005-0000-0000-00007F000000}"/>
    <cellStyle name="Normal 15 4" xfId="381" xr:uid="{00000000-0005-0000-0000-000080000000}"/>
    <cellStyle name="Normal 15 5" xfId="471" xr:uid="{00000000-0005-0000-0000-000081000000}"/>
    <cellStyle name="Normal 15 6" xfId="561" xr:uid="{00000000-0005-0000-0000-000082000000}"/>
    <cellStyle name="Normal 15 7" xfId="651" xr:uid="{00000000-0005-0000-0000-000083000000}"/>
    <cellStyle name="Normal 15 8" xfId="741" xr:uid="{00000000-0005-0000-0000-000084000000}"/>
    <cellStyle name="Normal 15 9" xfId="838" xr:uid="{00000000-0005-0000-0000-000085000000}"/>
    <cellStyle name="Normal 16" xfId="112" xr:uid="{00000000-0005-0000-0000-000086000000}"/>
    <cellStyle name="Normal 16 2" xfId="204" xr:uid="{00000000-0005-0000-0000-000087000000}"/>
    <cellStyle name="Normal 16 3" xfId="294" xr:uid="{00000000-0005-0000-0000-000088000000}"/>
    <cellStyle name="Normal 16 4" xfId="384" xr:uid="{00000000-0005-0000-0000-000089000000}"/>
    <cellStyle name="Normal 16 5" xfId="474" xr:uid="{00000000-0005-0000-0000-00008A000000}"/>
    <cellStyle name="Normal 16 6" xfId="564" xr:uid="{00000000-0005-0000-0000-00008B000000}"/>
    <cellStyle name="Normal 16 7" xfId="654" xr:uid="{00000000-0005-0000-0000-00008C000000}"/>
    <cellStyle name="Normal 16 8" xfId="744" xr:uid="{00000000-0005-0000-0000-00008D000000}"/>
    <cellStyle name="Normal 16 9" xfId="841" xr:uid="{00000000-0005-0000-0000-00008E000000}"/>
    <cellStyle name="Normal 17" xfId="8" xr:uid="{00000000-0005-0000-0000-00008F000000}"/>
    <cellStyle name="Normal 18" xfId="10" xr:uid="{00000000-0005-0000-0000-000090000000}"/>
    <cellStyle name="Normal 19" xfId="117" xr:uid="{00000000-0005-0000-0000-000091000000}"/>
    <cellStyle name="Normal 2" xfId="1" xr:uid="{00000000-0005-0000-0000-000092000000}"/>
    <cellStyle name="Normal 2 2" xfId="7" xr:uid="{00000000-0005-0000-0000-000093000000}"/>
    <cellStyle name="Normal 2 3" xfId="20" xr:uid="{00000000-0005-0000-0000-000094000000}"/>
    <cellStyle name="Normal 2 4" xfId="39" xr:uid="{00000000-0005-0000-0000-000095000000}"/>
    <cellStyle name="Normal 2 5" xfId="60" xr:uid="{00000000-0005-0000-0000-000096000000}"/>
    <cellStyle name="Normal 20" xfId="207" xr:uid="{00000000-0005-0000-0000-000097000000}"/>
    <cellStyle name="Normal 21" xfId="297" xr:uid="{00000000-0005-0000-0000-000098000000}"/>
    <cellStyle name="Normal 22" xfId="387" xr:uid="{00000000-0005-0000-0000-000099000000}"/>
    <cellStyle name="Normal 23" xfId="477" xr:uid="{00000000-0005-0000-0000-00009A000000}"/>
    <cellStyle name="Normal 24" xfId="567" xr:uid="{00000000-0005-0000-0000-00009B000000}"/>
    <cellStyle name="Normal 25" xfId="657" xr:uid="{00000000-0005-0000-0000-00009C000000}"/>
    <cellStyle name="Normal 26" xfId="747" xr:uid="{00000000-0005-0000-0000-00009D000000}"/>
    <cellStyle name="Normal 27" xfId="850" xr:uid="{ED50C316-25E5-4ED7-8355-A3104735F1B2}"/>
    <cellStyle name="Normal 3" xfId="4" xr:uid="{00000000-0005-0000-0000-00009E000000}"/>
    <cellStyle name="Normal 3 10" xfId="104" xr:uid="{00000000-0005-0000-0000-00009F000000}"/>
    <cellStyle name="Normal 3 10 2" xfId="196" xr:uid="{00000000-0005-0000-0000-0000A0000000}"/>
    <cellStyle name="Normal 3 10 3" xfId="286" xr:uid="{00000000-0005-0000-0000-0000A1000000}"/>
    <cellStyle name="Normal 3 10 4" xfId="376" xr:uid="{00000000-0005-0000-0000-0000A2000000}"/>
    <cellStyle name="Normal 3 10 5" xfId="466" xr:uid="{00000000-0005-0000-0000-0000A3000000}"/>
    <cellStyle name="Normal 3 10 6" xfId="556" xr:uid="{00000000-0005-0000-0000-0000A4000000}"/>
    <cellStyle name="Normal 3 10 7" xfId="646" xr:uid="{00000000-0005-0000-0000-0000A5000000}"/>
    <cellStyle name="Normal 3 10 8" xfId="736" xr:uid="{00000000-0005-0000-0000-0000A6000000}"/>
    <cellStyle name="Normal 3 10 9" xfId="833" xr:uid="{00000000-0005-0000-0000-0000A7000000}"/>
    <cellStyle name="Normal 3 11" xfId="107" xr:uid="{00000000-0005-0000-0000-0000A8000000}"/>
    <cellStyle name="Normal 3 11 2" xfId="199" xr:uid="{00000000-0005-0000-0000-0000A9000000}"/>
    <cellStyle name="Normal 3 11 3" xfId="289" xr:uid="{00000000-0005-0000-0000-0000AA000000}"/>
    <cellStyle name="Normal 3 11 4" xfId="379" xr:uid="{00000000-0005-0000-0000-0000AB000000}"/>
    <cellStyle name="Normal 3 11 5" xfId="469" xr:uid="{00000000-0005-0000-0000-0000AC000000}"/>
    <cellStyle name="Normal 3 11 6" xfId="559" xr:uid="{00000000-0005-0000-0000-0000AD000000}"/>
    <cellStyle name="Normal 3 11 7" xfId="649" xr:uid="{00000000-0005-0000-0000-0000AE000000}"/>
    <cellStyle name="Normal 3 11 8" xfId="739" xr:uid="{00000000-0005-0000-0000-0000AF000000}"/>
    <cellStyle name="Normal 3 11 9" xfId="836" xr:uid="{00000000-0005-0000-0000-0000B0000000}"/>
    <cellStyle name="Normal 3 12" xfId="110" xr:uid="{00000000-0005-0000-0000-0000B1000000}"/>
    <cellStyle name="Normal 3 12 2" xfId="202" xr:uid="{00000000-0005-0000-0000-0000B2000000}"/>
    <cellStyle name="Normal 3 12 3" xfId="292" xr:uid="{00000000-0005-0000-0000-0000B3000000}"/>
    <cellStyle name="Normal 3 12 4" xfId="382" xr:uid="{00000000-0005-0000-0000-0000B4000000}"/>
    <cellStyle name="Normal 3 12 5" xfId="472" xr:uid="{00000000-0005-0000-0000-0000B5000000}"/>
    <cellStyle name="Normal 3 12 6" xfId="562" xr:uid="{00000000-0005-0000-0000-0000B6000000}"/>
    <cellStyle name="Normal 3 12 7" xfId="652" xr:uid="{00000000-0005-0000-0000-0000B7000000}"/>
    <cellStyle name="Normal 3 12 8" xfId="742" xr:uid="{00000000-0005-0000-0000-0000B8000000}"/>
    <cellStyle name="Normal 3 12 9" xfId="839" xr:uid="{00000000-0005-0000-0000-0000B9000000}"/>
    <cellStyle name="Normal 3 13" xfId="113" xr:uid="{00000000-0005-0000-0000-0000BA000000}"/>
    <cellStyle name="Normal 3 13 2" xfId="205" xr:uid="{00000000-0005-0000-0000-0000BB000000}"/>
    <cellStyle name="Normal 3 13 3" xfId="295" xr:uid="{00000000-0005-0000-0000-0000BC000000}"/>
    <cellStyle name="Normal 3 13 4" xfId="385" xr:uid="{00000000-0005-0000-0000-0000BD000000}"/>
    <cellStyle name="Normal 3 13 5" xfId="475" xr:uid="{00000000-0005-0000-0000-0000BE000000}"/>
    <cellStyle name="Normal 3 13 6" xfId="565" xr:uid="{00000000-0005-0000-0000-0000BF000000}"/>
    <cellStyle name="Normal 3 13 7" xfId="655" xr:uid="{00000000-0005-0000-0000-0000C0000000}"/>
    <cellStyle name="Normal 3 13 8" xfId="745" xr:uid="{00000000-0005-0000-0000-0000C1000000}"/>
    <cellStyle name="Normal 3 13 9" xfId="842" xr:uid="{00000000-0005-0000-0000-0000C2000000}"/>
    <cellStyle name="Normal 3 14" xfId="11" xr:uid="{00000000-0005-0000-0000-0000C3000000}"/>
    <cellStyle name="Normal 3 15" xfId="118" xr:uid="{00000000-0005-0000-0000-0000C4000000}"/>
    <cellStyle name="Normal 3 16" xfId="208" xr:uid="{00000000-0005-0000-0000-0000C5000000}"/>
    <cellStyle name="Normal 3 17" xfId="298" xr:uid="{00000000-0005-0000-0000-0000C6000000}"/>
    <cellStyle name="Normal 3 18" xfId="388" xr:uid="{00000000-0005-0000-0000-0000C7000000}"/>
    <cellStyle name="Normal 3 19" xfId="478" xr:uid="{00000000-0005-0000-0000-0000C8000000}"/>
    <cellStyle name="Normal 3 2" xfId="23" xr:uid="{00000000-0005-0000-0000-0000C9000000}"/>
    <cellStyle name="Normal 3 2 10" xfId="662" xr:uid="{00000000-0005-0000-0000-0000CA000000}"/>
    <cellStyle name="Normal 3 2 11" xfId="757" xr:uid="{00000000-0005-0000-0000-0000CB000000}"/>
    <cellStyle name="Normal 3 2 2" xfId="45" xr:uid="{00000000-0005-0000-0000-0000CC000000}"/>
    <cellStyle name="Normal 3 2 2 10" xfId="777" xr:uid="{00000000-0005-0000-0000-0000CD000000}"/>
    <cellStyle name="Normal 3 2 2 2" xfId="85" xr:uid="{00000000-0005-0000-0000-0000CE000000}"/>
    <cellStyle name="Normal 3 2 2 2 2" xfId="178" xr:uid="{00000000-0005-0000-0000-0000CF000000}"/>
    <cellStyle name="Normal 3 2 2 2 3" xfId="268" xr:uid="{00000000-0005-0000-0000-0000D0000000}"/>
    <cellStyle name="Normal 3 2 2 2 4" xfId="358" xr:uid="{00000000-0005-0000-0000-0000D1000000}"/>
    <cellStyle name="Normal 3 2 2 2 5" xfId="448" xr:uid="{00000000-0005-0000-0000-0000D2000000}"/>
    <cellStyle name="Normal 3 2 2 2 6" xfId="538" xr:uid="{00000000-0005-0000-0000-0000D3000000}"/>
    <cellStyle name="Normal 3 2 2 2 7" xfId="628" xr:uid="{00000000-0005-0000-0000-0000D4000000}"/>
    <cellStyle name="Normal 3 2 2 2 8" xfId="718" xr:uid="{00000000-0005-0000-0000-0000D5000000}"/>
    <cellStyle name="Normal 3 2 2 2 9" xfId="815" xr:uid="{00000000-0005-0000-0000-0000D6000000}"/>
    <cellStyle name="Normal 3 2 2 3" xfId="141" xr:uid="{00000000-0005-0000-0000-0000D7000000}"/>
    <cellStyle name="Normal 3 2 2 4" xfId="231" xr:uid="{00000000-0005-0000-0000-0000D8000000}"/>
    <cellStyle name="Normal 3 2 2 5" xfId="321" xr:uid="{00000000-0005-0000-0000-0000D9000000}"/>
    <cellStyle name="Normal 3 2 2 6" xfId="411" xr:uid="{00000000-0005-0000-0000-0000DA000000}"/>
    <cellStyle name="Normal 3 2 2 7" xfId="501" xr:uid="{00000000-0005-0000-0000-0000DB000000}"/>
    <cellStyle name="Normal 3 2 2 8" xfId="591" xr:uid="{00000000-0005-0000-0000-0000DC000000}"/>
    <cellStyle name="Normal 3 2 2 9" xfId="681" xr:uid="{00000000-0005-0000-0000-0000DD000000}"/>
    <cellStyle name="Normal 3 2 3" xfId="66" xr:uid="{00000000-0005-0000-0000-0000DE000000}"/>
    <cellStyle name="Normal 3 2 3 2" xfId="159" xr:uid="{00000000-0005-0000-0000-0000DF000000}"/>
    <cellStyle name="Normal 3 2 3 3" xfId="249" xr:uid="{00000000-0005-0000-0000-0000E0000000}"/>
    <cellStyle name="Normal 3 2 3 4" xfId="339" xr:uid="{00000000-0005-0000-0000-0000E1000000}"/>
    <cellStyle name="Normal 3 2 3 5" xfId="429" xr:uid="{00000000-0005-0000-0000-0000E2000000}"/>
    <cellStyle name="Normal 3 2 3 6" xfId="519" xr:uid="{00000000-0005-0000-0000-0000E3000000}"/>
    <cellStyle name="Normal 3 2 3 7" xfId="609" xr:uid="{00000000-0005-0000-0000-0000E4000000}"/>
    <cellStyle name="Normal 3 2 3 8" xfId="699" xr:uid="{00000000-0005-0000-0000-0000E5000000}"/>
    <cellStyle name="Normal 3 2 3 9" xfId="796" xr:uid="{00000000-0005-0000-0000-0000E6000000}"/>
    <cellStyle name="Normal 3 2 4" xfId="122" xr:uid="{00000000-0005-0000-0000-0000E7000000}"/>
    <cellStyle name="Normal 3 2 5" xfId="212" xr:uid="{00000000-0005-0000-0000-0000E8000000}"/>
    <cellStyle name="Normal 3 2 6" xfId="302" xr:uid="{00000000-0005-0000-0000-0000E9000000}"/>
    <cellStyle name="Normal 3 2 7" xfId="392" xr:uid="{00000000-0005-0000-0000-0000EA000000}"/>
    <cellStyle name="Normal 3 2 8" xfId="482" xr:uid="{00000000-0005-0000-0000-0000EB000000}"/>
    <cellStyle name="Normal 3 2 9" xfId="572" xr:uid="{00000000-0005-0000-0000-0000EC000000}"/>
    <cellStyle name="Normal 3 20" xfId="568" xr:uid="{00000000-0005-0000-0000-0000ED000000}"/>
    <cellStyle name="Normal 3 21" xfId="658" xr:uid="{00000000-0005-0000-0000-0000EE000000}"/>
    <cellStyle name="Normal 3 22" xfId="748" xr:uid="{00000000-0005-0000-0000-0000EF000000}"/>
    <cellStyle name="Normal 3 3" xfId="26" xr:uid="{00000000-0005-0000-0000-0000F0000000}"/>
    <cellStyle name="Normal 3 3 10" xfId="665" xr:uid="{00000000-0005-0000-0000-0000F1000000}"/>
    <cellStyle name="Normal 3 3 11" xfId="760" xr:uid="{00000000-0005-0000-0000-0000F2000000}"/>
    <cellStyle name="Normal 3 3 2" xfId="48" xr:uid="{00000000-0005-0000-0000-0000F3000000}"/>
    <cellStyle name="Normal 3 3 2 10" xfId="780" xr:uid="{00000000-0005-0000-0000-0000F4000000}"/>
    <cellStyle name="Normal 3 3 2 2" xfId="88" xr:uid="{00000000-0005-0000-0000-0000F5000000}"/>
    <cellStyle name="Normal 3 3 2 2 2" xfId="181" xr:uid="{00000000-0005-0000-0000-0000F6000000}"/>
    <cellStyle name="Normal 3 3 2 2 3" xfId="271" xr:uid="{00000000-0005-0000-0000-0000F7000000}"/>
    <cellStyle name="Normal 3 3 2 2 4" xfId="361" xr:uid="{00000000-0005-0000-0000-0000F8000000}"/>
    <cellStyle name="Normal 3 3 2 2 5" xfId="451" xr:uid="{00000000-0005-0000-0000-0000F9000000}"/>
    <cellStyle name="Normal 3 3 2 2 6" xfId="541" xr:uid="{00000000-0005-0000-0000-0000FA000000}"/>
    <cellStyle name="Normal 3 3 2 2 7" xfId="631" xr:uid="{00000000-0005-0000-0000-0000FB000000}"/>
    <cellStyle name="Normal 3 3 2 2 8" xfId="721" xr:uid="{00000000-0005-0000-0000-0000FC000000}"/>
    <cellStyle name="Normal 3 3 2 2 9" xfId="818" xr:uid="{00000000-0005-0000-0000-0000FD000000}"/>
    <cellStyle name="Normal 3 3 2 3" xfId="144" xr:uid="{00000000-0005-0000-0000-0000FE000000}"/>
    <cellStyle name="Normal 3 3 2 4" xfId="234" xr:uid="{00000000-0005-0000-0000-0000FF000000}"/>
    <cellStyle name="Normal 3 3 2 5" xfId="324" xr:uid="{00000000-0005-0000-0000-000000010000}"/>
    <cellStyle name="Normal 3 3 2 6" xfId="414" xr:uid="{00000000-0005-0000-0000-000001010000}"/>
    <cellStyle name="Normal 3 3 2 7" xfId="504" xr:uid="{00000000-0005-0000-0000-000002010000}"/>
    <cellStyle name="Normal 3 3 2 8" xfId="594" xr:uid="{00000000-0005-0000-0000-000003010000}"/>
    <cellStyle name="Normal 3 3 2 9" xfId="684" xr:uid="{00000000-0005-0000-0000-000004010000}"/>
    <cellStyle name="Normal 3 3 3" xfId="69" xr:uid="{00000000-0005-0000-0000-000005010000}"/>
    <cellStyle name="Normal 3 3 3 2" xfId="162" xr:uid="{00000000-0005-0000-0000-000006010000}"/>
    <cellStyle name="Normal 3 3 3 3" xfId="252" xr:uid="{00000000-0005-0000-0000-000007010000}"/>
    <cellStyle name="Normal 3 3 3 4" xfId="342" xr:uid="{00000000-0005-0000-0000-000008010000}"/>
    <cellStyle name="Normal 3 3 3 5" xfId="432" xr:uid="{00000000-0005-0000-0000-000009010000}"/>
    <cellStyle name="Normal 3 3 3 6" xfId="522" xr:uid="{00000000-0005-0000-0000-00000A010000}"/>
    <cellStyle name="Normal 3 3 3 7" xfId="612" xr:uid="{00000000-0005-0000-0000-00000B010000}"/>
    <cellStyle name="Normal 3 3 3 8" xfId="702" xr:uid="{00000000-0005-0000-0000-00000C010000}"/>
    <cellStyle name="Normal 3 3 3 9" xfId="799" xr:uid="{00000000-0005-0000-0000-00000D010000}"/>
    <cellStyle name="Normal 3 3 4" xfId="125" xr:uid="{00000000-0005-0000-0000-00000E010000}"/>
    <cellStyle name="Normal 3 3 5" xfId="215" xr:uid="{00000000-0005-0000-0000-00000F010000}"/>
    <cellStyle name="Normal 3 3 6" xfId="305" xr:uid="{00000000-0005-0000-0000-000010010000}"/>
    <cellStyle name="Normal 3 3 7" xfId="395" xr:uid="{00000000-0005-0000-0000-000011010000}"/>
    <cellStyle name="Normal 3 3 8" xfId="485" xr:uid="{00000000-0005-0000-0000-000012010000}"/>
    <cellStyle name="Normal 3 3 9" xfId="575" xr:uid="{00000000-0005-0000-0000-000013010000}"/>
    <cellStyle name="Normal 3 4" xfId="29" xr:uid="{00000000-0005-0000-0000-000014010000}"/>
    <cellStyle name="Normal 3 4 10" xfId="668" xr:uid="{00000000-0005-0000-0000-000015010000}"/>
    <cellStyle name="Normal 3 4 11" xfId="763" xr:uid="{00000000-0005-0000-0000-000016010000}"/>
    <cellStyle name="Normal 3 4 2" xfId="51" xr:uid="{00000000-0005-0000-0000-000017010000}"/>
    <cellStyle name="Normal 3 4 2 10" xfId="783" xr:uid="{00000000-0005-0000-0000-000018010000}"/>
    <cellStyle name="Normal 3 4 2 2" xfId="91" xr:uid="{00000000-0005-0000-0000-000019010000}"/>
    <cellStyle name="Normal 3 4 2 2 2" xfId="184" xr:uid="{00000000-0005-0000-0000-00001A010000}"/>
    <cellStyle name="Normal 3 4 2 2 3" xfId="274" xr:uid="{00000000-0005-0000-0000-00001B010000}"/>
    <cellStyle name="Normal 3 4 2 2 4" xfId="364" xr:uid="{00000000-0005-0000-0000-00001C010000}"/>
    <cellStyle name="Normal 3 4 2 2 5" xfId="454" xr:uid="{00000000-0005-0000-0000-00001D010000}"/>
    <cellStyle name="Normal 3 4 2 2 6" xfId="544" xr:uid="{00000000-0005-0000-0000-00001E010000}"/>
    <cellStyle name="Normal 3 4 2 2 7" xfId="634" xr:uid="{00000000-0005-0000-0000-00001F010000}"/>
    <cellStyle name="Normal 3 4 2 2 8" xfId="724" xr:uid="{00000000-0005-0000-0000-000020010000}"/>
    <cellStyle name="Normal 3 4 2 2 9" xfId="821" xr:uid="{00000000-0005-0000-0000-000021010000}"/>
    <cellStyle name="Normal 3 4 2 3" xfId="147" xr:uid="{00000000-0005-0000-0000-000022010000}"/>
    <cellStyle name="Normal 3 4 2 4" xfId="237" xr:uid="{00000000-0005-0000-0000-000023010000}"/>
    <cellStyle name="Normal 3 4 2 5" xfId="327" xr:uid="{00000000-0005-0000-0000-000024010000}"/>
    <cellStyle name="Normal 3 4 2 6" xfId="417" xr:uid="{00000000-0005-0000-0000-000025010000}"/>
    <cellStyle name="Normal 3 4 2 7" xfId="507" xr:uid="{00000000-0005-0000-0000-000026010000}"/>
    <cellStyle name="Normal 3 4 2 8" xfId="597" xr:uid="{00000000-0005-0000-0000-000027010000}"/>
    <cellStyle name="Normal 3 4 2 9" xfId="687" xr:uid="{00000000-0005-0000-0000-000028010000}"/>
    <cellStyle name="Normal 3 4 3" xfId="72" xr:uid="{00000000-0005-0000-0000-000029010000}"/>
    <cellStyle name="Normal 3 4 3 2" xfId="165" xr:uid="{00000000-0005-0000-0000-00002A010000}"/>
    <cellStyle name="Normal 3 4 3 3" xfId="255" xr:uid="{00000000-0005-0000-0000-00002B010000}"/>
    <cellStyle name="Normal 3 4 3 4" xfId="345" xr:uid="{00000000-0005-0000-0000-00002C010000}"/>
    <cellStyle name="Normal 3 4 3 5" xfId="435" xr:uid="{00000000-0005-0000-0000-00002D010000}"/>
    <cellStyle name="Normal 3 4 3 6" xfId="525" xr:uid="{00000000-0005-0000-0000-00002E010000}"/>
    <cellStyle name="Normal 3 4 3 7" xfId="615" xr:uid="{00000000-0005-0000-0000-00002F010000}"/>
    <cellStyle name="Normal 3 4 3 8" xfId="705" xr:uid="{00000000-0005-0000-0000-000030010000}"/>
    <cellStyle name="Normal 3 4 3 9" xfId="802" xr:uid="{00000000-0005-0000-0000-000031010000}"/>
    <cellStyle name="Normal 3 4 4" xfId="128" xr:uid="{00000000-0005-0000-0000-000032010000}"/>
    <cellStyle name="Normal 3 4 5" xfId="218" xr:uid="{00000000-0005-0000-0000-000033010000}"/>
    <cellStyle name="Normal 3 4 6" xfId="308" xr:uid="{00000000-0005-0000-0000-000034010000}"/>
    <cellStyle name="Normal 3 4 7" xfId="398" xr:uid="{00000000-0005-0000-0000-000035010000}"/>
    <cellStyle name="Normal 3 4 8" xfId="488" xr:uid="{00000000-0005-0000-0000-000036010000}"/>
    <cellStyle name="Normal 3 4 9" xfId="578" xr:uid="{00000000-0005-0000-0000-000037010000}"/>
    <cellStyle name="Normal 3 5" xfId="33" xr:uid="{00000000-0005-0000-0000-000038010000}"/>
    <cellStyle name="Normal 3 5 10" xfId="671" xr:uid="{00000000-0005-0000-0000-000039010000}"/>
    <cellStyle name="Normal 3 5 11" xfId="766" xr:uid="{00000000-0005-0000-0000-00003A010000}"/>
    <cellStyle name="Normal 3 5 2" xfId="55" xr:uid="{00000000-0005-0000-0000-00003B010000}"/>
    <cellStyle name="Normal 3 5 2 10" xfId="786" xr:uid="{00000000-0005-0000-0000-00003C010000}"/>
    <cellStyle name="Normal 3 5 2 2" xfId="95" xr:uid="{00000000-0005-0000-0000-00003D010000}"/>
    <cellStyle name="Normal 3 5 2 2 2" xfId="187" xr:uid="{00000000-0005-0000-0000-00003E010000}"/>
    <cellStyle name="Normal 3 5 2 2 3" xfId="277" xr:uid="{00000000-0005-0000-0000-00003F010000}"/>
    <cellStyle name="Normal 3 5 2 2 4" xfId="367" xr:uid="{00000000-0005-0000-0000-000040010000}"/>
    <cellStyle name="Normal 3 5 2 2 5" xfId="457" xr:uid="{00000000-0005-0000-0000-000041010000}"/>
    <cellStyle name="Normal 3 5 2 2 6" xfId="547" xr:uid="{00000000-0005-0000-0000-000042010000}"/>
    <cellStyle name="Normal 3 5 2 2 7" xfId="637" xr:uid="{00000000-0005-0000-0000-000043010000}"/>
    <cellStyle name="Normal 3 5 2 2 8" xfId="727" xr:uid="{00000000-0005-0000-0000-000044010000}"/>
    <cellStyle name="Normal 3 5 2 2 9" xfId="824" xr:uid="{00000000-0005-0000-0000-000045010000}"/>
    <cellStyle name="Normal 3 5 2 3" xfId="150" xr:uid="{00000000-0005-0000-0000-000046010000}"/>
    <cellStyle name="Normal 3 5 2 4" xfId="240" xr:uid="{00000000-0005-0000-0000-000047010000}"/>
    <cellStyle name="Normal 3 5 2 5" xfId="330" xr:uid="{00000000-0005-0000-0000-000048010000}"/>
    <cellStyle name="Normal 3 5 2 6" xfId="420" xr:uid="{00000000-0005-0000-0000-000049010000}"/>
    <cellStyle name="Normal 3 5 2 7" xfId="510" xr:uid="{00000000-0005-0000-0000-00004A010000}"/>
    <cellStyle name="Normal 3 5 2 8" xfId="600" xr:uid="{00000000-0005-0000-0000-00004B010000}"/>
    <cellStyle name="Normal 3 5 2 9" xfId="690" xr:uid="{00000000-0005-0000-0000-00004C010000}"/>
    <cellStyle name="Normal 3 5 3" xfId="75" xr:uid="{00000000-0005-0000-0000-00004D010000}"/>
    <cellStyle name="Normal 3 5 3 2" xfId="168" xr:uid="{00000000-0005-0000-0000-00004E010000}"/>
    <cellStyle name="Normal 3 5 3 3" xfId="258" xr:uid="{00000000-0005-0000-0000-00004F010000}"/>
    <cellStyle name="Normal 3 5 3 4" xfId="348" xr:uid="{00000000-0005-0000-0000-000050010000}"/>
    <cellStyle name="Normal 3 5 3 5" xfId="438" xr:uid="{00000000-0005-0000-0000-000051010000}"/>
    <cellStyle name="Normal 3 5 3 6" xfId="528" xr:uid="{00000000-0005-0000-0000-000052010000}"/>
    <cellStyle name="Normal 3 5 3 7" xfId="618" xr:uid="{00000000-0005-0000-0000-000053010000}"/>
    <cellStyle name="Normal 3 5 3 8" xfId="708" xr:uid="{00000000-0005-0000-0000-000054010000}"/>
    <cellStyle name="Normal 3 5 3 9" xfId="805" xr:uid="{00000000-0005-0000-0000-000055010000}"/>
    <cellStyle name="Normal 3 5 4" xfId="131" xr:uid="{00000000-0005-0000-0000-000056010000}"/>
    <cellStyle name="Normal 3 5 5" xfId="221" xr:uid="{00000000-0005-0000-0000-000057010000}"/>
    <cellStyle name="Normal 3 5 6" xfId="311" xr:uid="{00000000-0005-0000-0000-000058010000}"/>
    <cellStyle name="Normal 3 5 7" xfId="401" xr:uid="{00000000-0005-0000-0000-000059010000}"/>
    <cellStyle name="Normal 3 5 8" xfId="491" xr:uid="{00000000-0005-0000-0000-00005A010000}"/>
    <cellStyle name="Normal 3 5 9" xfId="581" xr:uid="{00000000-0005-0000-0000-00005B010000}"/>
    <cellStyle name="Normal 3 6" xfId="36" xr:uid="{00000000-0005-0000-0000-00005C010000}"/>
    <cellStyle name="Normal 3 6 10" xfId="674" xr:uid="{00000000-0005-0000-0000-00005D010000}"/>
    <cellStyle name="Normal 3 6 11" xfId="769" xr:uid="{00000000-0005-0000-0000-00005E010000}"/>
    <cellStyle name="Normal 3 6 2" xfId="58" xr:uid="{00000000-0005-0000-0000-00005F010000}"/>
    <cellStyle name="Normal 3 6 2 10" xfId="789" xr:uid="{00000000-0005-0000-0000-000060010000}"/>
    <cellStyle name="Normal 3 6 2 2" xfId="98" xr:uid="{00000000-0005-0000-0000-000061010000}"/>
    <cellStyle name="Normal 3 6 2 2 2" xfId="190" xr:uid="{00000000-0005-0000-0000-000062010000}"/>
    <cellStyle name="Normal 3 6 2 2 3" xfId="280" xr:uid="{00000000-0005-0000-0000-000063010000}"/>
    <cellStyle name="Normal 3 6 2 2 4" xfId="370" xr:uid="{00000000-0005-0000-0000-000064010000}"/>
    <cellStyle name="Normal 3 6 2 2 5" xfId="460" xr:uid="{00000000-0005-0000-0000-000065010000}"/>
    <cellStyle name="Normal 3 6 2 2 6" xfId="550" xr:uid="{00000000-0005-0000-0000-000066010000}"/>
    <cellStyle name="Normal 3 6 2 2 7" xfId="640" xr:uid="{00000000-0005-0000-0000-000067010000}"/>
    <cellStyle name="Normal 3 6 2 2 8" xfId="730" xr:uid="{00000000-0005-0000-0000-000068010000}"/>
    <cellStyle name="Normal 3 6 2 2 9" xfId="827" xr:uid="{00000000-0005-0000-0000-000069010000}"/>
    <cellStyle name="Normal 3 6 2 3" xfId="153" xr:uid="{00000000-0005-0000-0000-00006A010000}"/>
    <cellStyle name="Normal 3 6 2 4" xfId="243" xr:uid="{00000000-0005-0000-0000-00006B010000}"/>
    <cellStyle name="Normal 3 6 2 5" xfId="333" xr:uid="{00000000-0005-0000-0000-00006C010000}"/>
    <cellStyle name="Normal 3 6 2 6" xfId="423" xr:uid="{00000000-0005-0000-0000-00006D010000}"/>
    <cellStyle name="Normal 3 6 2 7" xfId="513" xr:uid="{00000000-0005-0000-0000-00006E010000}"/>
    <cellStyle name="Normal 3 6 2 8" xfId="603" xr:uid="{00000000-0005-0000-0000-00006F010000}"/>
    <cellStyle name="Normal 3 6 2 9" xfId="693" xr:uid="{00000000-0005-0000-0000-000070010000}"/>
    <cellStyle name="Normal 3 6 3" xfId="78" xr:uid="{00000000-0005-0000-0000-000071010000}"/>
    <cellStyle name="Normal 3 6 3 2" xfId="171" xr:uid="{00000000-0005-0000-0000-000072010000}"/>
    <cellStyle name="Normal 3 6 3 3" xfId="261" xr:uid="{00000000-0005-0000-0000-000073010000}"/>
    <cellStyle name="Normal 3 6 3 4" xfId="351" xr:uid="{00000000-0005-0000-0000-000074010000}"/>
    <cellStyle name="Normal 3 6 3 5" xfId="441" xr:uid="{00000000-0005-0000-0000-000075010000}"/>
    <cellStyle name="Normal 3 6 3 6" xfId="531" xr:uid="{00000000-0005-0000-0000-000076010000}"/>
    <cellStyle name="Normal 3 6 3 7" xfId="621" xr:uid="{00000000-0005-0000-0000-000077010000}"/>
    <cellStyle name="Normal 3 6 3 8" xfId="711" xr:uid="{00000000-0005-0000-0000-000078010000}"/>
    <cellStyle name="Normal 3 6 3 9" xfId="808" xr:uid="{00000000-0005-0000-0000-000079010000}"/>
    <cellStyle name="Normal 3 6 4" xfId="134" xr:uid="{00000000-0005-0000-0000-00007A010000}"/>
    <cellStyle name="Normal 3 6 5" xfId="224" xr:uid="{00000000-0005-0000-0000-00007B010000}"/>
    <cellStyle name="Normal 3 6 6" xfId="314" xr:uid="{00000000-0005-0000-0000-00007C010000}"/>
    <cellStyle name="Normal 3 6 7" xfId="404" xr:uid="{00000000-0005-0000-0000-00007D010000}"/>
    <cellStyle name="Normal 3 6 8" xfId="494" xr:uid="{00000000-0005-0000-0000-00007E010000}"/>
    <cellStyle name="Normal 3 6 9" xfId="584" xr:uid="{00000000-0005-0000-0000-00007F010000}"/>
    <cellStyle name="Normal 3 7" xfId="42" xr:uid="{00000000-0005-0000-0000-000080010000}"/>
    <cellStyle name="Normal 3 7 10" xfId="774" xr:uid="{00000000-0005-0000-0000-000081010000}"/>
    <cellStyle name="Normal 3 7 2" xfId="82" xr:uid="{00000000-0005-0000-0000-000082010000}"/>
    <cellStyle name="Normal 3 7 2 2" xfId="175" xr:uid="{00000000-0005-0000-0000-000083010000}"/>
    <cellStyle name="Normal 3 7 2 3" xfId="265" xr:uid="{00000000-0005-0000-0000-000084010000}"/>
    <cellStyle name="Normal 3 7 2 4" xfId="355" xr:uid="{00000000-0005-0000-0000-000085010000}"/>
    <cellStyle name="Normal 3 7 2 5" xfId="445" xr:uid="{00000000-0005-0000-0000-000086010000}"/>
    <cellStyle name="Normal 3 7 2 6" xfId="535" xr:uid="{00000000-0005-0000-0000-000087010000}"/>
    <cellStyle name="Normal 3 7 2 7" xfId="625" xr:uid="{00000000-0005-0000-0000-000088010000}"/>
    <cellStyle name="Normal 3 7 2 8" xfId="715" xr:uid="{00000000-0005-0000-0000-000089010000}"/>
    <cellStyle name="Normal 3 7 2 9" xfId="812" xr:uid="{00000000-0005-0000-0000-00008A010000}"/>
    <cellStyle name="Normal 3 7 3" xfId="138" xr:uid="{00000000-0005-0000-0000-00008B010000}"/>
    <cellStyle name="Normal 3 7 4" xfId="228" xr:uid="{00000000-0005-0000-0000-00008C010000}"/>
    <cellStyle name="Normal 3 7 5" xfId="318" xr:uid="{00000000-0005-0000-0000-00008D010000}"/>
    <cellStyle name="Normal 3 7 6" xfId="408" xr:uid="{00000000-0005-0000-0000-00008E010000}"/>
    <cellStyle name="Normal 3 7 7" xfId="498" xr:uid="{00000000-0005-0000-0000-00008F010000}"/>
    <cellStyle name="Normal 3 7 8" xfId="588" xr:uid="{00000000-0005-0000-0000-000090010000}"/>
    <cellStyle name="Normal 3 7 9" xfId="678" xr:uid="{00000000-0005-0000-0000-000091010000}"/>
    <cellStyle name="Normal 3 8" xfId="63" xr:uid="{00000000-0005-0000-0000-000092010000}"/>
    <cellStyle name="Normal 3 8 2" xfId="156" xr:uid="{00000000-0005-0000-0000-000093010000}"/>
    <cellStyle name="Normal 3 8 3" xfId="246" xr:uid="{00000000-0005-0000-0000-000094010000}"/>
    <cellStyle name="Normal 3 8 4" xfId="336" xr:uid="{00000000-0005-0000-0000-000095010000}"/>
    <cellStyle name="Normal 3 8 5" xfId="426" xr:uid="{00000000-0005-0000-0000-000096010000}"/>
    <cellStyle name="Normal 3 8 6" xfId="516" xr:uid="{00000000-0005-0000-0000-000097010000}"/>
    <cellStyle name="Normal 3 8 7" xfId="606" xr:uid="{00000000-0005-0000-0000-000098010000}"/>
    <cellStyle name="Normal 3 8 8" xfId="696" xr:uid="{00000000-0005-0000-0000-000099010000}"/>
    <cellStyle name="Normal 3 8 9" xfId="793" xr:uid="{00000000-0005-0000-0000-00009A010000}"/>
    <cellStyle name="Normal 3 9" xfId="101" xr:uid="{00000000-0005-0000-0000-00009B010000}"/>
    <cellStyle name="Normal 3 9 2" xfId="193" xr:uid="{00000000-0005-0000-0000-00009C010000}"/>
    <cellStyle name="Normal 3 9 3" xfId="283" xr:uid="{00000000-0005-0000-0000-00009D010000}"/>
    <cellStyle name="Normal 3 9 4" xfId="373" xr:uid="{00000000-0005-0000-0000-00009E010000}"/>
    <cellStyle name="Normal 3 9 5" xfId="463" xr:uid="{00000000-0005-0000-0000-00009F010000}"/>
    <cellStyle name="Normal 3 9 6" xfId="553" xr:uid="{00000000-0005-0000-0000-0000A0010000}"/>
    <cellStyle name="Normal 3 9 7" xfId="643" xr:uid="{00000000-0005-0000-0000-0000A1010000}"/>
    <cellStyle name="Normal 3 9 8" xfId="733" xr:uid="{00000000-0005-0000-0000-0000A2010000}"/>
    <cellStyle name="Normal 3 9 9" xfId="830" xr:uid="{00000000-0005-0000-0000-0000A3010000}"/>
    <cellStyle name="Normal 4" xfId="12" xr:uid="{00000000-0005-0000-0000-0000A4010000}"/>
    <cellStyle name="Normal 5" xfId="9" xr:uid="{00000000-0005-0000-0000-0000A5010000}"/>
    <cellStyle name="Normal 5 2" xfId="5" xr:uid="{00000000-0005-0000-0000-0000A6010000}"/>
    <cellStyle name="Normal 5 3" xfId="32" xr:uid="{00000000-0005-0000-0000-0000A7010000}"/>
    <cellStyle name="Normal 5 3 2" xfId="54" xr:uid="{00000000-0005-0000-0000-0000A8010000}"/>
    <cellStyle name="Normal 5 4" xfId="19" xr:uid="{00000000-0005-0000-0000-0000A9010000}"/>
    <cellStyle name="Normal 6" xfId="18" xr:uid="{00000000-0005-0000-0000-0000AA010000}"/>
    <cellStyle name="Normal 6 10" xfId="660" xr:uid="{00000000-0005-0000-0000-0000AB010000}"/>
    <cellStyle name="Normal 6 11" xfId="754" xr:uid="{00000000-0005-0000-0000-0000AC010000}"/>
    <cellStyle name="Normal 6 2" xfId="41" xr:uid="{00000000-0005-0000-0000-0000AD010000}"/>
    <cellStyle name="Normal 6 2 10" xfId="773" xr:uid="{00000000-0005-0000-0000-0000AE010000}"/>
    <cellStyle name="Normal 6 2 2" xfId="81" xr:uid="{00000000-0005-0000-0000-0000AF010000}"/>
    <cellStyle name="Normal 6 2 2 2" xfId="174" xr:uid="{00000000-0005-0000-0000-0000B0010000}"/>
    <cellStyle name="Normal 6 2 2 3" xfId="264" xr:uid="{00000000-0005-0000-0000-0000B1010000}"/>
    <cellStyle name="Normal 6 2 2 4" xfId="354" xr:uid="{00000000-0005-0000-0000-0000B2010000}"/>
    <cellStyle name="Normal 6 2 2 5" xfId="444" xr:uid="{00000000-0005-0000-0000-0000B3010000}"/>
    <cellStyle name="Normal 6 2 2 6" xfId="534" xr:uid="{00000000-0005-0000-0000-0000B4010000}"/>
    <cellStyle name="Normal 6 2 2 7" xfId="624" xr:uid="{00000000-0005-0000-0000-0000B5010000}"/>
    <cellStyle name="Normal 6 2 2 8" xfId="714" xr:uid="{00000000-0005-0000-0000-0000B6010000}"/>
    <cellStyle name="Normal 6 2 2 9" xfId="811" xr:uid="{00000000-0005-0000-0000-0000B7010000}"/>
    <cellStyle name="Normal 6 2 3" xfId="137" xr:uid="{00000000-0005-0000-0000-0000B8010000}"/>
    <cellStyle name="Normal 6 2 4" xfId="227" xr:uid="{00000000-0005-0000-0000-0000B9010000}"/>
    <cellStyle name="Normal 6 2 5" xfId="317" xr:uid="{00000000-0005-0000-0000-0000BA010000}"/>
    <cellStyle name="Normal 6 2 6" xfId="407" xr:uid="{00000000-0005-0000-0000-0000BB010000}"/>
    <cellStyle name="Normal 6 2 7" xfId="497" xr:uid="{00000000-0005-0000-0000-0000BC010000}"/>
    <cellStyle name="Normal 6 2 8" xfId="587" xr:uid="{00000000-0005-0000-0000-0000BD010000}"/>
    <cellStyle name="Normal 6 2 9" xfId="677" xr:uid="{00000000-0005-0000-0000-0000BE010000}"/>
    <cellStyle name="Normal 6 3" xfId="62" xr:uid="{00000000-0005-0000-0000-0000BF010000}"/>
    <cellStyle name="Normal 6 3 2" xfId="155" xr:uid="{00000000-0005-0000-0000-0000C0010000}"/>
    <cellStyle name="Normal 6 3 3" xfId="245" xr:uid="{00000000-0005-0000-0000-0000C1010000}"/>
    <cellStyle name="Normal 6 3 4" xfId="335" xr:uid="{00000000-0005-0000-0000-0000C2010000}"/>
    <cellStyle name="Normal 6 3 5" xfId="425" xr:uid="{00000000-0005-0000-0000-0000C3010000}"/>
    <cellStyle name="Normal 6 3 6" xfId="515" xr:uid="{00000000-0005-0000-0000-0000C4010000}"/>
    <cellStyle name="Normal 6 3 7" xfId="605" xr:uid="{00000000-0005-0000-0000-0000C5010000}"/>
    <cellStyle name="Normal 6 3 8" xfId="695" xr:uid="{00000000-0005-0000-0000-0000C6010000}"/>
    <cellStyle name="Normal 6 3 9" xfId="792" xr:uid="{00000000-0005-0000-0000-0000C7010000}"/>
    <cellStyle name="Normal 6 4" xfId="120" xr:uid="{00000000-0005-0000-0000-0000C8010000}"/>
    <cellStyle name="Normal 6 5" xfId="210" xr:uid="{00000000-0005-0000-0000-0000C9010000}"/>
    <cellStyle name="Normal 6 6" xfId="300" xr:uid="{00000000-0005-0000-0000-0000CA010000}"/>
    <cellStyle name="Normal 6 7" xfId="390" xr:uid="{00000000-0005-0000-0000-0000CB010000}"/>
    <cellStyle name="Normal 6 8" xfId="480" xr:uid="{00000000-0005-0000-0000-0000CC010000}"/>
    <cellStyle name="Normal 6 9" xfId="570" xr:uid="{00000000-0005-0000-0000-0000CD010000}"/>
    <cellStyle name="Normal 7" xfId="22" xr:uid="{00000000-0005-0000-0000-0000CE010000}"/>
    <cellStyle name="Normal 7 10" xfId="661" xr:uid="{00000000-0005-0000-0000-0000CF010000}"/>
    <cellStyle name="Normal 7 11" xfId="756" xr:uid="{00000000-0005-0000-0000-0000D0010000}"/>
    <cellStyle name="Normal 7 2" xfId="44" xr:uid="{00000000-0005-0000-0000-0000D1010000}"/>
    <cellStyle name="Normal 7 2 10" xfId="776" xr:uid="{00000000-0005-0000-0000-0000D2010000}"/>
    <cellStyle name="Normal 7 2 2" xfId="84" xr:uid="{00000000-0005-0000-0000-0000D3010000}"/>
    <cellStyle name="Normal 7 2 2 2" xfId="177" xr:uid="{00000000-0005-0000-0000-0000D4010000}"/>
    <cellStyle name="Normal 7 2 2 3" xfId="267" xr:uid="{00000000-0005-0000-0000-0000D5010000}"/>
    <cellStyle name="Normal 7 2 2 4" xfId="357" xr:uid="{00000000-0005-0000-0000-0000D6010000}"/>
    <cellStyle name="Normal 7 2 2 5" xfId="447" xr:uid="{00000000-0005-0000-0000-0000D7010000}"/>
    <cellStyle name="Normal 7 2 2 6" xfId="537" xr:uid="{00000000-0005-0000-0000-0000D8010000}"/>
    <cellStyle name="Normal 7 2 2 7" xfId="627" xr:uid="{00000000-0005-0000-0000-0000D9010000}"/>
    <cellStyle name="Normal 7 2 2 8" xfId="717" xr:uid="{00000000-0005-0000-0000-0000DA010000}"/>
    <cellStyle name="Normal 7 2 2 9" xfId="814" xr:uid="{00000000-0005-0000-0000-0000DB010000}"/>
    <cellStyle name="Normal 7 2 3" xfId="140" xr:uid="{00000000-0005-0000-0000-0000DC010000}"/>
    <cellStyle name="Normal 7 2 4" xfId="230" xr:uid="{00000000-0005-0000-0000-0000DD010000}"/>
    <cellStyle name="Normal 7 2 5" xfId="320" xr:uid="{00000000-0005-0000-0000-0000DE010000}"/>
    <cellStyle name="Normal 7 2 6" xfId="410" xr:uid="{00000000-0005-0000-0000-0000DF010000}"/>
    <cellStyle name="Normal 7 2 7" xfId="500" xr:uid="{00000000-0005-0000-0000-0000E0010000}"/>
    <cellStyle name="Normal 7 2 8" xfId="590" xr:uid="{00000000-0005-0000-0000-0000E1010000}"/>
    <cellStyle name="Normal 7 2 9" xfId="680" xr:uid="{00000000-0005-0000-0000-0000E2010000}"/>
    <cellStyle name="Normal 7 3" xfId="65" xr:uid="{00000000-0005-0000-0000-0000E3010000}"/>
    <cellStyle name="Normal 7 3 2" xfId="158" xr:uid="{00000000-0005-0000-0000-0000E4010000}"/>
    <cellStyle name="Normal 7 3 3" xfId="248" xr:uid="{00000000-0005-0000-0000-0000E5010000}"/>
    <cellStyle name="Normal 7 3 4" xfId="338" xr:uid="{00000000-0005-0000-0000-0000E6010000}"/>
    <cellStyle name="Normal 7 3 5" xfId="428" xr:uid="{00000000-0005-0000-0000-0000E7010000}"/>
    <cellStyle name="Normal 7 3 6" xfId="518" xr:uid="{00000000-0005-0000-0000-0000E8010000}"/>
    <cellStyle name="Normal 7 3 7" xfId="608" xr:uid="{00000000-0005-0000-0000-0000E9010000}"/>
    <cellStyle name="Normal 7 3 8" xfId="698" xr:uid="{00000000-0005-0000-0000-0000EA010000}"/>
    <cellStyle name="Normal 7 3 9" xfId="795" xr:uid="{00000000-0005-0000-0000-0000EB010000}"/>
    <cellStyle name="Normal 7 4" xfId="121" xr:uid="{00000000-0005-0000-0000-0000EC010000}"/>
    <cellStyle name="Normal 7 5" xfId="211" xr:uid="{00000000-0005-0000-0000-0000ED010000}"/>
    <cellStyle name="Normal 7 6" xfId="301" xr:uid="{00000000-0005-0000-0000-0000EE010000}"/>
    <cellStyle name="Normal 7 7" xfId="391" xr:uid="{00000000-0005-0000-0000-0000EF010000}"/>
    <cellStyle name="Normal 7 8" xfId="481" xr:uid="{00000000-0005-0000-0000-0000F0010000}"/>
    <cellStyle name="Normal 7 9" xfId="571" xr:uid="{00000000-0005-0000-0000-0000F1010000}"/>
    <cellStyle name="Normal 8" xfId="25" xr:uid="{00000000-0005-0000-0000-0000F2010000}"/>
    <cellStyle name="Normal 8 10" xfId="664" xr:uid="{00000000-0005-0000-0000-0000F3010000}"/>
    <cellStyle name="Normal 8 11" xfId="759" xr:uid="{00000000-0005-0000-0000-0000F4010000}"/>
    <cellStyle name="Normal 8 2" xfId="47" xr:uid="{00000000-0005-0000-0000-0000F5010000}"/>
    <cellStyle name="Normal 8 2 10" xfId="779" xr:uid="{00000000-0005-0000-0000-0000F6010000}"/>
    <cellStyle name="Normal 8 2 2" xfId="87" xr:uid="{00000000-0005-0000-0000-0000F7010000}"/>
    <cellStyle name="Normal 8 2 2 2" xfId="180" xr:uid="{00000000-0005-0000-0000-0000F8010000}"/>
    <cellStyle name="Normal 8 2 2 3" xfId="270" xr:uid="{00000000-0005-0000-0000-0000F9010000}"/>
    <cellStyle name="Normal 8 2 2 4" xfId="360" xr:uid="{00000000-0005-0000-0000-0000FA010000}"/>
    <cellStyle name="Normal 8 2 2 5" xfId="450" xr:uid="{00000000-0005-0000-0000-0000FB010000}"/>
    <cellStyle name="Normal 8 2 2 6" xfId="540" xr:uid="{00000000-0005-0000-0000-0000FC010000}"/>
    <cellStyle name="Normal 8 2 2 7" xfId="630" xr:uid="{00000000-0005-0000-0000-0000FD010000}"/>
    <cellStyle name="Normal 8 2 2 8" xfId="720" xr:uid="{00000000-0005-0000-0000-0000FE010000}"/>
    <cellStyle name="Normal 8 2 2 9" xfId="817" xr:uid="{00000000-0005-0000-0000-0000FF010000}"/>
    <cellStyle name="Normal 8 2 3" xfId="143" xr:uid="{00000000-0005-0000-0000-000000020000}"/>
    <cellStyle name="Normal 8 2 4" xfId="233" xr:uid="{00000000-0005-0000-0000-000001020000}"/>
    <cellStyle name="Normal 8 2 5" xfId="323" xr:uid="{00000000-0005-0000-0000-000002020000}"/>
    <cellStyle name="Normal 8 2 6" xfId="413" xr:uid="{00000000-0005-0000-0000-000003020000}"/>
    <cellStyle name="Normal 8 2 7" xfId="503" xr:uid="{00000000-0005-0000-0000-000004020000}"/>
    <cellStyle name="Normal 8 2 8" xfId="593" xr:uid="{00000000-0005-0000-0000-000005020000}"/>
    <cellStyle name="Normal 8 2 9" xfId="683" xr:uid="{00000000-0005-0000-0000-000006020000}"/>
    <cellStyle name="Normal 8 3" xfId="68" xr:uid="{00000000-0005-0000-0000-000007020000}"/>
    <cellStyle name="Normal 8 3 2" xfId="161" xr:uid="{00000000-0005-0000-0000-000008020000}"/>
    <cellStyle name="Normal 8 3 3" xfId="251" xr:uid="{00000000-0005-0000-0000-000009020000}"/>
    <cellStyle name="Normal 8 3 4" xfId="341" xr:uid="{00000000-0005-0000-0000-00000A020000}"/>
    <cellStyle name="Normal 8 3 5" xfId="431" xr:uid="{00000000-0005-0000-0000-00000B020000}"/>
    <cellStyle name="Normal 8 3 6" xfId="521" xr:uid="{00000000-0005-0000-0000-00000C020000}"/>
    <cellStyle name="Normal 8 3 7" xfId="611" xr:uid="{00000000-0005-0000-0000-00000D020000}"/>
    <cellStyle name="Normal 8 3 8" xfId="701" xr:uid="{00000000-0005-0000-0000-00000E020000}"/>
    <cellStyle name="Normal 8 3 9" xfId="798" xr:uid="{00000000-0005-0000-0000-00000F020000}"/>
    <cellStyle name="Normal 8 4" xfId="124" xr:uid="{00000000-0005-0000-0000-000010020000}"/>
    <cellStyle name="Normal 8 5" xfId="214" xr:uid="{00000000-0005-0000-0000-000011020000}"/>
    <cellStyle name="Normal 8 6" xfId="304" xr:uid="{00000000-0005-0000-0000-000012020000}"/>
    <cellStyle name="Normal 8 7" xfId="394" xr:uid="{00000000-0005-0000-0000-000013020000}"/>
    <cellStyle name="Normal 8 8" xfId="484" xr:uid="{00000000-0005-0000-0000-000014020000}"/>
    <cellStyle name="Normal 8 9" xfId="574" xr:uid="{00000000-0005-0000-0000-000015020000}"/>
    <cellStyle name="Normal 9" xfId="28" xr:uid="{00000000-0005-0000-0000-000016020000}"/>
    <cellStyle name="Normal 9 10" xfId="667" xr:uid="{00000000-0005-0000-0000-000017020000}"/>
    <cellStyle name="Normal 9 11" xfId="762" xr:uid="{00000000-0005-0000-0000-000018020000}"/>
    <cellStyle name="Normal 9 2" xfId="50" xr:uid="{00000000-0005-0000-0000-000019020000}"/>
    <cellStyle name="Normal 9 2 10" xfId="782" xr:uid="{00000000-0005-0000-0000-00001A020000}"/>
    <cellStyle name="Normal 9 2 2" xfId="90" xr:uid="{00000000-0005-0000-0000-00001B020000}"/>
    <cellStyle name="Normal 9 2 2 2" xfId="183" xr:uid="{00000000-0005-0000-0000-00001C020000}"/>
    <cellStyle name="Normal 9 2 2 3" xfId="273" xr:uid="{00000000-0005-0000-0000-00001D020000}"/>
    <cellStyle name="Normal 9 2 2 4" xfId="363" xr:uid="{00000000-0005-0000-0000-00001E020000}"/>
    <cellStyle name="Normal 9 2 2 5" xfId="453" xr:uid="{00000000-0005-0000-0000-00001F020000}"/>
    <cellStyle name="Normal 9 2 2 6" xfId="543" xr:uid="{00000000-0005-0000-0000-000020020000}"/>
    <cellStyle name="Normal 9 2 2 7" xfId="633" xr:uid="{00000000-0005-0000-0000-000021020000}"/>
    <cellStyle name="Normal 9 2 2 8" xfId="723" xr:uid="{00000000-0005-0000-0000-000022020000}"/>
    <cellStyle name="Normal 9 2 2 9" xfId="820" xr:uid="{00000000-0005-0000-0000-000023020000}"/>
    <cellStyle name="Normal 9 2 3" xfId="146" xr:uid="{00000000-0005-0000-0000-000024020000}"/>
    <cellStyle name="Normal 9 2 4" xfId="236" xr:uid="{00000000-0005-0000-0000-000025020000}"/>
    <cellStyle name="Normal 9 2 5" xfId="326" xr:uid="{00000000-0005-0000-0000-000026020000}"/>
    <cellStyle name="Normal 9 2 6" xfId="416" xr:uid="{00000000-0005-0000-0000-000027020000}"/>
    <cellStyle name="Normal 9 2 7" xfId="506" xr:uid="{00000000-0005-0000-0000-000028020000}"/>
    <cellStyle name="Normal 9 2 8" xfId="596" xr:uid="{00000000-0005-0000-0000-000029020000}"/>
    <cellStyle name="Normal 9 2 9" xfId="686" xr:uid="{00000000-0005-0000-0000-00002A020000}"/>
    <cellStyle name="Normal 9 3" xfId="71" xr:uid="{00000000-0005-0000-0000-00002B020000}"/>
    <cellStyle name="Normal 9 3 2" xfId="164" xr:uid="{00000000-0005-0000-0000-00002C020000}"/>
    <cellStyle name="Normal 9 3 3" xfId="254" xr:uid="{00000000-0005-0000-0000-00002D020000}"/>
    <cellStyle name="Normal 9 3 4" xfId="344" xr:uid="{00000000-0005-0000-0000-00002E020000}"/>
    <cellStyle name="Normal 9 3 5" xfId="434" xr:uid="{00000000-0005-0000-0000-00002F020000}"/>
    <cellStyle name="Normal 9 3 6" xfId="524" xr:uid="{00000000-0005-0000-0000-000030020000}"/>
    <cellStyle name="Normal 9 3 7" xfId="614" xr:uid="{00000000-0005-0000-0000-000031020000}"/>
    <cellStyle name="Normal 9 3 8" xfId="704" xr:uid="{00000000-0005-0000-0000-000032020000}"/>
    <cellStyle name="Normal 9 3 9" xfId="801" xr:uid="{00000000-0005-0000-0000-000033020000}"/>
    <cellStyle name="Normal 9 4" xfId="127" xr:uid="{00000000-0005-0000-0000-000034020000}"/>
    <cellStyle name="Normal 9 5" xfId="217" xr:uid="{00000000-0005-0000-0000-000035020000}"/>
    <cellStyle name="Normal 9 6" xfId="307" xr:uid="{00000000-0005-0000-0000-000036020000}"/>
    <cellStyle name="Normal 9 7" xfId="397" xr:uid="{00000000-0005-0000-0000-000037020000}"/>
    <cellStyle name="Normal 9 8" xfId="487" xr:uid="{00000000-0005-0000-0000-000038020000}"/>
    <cellStyle name="Normal 9 9" xfId="577" xr:uid="{00000000-0005-0000-0000-000039020000}"/>
    <cellStyle name="Normal_Forslag" xfId="845" xr:uid="{00000000-0005-0000-0000-00003A020000}"/>
    <cellStyle name="Tusenskille 2" xfId="14" xr:uid="{00000000-0005-0000-0000-00003C020000}"/>
    <cellStyle name="Tusenskille 2 2" xfId="15" xr:uid="{00000000-0005-0000-0000-00003D020000}"/>
    <cellStyle name="Tusenskille 2 2 2" xfId="751" xr:uid="{00000000-0005-0000-0000-00003E020000}"/>
    <cellStyle name="Tusenskille 2 2 3" xfId="848" xr:uid="{F77FA10F-B946-43D0-BDB2-55CEFCE8EA1F}"/>
    <cellStyle name="Tusenskille 2 3" xfId="21" xr:uid="{00000000-0005-0000-0000-00003F020000}"/>
    <cellStyle name="Tusenskille 2 3 2" xfId="755" xr:uid="{00000000-0005-0000-0000-000040020000}"/>
    <cellStyle name="Tusenskille 2 4" xfId="40" xr:uid="{00000000-0005-0000-0000-000041020000}"/>
    <cellStyle name="Tusenskille 2 4 2" xfId="772" xr:uid="{00000000-0005-0000-0000-000042020000}"/>
    <cellStyle name="Tusenskille 2 5" xfId="61" xr:uid="{00000000-0005-0000-0000-000043020000}"/>
    <cellStyle name="Tusenskille 2 5 2" xfId="791" xr:uid="{00000000-0005-0000-0000-000044020000}"/>
    <cellStyle name="Tusenskille 2 6" xfId="750" xr:uid="{00000000-0005-0000-0000-000045020000}"/>
    <cellStyle name="Tusenskille 3" xfId="16" xr:uid="{00000000-0005-0000-0000-000046020000}"/>
    <cellStyle name="Tusenskille 3 10" xfId="105" xr:uid="{00000000-0005-0000-0000-000047020000}"/>
    <cellStyle name="Tusenskille 3 10 2" xfId="197" xr:uid="{00000000-0005-0000-0000-000048020000}"/>
    <cellStyle name="Tusenskille 3 10 3" xfId="287" xr:uid="{00000000-0005-0000-0000-000049020000}"/>
    <cellStyle name="Tusenskille 3 10 4" xfId="377" xr:uid="{00000000-0005-0000-0000-00004A020000}"/>
    <cellStyle name="Tusenskille 3 10 5" xfId="467" xr:uid="{00000000-0005-0000-0000-00004B020000}"/>
    <cellStyle name="Tusenskille 3 10 6" xfId="557" xr:uid="{00000000-0005-0000-0000-00004C020000}"/>
    <cellStyle name="Tusenskille 3 10 7" xfId="647" xr:uid="{00000000-0005-0000-0000-00004D020000}"/>
    <cellStyle name="Tusenskille 3 10 8" xfId="737" xr:uid="{00000000-0005-0000-0000-00004E020000}"/>
    <cellStyle name="Tusenskille 3 10 9" xfId="834" xr:uid="{00000000-0005-0000-0000-00004F020000}"/>
    <cellStyle name="Tusenskille 3 11" xfId="108" xr:uid="{00000000-0005-0000-0000-000050020000}"/>
    <cellStyle name="Tusenskille 3 11 2" xfId="200" xr:uid="{00000000-0005-0000-0000-000051020000}"/>
    <cellStyle name="Tusenskille 3 11 3" xfId="290" xr:uid="{00000000-0005-0000-0000-000052020000}"/>
    <cellStyle name="Tusenskille 3 11 4" xfId="380" xr:uid="{00000000-0005-0000-0000-000053020000}"/>
    <cellStyle name="Tusenskille 3 11 5" xfId="470" xr:uid="{00000000-0005-0000-0000-000054020000}"/>
    <cellStyle name="Tusenskille 3 11 6" xfId="560" xr:uid="{00000000-0005-0000-0000-000055020000}"/>
    <cellStyle name="Tusenskille 3 11 7" xfId="650" xr:uid="{00000000-0005-0000-0000-000056020000}"/>
    <cellStyle name="Tusenskille 3 11 8" xfId="740" xr:uid="{00000000-0005-0000-0000-000057020000}"/>
    <cellStyle name="Tusenskille 3 11 9" xfId="837" xr:uid="{00000000-0005-0000-0000-000058020000}"/>
    <cellStyle name="Tusenskille 3 12" xfId="111" xr:uid="{00000000-0005-0000-0000-000059020000}"/>
    <cellStyle name="Tusenskille 3 12 2" xfId="203" xr:uid="{00000000-0005-0000-0000-00005A020000}"/>
    <cellStyle name="Tusenskille 3 12 3" xfId="293" xr:uid="{00000000-0005-0000-0000-00005B020000}"/>
    <cellStyle name="Tusenskille 3 12 4" xfId="383" xr:uid="{00000000-0005-0000-0000-00005C020000}"/>
    <cellStyle name="Tusenskille 3 12 5" xfId="473" xr:uid="{00000000-0005-0000-0000-00005D020000}"/>
    <cellStyle name="Tusenskille 3 12 6" xfId="563" xr:uid="{00000000-0005-0000-0000-00005E020000}"/>
    <cellStyle name="Tusenskille 3 12 7" xfId="653" xr:uid="{00000000-0005-0000-0000-00005F020000}"/>
    <cellStyle name="Tusenskille 3 12 8" xfId="743" xr:uid="{00000000-0005-0000-0000-000060020000}"/>
    <cellStyle name="Tusenskille 3 12 9" xfId="840" xr:uid="{00000000-0005-0000-0000-000061020000}"/>
    <cellStyle name="Tusenskille 3 13" xfId="114" xr:uid="{00000000-0005-0000-0000-000062020000}"/>
    <cellStyle name="Tusenskille 3 13 2" xfId="206" xr:uid="{00000000-0005-0000-0000-000063020000}"/>
    <cellStyle name="Tusenskille 3 13 3" xfId="296" xr:uid="{00000000-0005-0000-0000-000064020000}"/>
    <cellStyle name="Tusenskille 3 13 4" xfId="386" xr:uid="{00000000-0005-0000-0000-000065020000}"/>
    <cellStyle name="Tusenskille 3 13 5" xfId="476" xr:uid="{00000000-0005-0000-0000-000066020000}"/>
    <cellStyle name="Tusenskille 3 13 6" xfId="566" xr:uid="{00000000-0005-0000-0000-000067020000}"/>
    <cellStyle name="Tusenskille 3 13 7" xfId="656" xr:uid="{00000000-0005-0000-0000-000068020000}"/>
    <cellStyle name="Tusenskille 3 13 8" xfId="746" xr:uid="{00000000-0005-0000-0000-000069020000}"/>
    <cellStyle name="Tusenskille 3 13 9" xfId="843" xr:uid="{00000000-0005-0000-0000-00006A020000}"/>
    <cellStyle name="Tusenskille 3 14" xfId="119" xr:uid="{00000000-0005-0000-0000-00006B020000}"/>
    <cellStyle name="Tusenskille 3 15" xfId="209" xr:uid="{00000000-0005-0000-0000-00006C020000}"/>
    <cellStyle name="Tusenskille 3 16" xfId="299" xr:uid="{00000000-0005-0000-0000-00006D020000}"/>
    <cellStyle name="Tusenskille 3 17" xfId="389" xr:uid="{00000000-0005-0000-0000-00006E020000}"/>
    <cellStyle name="Tusenskille 3 18" xfId="479" xr:uid="{00000000-0005-0000-0000-00006F020000}"/>
    <cellStyle name="Tusenskille 3 19" xfId="569" xr:uid="{00000000-0005-0000-0000-000070020000}"/>
    <cellStyle name="Tusenskille 3 2" xfId="24" xr:uid="{00000000-0005-0000-0000-000071020000}"/>
    <cellStyle name="Tusenskille 3 2 10" xfId="663" xr:uid="{00000000-0005-0000-0000-000072020000}"/>
    <cellStyle name="Tusenskille 3 2 11" xfId="758" xr:uid="{00000000-0005-0000-0000-000073020000}"/>
    <cellStyle name="Tusenskille 3 2 2" xfId="46" xr:uid="{00000000-0005-0000-0000-000074020000}"/>
    <cellStyle name="Tusenskille 3 2 2 10" xfId="778" xr:uid="{00000000-0005-0000-0000-000075020000}"/>
    <cellStyle name="Tusenskille 3 2 2 2" xfId="86" xr:uid="{00000000-0005-0000-0000-000076020000}"/>
    <cellStyle name="Tusenskille 3 2 2 2 2" xfId="179" xr:uid="{00000000-0005-0000-0000-000077020000}"/>
    <cellStyle name="Tusenskille 3 2 2 2 3" xfId="269" xr:uid="{00000000-0005-0000-0000-000078020000}"/>
    <cellStyle name="Tusenskille 3 2 2 2 4" xfId="359" xr:uid="{00000000-0005-0000-0000-000079020000}"/>
    <cellStyle name="Tusenskille 3 2 2 2 5" xfId="449" xr:uid="{00000000-0005-0000-0000-00007A020000}"/>
    <cellStyle name="Tusenskille 3 2 2 2 6" xfId="539" xr:uid="{00000000-0005-0000-0000-00007B020000}"/>
    <cellStyle name="Tusenskille 3 2 2 2 7" xfId="629" xr:uid="{00000000-0005-0000-0000-00007C020000}"/>
    <cellStyle name="Tusenskille 3 2 2 2 8" xfId="719" xr:uid="{00000000-0005-0000-0000-00007D020000}"/>
    <cellStyle name="Tusenskille 3 2 2 2 9" xfId="816" xr:uid="{00000000-0005-0000-0000-00007E020000}"/>
    <cellStyle name="Tusenskille 3 2 2 3" xfId="142" xr:uid="{00000000-0005-0000-0000-00007F020000}"/>
    <cellStyle name="Tusenskille 3 2 2 4" xfId="232" xr:uid="{00000000-0005-0000-0000-000080020000}"/>
    <cellStyle name="Tusenskille 3 2 2 5" xfId="322" xr:uid="{00000000-0005-0000-0000-000081020000}"/>
    <cellStyle name="Tusenskille 3 2 2 6" xfId="412" xr:uid="{00000000-0005-0000-0000-000082020000}"/>
    <cellStyle name="Tusenskille 3 2 2 7" xfId="502" xr:uid="{00000000-0005-0000-0000-000083020000}"/>
    <cellStyle name="Tusenskille 3 2 2 8" xfId="592" xr:uid="{00000000-0005-0000-0000-000084020000}"/>
    <cellStyle name="Tusenskille 3 2 2 9" xfId="682" xr:uid="{00000000-0005-0000-0000-000085020000}"/>
    <cellStyle name="Tusenskille 3 2 3" xfId="67" xr:uid="{00000000-0005-0000-0000-000086020000}"/>
    <cellStyle name="Tusenskille 3 2 3 2" xfId="160" xr:uid="{00000000-0005-0000-0000-000087020000}"/>
    <cellStyle name="Tusenskille 3 2 3 3" xfId="250" xr:uid="{00000000-0005-0000-0000-000088020000}"/>
    <cellStyle name="Tusenskille 3 2 3 4" xfId="340" xr:uid="{00000000-0005-0000-0000-000089020000}"/>
    <cellStyle name="Tusenskille 3 2 3 5" xfId="430" xr:uid="{00000000-0005-0000-0000-00008A020000}"/>
    <cellStyle name="Tusenskille 3 2 3 6" xfId="520" xr:uid="{00000000-0005-0000-0000-00008B020000}"/>
    <cellStyle name="Tusenskille 3 2 3 7" xfId="610" xr:uid="{00000000-0005-0000-0000-00008C020000}"/>
    <cellStyle name="Tusenskille 3 2 3 8" xfId="700" xr:uid="{00000000-0005-0000-0000-00008D020000}"/>
    <cellStyle name="Tusenskille 3 2 3 9" xfId="797" xr:uid="{00000000-0005-0000-0000-00008E020000}"/>
    <cellStyle name="Tusenskille 3 2 4" xfId="123" xr:uid="{00000000-0005-0000-0000-00008F020000}"/>
    <cellStyle name="Tusenskille 3 2 5" xfId="213" xr:uid="{00000000-0005-0000-0000-000090020000}"/>
    <cellStyle name="Tusenskille 3 2 6" xfId="303" xr:uid="{00000000-0005-0000-0000-000091020000}"/>
    <cellStyle name="Tusenskille 3 2 7" xfId="393" xr:uid="{00000000-0005-0000-0000-000092020000}"/>
    <cellStyle name="Tusenskille 3 2 8" xfId="483" xr:uid="{00000000-0005-0000-0000-000093020000}"/>
    <cellStyle name="Tusenskille 3 2 9" xfId="573" xr:uid="{00000000-0005-0000-0000-000094020000}"/>
    <cellStyle name="Tusenskille 3 20" xfId="659" xr:uid="{00000000-0005-0000-0000-000095020000}"/>
    <cellStyle name="Tusenskille 3 21" xfId="752" xr:uid="{00000000-0005-0000-0000-000096020000}"/>
    <cellStyle name="Tusenskille 3 3" xfId="27" xr:uid="{00000000-0005-0000-0000-000097020000}"/>
    <cellStyle name="Tusenskille 3 3 10" xfId="666" xr:uid="{00000000-0005-0000-0000-000098020000}"/>
    <cellStyle name="Tusenskille 3 3 11" xfId="761" xr:uid="{00000000-0005-0000-0000-000099020000}"/>
    <cellStyle name="Tusenskille 3 3 2" xfId="49" xr:uid="{00000000-0005-0000-0000-00009A020000}"/>
    <cellStyle name="Tusenskille 3 3 2 10" xfId="781" xr:uid="{00000000-0005-0000-0000-00009B020000}"/>
    <cellStyle name="Tusenskille 3 3 2 2" xfId="89" xr:uid="{00000000-0005-0000-0000-00009C020000}"/>
    <cellStyle name="Tusenskille 3 3 2 2 2" xfId="182" xr:uid="{00000000-0005-0000-0000-00009D020000}"/>
    <cellStyle name="Tusenskille 3 3 2 2 3" xfId="272" xr:uid="{00000000-0005-0000-0000-00009E020000}"/>
    <cellStyle name="Tusenskille 3 3 2 2 4" xfId="362" xr:uid="{00000000-0005-0000-0000-00009F020000}"/>
    <cellStyle name="Tusenskille 3 3 2 2 5" xfId="452" xr:uid="{00000000-0005-0000-0000-0000A0020000}"/>
    <cellStyle name="Tusenskille 3 3 2 2 6" xfId="542" xr:uid="{00000000-0005-0000-0000-0000A1020000}"/>
    <cellStyle name="Tusenskille 3 3 2 2 7" xfId="632" xr:uid="{00000000-0005-0000-0000-0000A2020000}"/>
    <cellStyle name="Tusenskille 3 3 2 2 8" xfId="722" xr:uid="{00000000-0005-0000-0000-0000A3020000}"/>
    <cellStyle name="Tusenskille 3 3 2 2 9" xfId="819" xr:uid="{00000000-0005-0000-0000-0000A4020000}"/>
    <cellStyle name="Tusenskille 3 3 2 3" xfId="145" xr:uid="{00000000-0005-0000-0000-0000A5020000}"/>
    <cellStyle name="Tusenskille 3 3 2 4" xfId="235" xr:uid="{00000000-0005-0000-0000-0000A6020000}"/>
    <cellStyle name="Tusenskille 3 3 2 5" xfId="325" xr:uid="{00000000-0005-0000-0000-0000A7020000}"/>
    <cellStyle name="Tusenskille 3 3 2 6" xfId="415" xr:uid="{00000000-0005-0000-0000-0000A8020000}"/>
    <cellStyle name="Tusenskille 3 3 2 7" xfId="505" xr:uid="{00000000-0005-0000-0000-0000A9020000}"/>
    <cellStyle name="Tusenskille 3 3 2 8" xfId="595" xr:uid="{00000000-0005-0000-0000-0000AA020000}"/>
    <cellStyle name="Tusenskille 3 3 2 9" xfId="685" xr:uid="{00000000-0005-0000-0000-0000AB020000}"/>
    <cellStyle name="Tusenskille 3 3 3" xfId="70" xr:uid="{00000000-0005-0000-0000-0000AC020000}"/>
    <cellStyle name="Tusenskille 3 3 3 2" xfId="163" xr:uid="{00000000-0005-0000-0000-0000AD020000}"/>
    <cellStyle name="Tusenskille 3 3 3 3" xfId="253" xr:uid="{00000000-0005-0000-0000-0000AE020000}"/>
    <cellStyle name="Tusenskille 3 3 3 4" xfId="343" xr:uid="{00000000-0005-0000-0000-0000AF020000}"/>
    <cellStyle name="Tusenskille 3 3 3 5" xfId="433" xr:uid="{00000000-0005-0000-0000-0000B0020000}"/>
    <cellStyle name="Tusenskille 3 3 3 6" xfId="523" xr:uid="{00000000-0005-0000-0000-0000B1020000}"/>
    <cellStyle name="Tusenskille 3 3 3 7" xfId="613" xr:uid="{00000000-0005-0000-0000-0000B2020000}"/>
    <cellStyle name="Tusenskille 3 3 3 8" xfId="703" xr:uid="{00000000-0005-0000-0000-0000B3020000}"/>
    <cellStyle name="Tusenskille 3 3 3 9" xfId="800" xr:uid="{00000000-0005-0000-0000-0000B4020000}"/>
    <cellStyle name="Tusenskille 3 3 4" xfId="126" xr:uid="{00000000-0005-0000-0000-0000B5020000}"/>
    <cellStyle name="Tusenskille 3 3 5" xfId="216" xr:uid="{00000000-0005-0000-0000-0000B6020000}"/>
    <cellStyle name="Tusenskille 3 3 6" xfId="306" xr:uid="{00000000-0005-0000-0000-0000B7020000}"/>
    <cellStyle name="Tusenskille 3 3 7" xfId="396" xr:uid="{00000000-0005-0000-0000-0000B8020000}"/>
    <cellStyle name="Tusenskille 3 3 8" xfId="486" xr:uid="{00000000-0005-0000-0000-0000B9020000}"/>
    <cellStyle name="Tusenskille 3 3 9" xfId="576" xr:uid="{00000000-0005-0000-0000-0000BA020000}"/>
    <cellStyle name="Tusenskille 3 4" xfId="30" xr:uid="{00000000-0005-0000-0000-0000BB020000}"/>
    <cellStyle name="Tusenskille 3 4 10" xfId="669" xr:uid="{00000000-0005-0000-0000-0000BC020000}"/>
    <cellStyle name="Tusenskille 3 4 11" xfId="764" xr:uid="{00000000-0005-0000-0000-0000BD020000}"/>
    <cellStyle name="Tusenskille 3 4 2" xfId="52" xr:uid="{00000000-0005-0000-0000-0000BE020000}"/>
    <cellStyle name="Tusenskille 3 4 2 10" xfId="784" xr:uid="{00000000-0005-0000-0000-0000BF020000}"/>
    <cellStyle name="Tusenskille 3 4 2 2" xfId="92" xr:uid="{00000000-0005-0000-0000-0000C0020000}"/>
    <cellStyle name="Tusenskille 3 4 2 2 2" xfId="185" xr:uid="{00000000-0005-0000-0000-0000C1020000}"/>
    <cellStyle name="Tusenskille 3 4 2 2 3" xfId="275" xr:uid="{00000000-0005-0000-0000-0000C2020000}"/>
    <cellStyle name="Tusenskille 3 4 2 2 4" xfId="365" xr:uid="{00000000-0005-0000-0000-0000C3020000}"/>
    <cellStyle name="Tusenskille 3 4 2 2 5" xfId="455" xr:uid="{00000000-0005-0000-0000-0000C4020000}"/>
    <cellStyle name="Tusenskille 3 4 2 2 6" xfId="545" xr:uid="{00000000-0005-0000-0000-0000C5020000}"/>
    <cellStyle name="Tusenskille 3 4 2 2 7" xfId="635" xr:uid="{00000000-0005-0000-0000-0000C6020000}"/>
    <cellStyle name="Tusenskille 3 4 2 2 8" xfId="725" xr:uid="{00000000-0005-0000-0000-0000C7020000}"/>
    <cellStyle name="Tusenskille 3 4 2 2 9" xfId="822" xr:uid="{00000000-0005-0000-0000-0000C8020000}"/>
    <cellStyle name="Tusenskille 3 4 2 3" xfId="148" xr:uid="{00000000-0005-0000-0000-0000C9020000}"/>
    <cellStyle name="Tusenskille 3 4 2 4" xfId="238" xr:uid="{00000000-0005-0000-0000-0000CA020000}"/>
    <cellStyle name="Tusenskille 3 4 2 5" xfId="328" xr:uid="{00000000-0005-0000-0000-0000CB020000}"/>
    <cellStyle name="Tusenskille 3 4 2 6" xfId="418" xr:uid="{00000000-0005-0000-0000-0000CC020000}"/>
    <cellStyle name="Tusenskille 3 4 2 7" xfId="508" xr:uid="{00000000-0005-0000-0000-0000CD020000}"/>
    <cellStyle name="Tusenskille 3 4 2 8" xfId="598" xr:uid="{00000000-0005-0000-0000-0000CE020000}"/>
    <cellStyle name="Tusenskille 3 4 2 9" xfId="688" xr:uid="{00000000-0005-0000-0000-0000CF020000}"/>
    <cellStyle name="Tusenskille 3 4 3" xfId="73" xr:uid="{00000000-0005-0000-0000-0000D0020000}"/>
    <cellStyle name="Tusenskille 3 4 3 2" xfId="166" xr:uid="{00000000-0005-0000-0000-0000D1020000}"/>
    <cellStyle name="Tusenskille 3 4 3 3" xfId="256" xr:uid="{00000000-0005-0000-0000-0000D2020000}"/>
    <cellStyle name="Tusenskille 3 4 3 4" xfId="346" xr:uid="{00000000-0005-0000-0000-0000D3020000}"/>
    <cellStyle name="Tusenskille 3 4 3 5" xfId="436" xr:uid="{00000000-0005-0000-0000-0000D4020000}"/>
    <cellStyle name="Tusenskille 3 4 3 6" xfId="526" xr:uid="{00000000-0005-0000-0000-0000D5020000}"/>
    <cellStyle name="Tusenskille 3 4 3 7" xfId="616" xr:uid="{00000000-0005-0000-0000-0000D6020000}"/>
    <cellStyle name="Tusenskille 3 4 3 8" xfId="706" xr:uid="{00000000-0005-0000-0000-0000D7020000}"/>
    <cellStyle name="Tusenskille 3 4 3 9" xfId="803" xr:uid="{00000000-0005-0000-0000-0000D8020000}"/>
    <cellStyle name="Tusenskille 3 4 4" xfId="129" xr:uid="{00000000-0005-0000-0000-0000D9020000}"/>
    <cellStyle name="Tusenskille 3 4 5" xfId="219" xr:uid="{00000000-0005-0000-0000-0000DA020000}"/>
    <cellStyle name="Tusenskille 3 4 6" xfId="309" xr:uid="{00000000-0005-0000-0000-0000DB020000}"/>
    <cellStyle name="Tusenskille 3 4 7" xfId="399" xr:uid="{00000000-0005-0000-0000-0000DC020000}"/>
    <cellStyle name="Tusenskille 3 4 8" xfId="489" xr:uid="{00000000-0005-0000-0000-0000DD020000}"/>
    <cellStyle name="Tusenskille 3 4 9" xfId="579" xr:uid="{00000000-0005-0000-0000-0000DE020000}"/>
    <cellStyle name="Tusenskille 3 5" xfId="34" xr:uid="{00000000-0005-0000-0000-0000DF020000}"/>
    <cellStyle name="Tusenskille 3 5 10" xfId="672" xr:uid="{00000000-0005-0000-0000-0000E0020000}"/>
    <cellStyle name="Tusenskille 3 5 11" xfId="767" xr:uid="{00000000-0005-0000-0000-0000E1020000}"/>
    <cellStyle name="Tusenskille 3 5 2" xfId="56" xr:uid="{00000000-0005-0000-0000-0000E2020000}"/>
    <cellStyle name="Tusenskille 3 5 2 10" xfId="787" xr:uid="{00000000-0005-0000-0000-0000E3020000}"/>
    <cellStyle name="Tusenskille 3 5 2 2" xfId="96" xr:uid="{00000000-0005-0000-0000-0000E4020000}"/>
    <cellStyle name="Tusenskille 3 5 2 2 2" xfId="188" xr:uid="{00000000-0005-0000-0000-0000E5020000}"/>
    <cellStyle name="Tusenskille 3 5 2 2 3" xfId="278" xr:uid="{00000000-0005-0000-0000-0000E6020000}"/>
    <cellStyle name="Tusenskille 3 5 2 2 4" xfId="368" xr:uid="{00000000-0005-0000-0000-0000E7020000}"/>
    <cellStyle name="Tusenskille 3 5 2 2 5" xfId="458" xr:uid="{00000000-0005-0000-0000-0000E8020000}"/>
    <cellStyle name="Tusenskille 3 5 2 2 6" xfId="548" xr:uid="{00000000-0005-0000-0000-0000E9020000}"/>
    <cellStyle name="Tusenskille 3 5 2 2 7" xfId="638" xr:uid="{00000000-0005-0000-0000-0000EA020000}"/>
    <cellStyle name="Tusenskille 3 5 2 2 8" xfId="728" xr:uid="{00000000-0005-0000-0000-0000EB020000}"/>
    <cellStyle name="Tusenskille 3 5 2 2 9" xfId="825" xr:uid="{00000000-0005-0000-0000-0000EC020000}"/>
    <cellStyle name="Tusenskille 3 5 2 3" xfId="151" xr:uid="{00000000-0005-0000-0000-0000ED020000}"/>
    <cellStyle name="Tusenskille 3 5 2 4" xfId="241" xr:uid="{00000000-0005-0000-0000-0000EE020000}"/>
    <cellStyle name="Tusenskille 3 5 2 5" xfId="331" xr:uid="{00000000-0005-0000-0000-0000EF020000}"/>
    <cellStyle name="Tusenskille 3 5 2 6" xfId="421" xr:uid="{00000000-0005-0000-0000-0000F0020000}"/>
    <cellStyle name="Tusenskille 3 5 2 7" xfId="511" xr:uid="{00000000-0005-0000-0000-0000F1020000}"/>
    <cellStyle name="Tusenskille 3 5 2 8" xfId="601" xr:uid="{00000000-0005-0000-0000-0000F2020000}"/>
    <cellStyle name="Tusenskille 3 5 2 9" xfId="691" xr:uid="{00000000-0005-0000-0000-0000F3020000}"/>
    <cellStyle name="Tusenskille 3 5 3" xfId="76" xr:uid="{00000000-0005-0000-0000-0000F4020000}"/>
    <cellStyle name="Tusenskille 3 5 3 2" xfId="169" xr:uid="{00000000-0005-0000-0000-0000F5020000}"/>
    <cellStyle name="Tusenskille 3 5 3 3" xfId="259" xr:uid="{00000000-0005-0000-0000-0000F6020000}"/>
    <cellStyle name="Tusenskille 3 5 3 4" xfId="349" xr:uid="{00000000-0005-0000-0000-0000F7020000}"/>
    <cellStyle name="Tusenskille 3 5 3 5" xfId="439" xr:uid="{00000000-0005-0000-0000-0000F8020000}"/>
    <cellStyle name="Tusenskille 3 5 3 6" xfId="529" xr:uid="{00000000-0005-0000-0000-0000F9020000}"/>
    <cellStyle name="Tusenskille 3 5 3 7" xfId="619" xr:uid="{00000000-0005-0000-0000-0000FA020000}"/>
    <cellStyle name="Tusenskille 3 5 3 8" xfId="709" xr:uid="{00000000-0005-0000-0000-0000FB020000}"/>
    <cellStyle name="Tusenskille 3 5 3 9" xfId="806" xr:uid="{00000000-0005-0000-0000-0000FC020000}"/>
    <cellStyle name="Tusenskille 3 5 4" xfId="132" xr:uid="{00000000-0005-0000-0000-0000FD020000}"/>
    <cellStyle name="Tusenskille 3 5 5" xfId="222" xr:uid="{00000000-0005-0000-0000-0000FE020000}"/>
    <cellStyle name="Tusenskille 3 5 6" xfId="312" xr:uid="{00000000-0005-0000-0000-0000FF020000}"/>
    <cellStyle name="Tusenskille 3 5 7" xfId="402" xr:uid="{00000000-0005-0000-0000-000000030000}"/>
    <cellStyle name="Tusenskille 3 5 8" xfId="492" xr:uid="{00000000-0005-0000-0000-000001030000}"/>
    <cellStyle name="Tusenskille 3 5 9" xfId="582" xr:uid="{00000000-0005-0000-0000-000002030000}"/>
    <cellStyle name="Tusenskille 3 6" xfId="37" xr:uid="{00000000-0005-0000-0000-000003030000}"/>
    <cellStyle name="Tusenskille 3 6 10" xfId="675" xr:uid="{00000000-0005-0000-0000-000004030000}"/>
    <cellStyle name="Tusenskille 3 6 11" xfId="770" xr:uid="{00000000-0005-0000-0000-000005030000}"/>
    <cellStyle name="Tusenskille 3 6 2" xfId="59" xr:uid="{00000000-0005-0000-0000-000006030000}"/>
    <cellStyle name="Tusenskille 3 6 2 10" xfId="790" xr:uid="{00000000-0005-0000-0000-000007030000}"/>
    <cellStyle name="Tusenskille 3 6 2 2" xfId="99" xr:uid="{00000000-0005-0000-0000-000008030000}"/>
    <cellStyle name="Tusenskille 3 6 2 2 2" xfId="191" xr:uid="{00000000-0005-0000-0000-000009030000}"/>
    <cellStyle name="Tusenskille 3 6 2 2 3" xfId="281" xr:uid="{00000000-0005-0000-0000-00000A030000}"/>
    <cellStyle name="Tusenskille 3 6 2 2 4" xfId="371" xr:uid="{00000000-0005-0000-0000-00000B030000}"/>
    <cellStyle name="Tusenskille 3 6 2 2 5" xfId="461" xr:uid="{00000000-0005-0000-0000-00000C030000}"/>
    <cellStyle name="Tusenskille 3 6 2 2 6" xfId="551" xr:uid="{00000000-0005-0000-0000-00000D030000}"/>
    <cellStyle name="Tusenskille 3 6 2 2 7" xfId="641" xr:uid="{00000000-0005-0000-0000-00000E030000}"/>
    <cellStyle name="Tusenskille 3 6 2 2 8" xfId="731" xr:uid="{00000000-0005-0000-0000-00000F030000}"/>
    <cellStyle name="Tusenskille 3 6 2 2 9" xfId="828" xr:uid="{00000000-0005-0000-0000-000010030000}"/>
    <cellStyle name="Tusenskille 3 6 2 3" xfId="154" xr:uid="{00000000-0005-0000-0000-000011030000}"/>
    <cellStyle name="Tusenskille 3 6 2 4" xfId="244" xr:uid="{00000000-0005-0000-0000-000012030000}"/>
    <cellStyle name="Tusenskille 3 6 2 5" xfId="334" xr:uid="{00000000-0005-0000-0000-000013030000}"/>
    <cellStyle name="Tusenskille 3 6 2 6" xfId="424" xr:uid="{00000000-0005-0000-0000-000014030000}"/>
    <cellStyle name="Tusenskille 3 6 2 7" xfId="514" xr:uid="{00000000-0005-0000-0000-000015030000}"/>
    <cellStyle name="Tusenskille 3 6 2 8" xfId="604" xr:uid="{00000000-0005-0000-0000-000016030000}"/>
    <cellStyle name="Tusenskille 3 6 2 9" xfId="694" xr:uid="{00000000-0005-0000-0000-000017030000}"/>
    <cellStyle name="Tusenskille 3 6 3" xfId="79" xr:uid="{00000000-0005-0000-0000-000018030000}"/>
    <cellStyle name="Tusenskille 3 6 3 2" xfId="172" xr:uid="{00000000-0005-0000-0000-000019030000}"/>
    <cellStyle name="Tusenskille 3 6 3 3" xfId="262" xr:uid="{00000000-0005-0000-0000-00001A030000}"/>
    <cellStyle name="Tusenskille 3 6 3 4" xfId="352" xr:uid="{00000000-0005-0000-0000-00001B030000}"/>
    <cellStyle name="Tusenskille 3 6 3 5" xfId="442" xr:uid="{00000000-0005-0000-0000-00001C030000}"/>
    <cellStyle name="Tusenskille 3 6 3 6" xfId="532" xr:uid="{00000000-0005-0000-0000-00001D030000}"/>
    <cellStyle name="Tusenskille 3 6 3 7" xfId="622" xr:uid="{00000000-0005-0000-0000-00001E030000}"/>
    <cellStyle name="Tusenskille 3 6 3 8" xfId="712" xr:uid="{00000000-0005-0000-0000-00001F030000}"/>
    <cellStyle name="Tusenskille 3 6 3 9" xfId="809" xr:uid="{00000000-0005-0000-0000-000020030000}"/>
    <cellStyle name="Tusenskille 3 6 4" xfId="135" xr:uid="{00000000-0005-0000-0000-000021030000}"/>
    <cellStyle name="Tusenskille 3 6 5" xfId="225" xr:uid="{00000000-0005-0000-0000-000022030000}"/>
    <cellStyle name="Tusenskille 3 6 6" xfId="315" xr:uid="{00000000-0005-0000-0000-000023030000}"/>
    <cellStyle name="Tusenskille 3 6 7" xfId="405" xr:uid="{00000000-0005-0000-0000-000024030000}"/>
    <cellStyle name="Tusenskille 3 6 8" xfId="495" xr:uid="{00000000-0005-0000-0000-000025030000}"/>
    <cellStyle name="Tusenskille 3 6 9" xfId="585" xr:uid="{00000000-0005-0000-0000-000026030000}"/>
    <cellStyle name="Tusenskille 3 7" xfId="43" xr:uid="{00000000-0005-0000-0000-000027030000}"/>
    <cellStyle name="Tusenskille 3 7 10" xfId="775" xr:uid="{00000000-0005-0000-0000-000028030000}"/>
    <cellStyle name="Tusenskille 3 7 2" xfId="83" xr:uid="{00000000-0005-0000-0000-000029030000}"/>
    <cellStyle name="Tusenskille 3 7 2 2" xfId="176" xr:uid="{00000000-0005-0000-0000-00002A030000}"/>
    <cellStyle name="Tusenskille 3 7 2 3" xfId="266" xr:uid="{00000000-0005-0000-0000-00002B030000}"/>
    <cellStyle name="Tusenskille 3 7 2 4" xfId="356" xr:uid="{00000000-0005-0000-0000-00002C030000}"/>
    <cellStyle name="Tusenskille 3 7 2 5" xfId="446" xr:uid="{00000000-0005-0000-0000-00002D030000}"/>
    <cellStyle name="Tusenskille 3 7 2 6" xfId="536" xr:uid="{00000000-0005-0000-0000-00002E030000}"/>
    <cellStyle name="Tusenskille 3 7 2 7" xfId="626" xr:uid="{00000000-0005-0000-0000-00002F030000}"/>
    <cellStyle name="Tusenskille 3 7 2 8" xfId="716" xr:uid="{00000000-0005-0000-0000-000030030000}"/>
    <cellStyle name="Tusenskille 3 7 2 9" xfId="813" xr:uid="{00000000-0005-0000-0000-000031030000}"/>
    <cellStyle name="Tusenskille 3 7 3" xfId="139" xr:uid="{00000000-0005-0000-0000-000032030000}"/>
    <cellStyle name="Tusenskille 3 7 4" xfId="229" xr:uid="{00000000-0005-0000-0000-000033030000}"/>
    <cellStyle name="Tusenskille 3 7 5" xfId="319" xr:uid="{00000000-0005-0000-0000-000034030000}"/>
    <cellStyle name="Tusenskille 3 7 6" xfId="409" xr:uid="{00000000-0005-0000-0000-000035030000}"/>
    <cellStyle name="Tusenskille 3 7 7" xfId="499" xr:uid="{00000000-0005-0000-0000-000036030000}"/>
    <cellStyle name="Tusenskille 3 7 8" xfId="589" xr:uid="{00000000-0005-0000-0000-000037030000}"/>
    <cellStyle name="Tusenskille 3 7 9" xfId="679" xr:uid="{00000000-0005-0000-0000-000038030000}"/>
    <cellStyle name="Tusenskille 3 8" xfId="64" xr:uid="{00000000-0005-0000-0000-000039030000}"/>
    <cellStyle name="Tusenskille 3 8 2" xfId="157" xr:uid="{00000000-0005-0000-0000-00003A030000}"/>
    <cellStyle name="Tusenskille 3 8 3" xfId="247" xr:uid="{00000000-0005-0000-0000-00003B030000}"/>
    <cellStyle name="Tusenskille 3 8 4" xfId="337" xr:uid="{00000000-0005-0000-0000-00003C030000}"/>
    <cellStyle name="Tusenskille 3 8 5" xfId="427" xr:uid="{00000000-0005-0000-0000-00003D030000}"/>
    <cellStyle name="Tusenskille 3 8 6" xfId="517" xr:uid="{00000000-0005-0000-0000-00003E030000}"/>
    <cellStyle name="Tusenskille 3 8 7" xfId="607" xr:uid="{00000000-0005-0000-0000-00003F030000}"/>
    <cellStyle name="Tusenskille 3 8 8" xfId="697" xr:uid="{00000000-0005-0000-0000-000040030000}"/>
    <cellStyle name="Tusenskille 3 8 9" xfId="794" xr:uid="{00000000-0005-0000-0000-000041030000}"/>
    <cellStyle name="Tusenskille 3 9" xfId="102" xr:uid="{00000000-0005-0000-0000-000042030000}"/>
    <cellStyle name="Tusenskille 3 9 2" xfId="194" xr:uid="{00000000-0005-0000-0000-000043030000}"/>
    <cellStyle name="Tusenskille 3 9 3" xfId="284" xr:uid="{00000000-0005-0000-0000-000044030000}"/>
    <cellStyle name="Tusenskille 3 9 4" xfId="374" xr:uid="{00000000-0005-0000-0000-000045030000}"/>
    <cellStyle name="Tusenskille 3 9 5" xfId="464" xr:uid="{00000000-0005-0000-0000-000046030000}"/>
    <cellStyle name="Tusenskille 3 9 6" xfId="554" xr:uid="{00000000-0005-0000-0000-000047030000}"/>
    <cellStyle name="Tusenskille 3 9 7" xfId="644" xr:uid="{00000000-0005-0000-0000-000048030000}"/>
    <cellStyle name="Tusenskille 3 9 8" xfId="734" xr:uid="{00000000-0005-0000-0000-000049030000}"/>
    <cellStyle name="Tusenskille 3 9 9" xfId="831" xr:uid="{00000000-0005-0000-0000-00004A030000}"/>
    <cellStyle name="Tusenskille 4" xfId="17" xr:uid="{00000000-0005-0000-0000-00004B030000}"/>
    <cellStyle name="Tusenskille 4 2" xfId="753" xr:uid="{00000000-0005-0000-0000-00004C030000}"/>
    <cellStyle name="Tusenskille 5" xfId="13" xr:uid="{00000000-0005-0000-0000-00004D030000}"/>
    <cellStyle name="Tusenskille 5 2" xfId="749" xr:uid="{00000000-0005-0000-0000-00004E030000}"/>
    <cellStyle name="Tusenskille 6" xfId="115" xr:uid="{00000000-0005-0000-0000-00004F030000}"/>
    <cellStyle name="TusenskilleFjernNull" xfId="846" xr:uid="{00000000-0005-0000-0000-000050030000}"/>
  </cellStyles>
  <dxfs count="4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9" defaultPivotStyle="PivotStyleLight16"/>
  <colors>
    <mruColors>
      <color rgb="FFF8E9D6"/>
      <color rgb="FFFFFF99"/>
      <color rgb="FFF7D7F7"/>
      <color rgb="FFFCD2E2"/>
      <color rgb="FFD2FC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47"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connections" Target="connections.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48" Type="http://schemas.openxmlformats.org/officeDocument/2006/relationships/customXml" Target="../customXml/item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140801174953532"/>
          <c:y val="9.8477480734069936E-2"/>
          <c:w val="0.74903048765490665"/>
          <c:h val="0.65437502946862602"/>
        </c:manualLayout>
      </c:layout>
      <c:barChart>
        <c:barDir val="col"/>
        <c:grouping val="clustered"/>
        <c:varyColors val="0"/>
        <c:ser>
          <c:idx val="0"/>
          <c:order val="0"/>
          <c:tx>
            <c:strRef>
              <c:f>Figurer!$M$8</c:f>
              <c:strCache>
                <c:ptCount val="1"/>
                <c:pt idx="0">
                  <c:v>2019</c:v>
                </c:pt>
              </c:strCache>
            </c:strRef>
          </c:tx>
          <c:invertIfNegative val="0"/>
          <c:cat>
            <c:strRef>
              <c:extLst>
                <c:ext xmlns:c15="http://schemas.microsoft.com/office/drawing/2012/chart" uri="{02D57815-91ED-43cb-92C2-25804820EDAC}">
                  <c15:fullRef>
                    <c15:sqref>Figurer!$L$9:$L$31</c15:sqref>
                  </c15:fullRef>
                </c:ext>
              </c:extLst>
              <c:f>Figurer!$L$9:$L$31</c:f>
              <c:strCache>
                <c:ptCount val="23"/>
                <c:pt idx="0">
                  <c:v>Danica Pensjon</c:v>
                </c:pt>
                <c:pt idx="1">
                  <c:v>DNB Bedriftsp</c:v>
                </c:pt>
                <c:pt idx="2">
                  <c:v>DNB Liv</c:v>
                </c:pt>
                <c:pt idx="3">
                  <c:v>Eika Forsikring</c:v>
                </c:pt>
                <c:pt idx="4">
                  <c:v>Fremtind Livsfors</c:v>
                </c:pt>
                <c:pt idx="5">
                  <c:v>Frende Livsfors</c:v>
                </c:pt>
                <c:pt idx="6">
                  <c:v>Frende Skade</c:v>
                </c:pt>
                <c:pt idx="7">
                  <c:v>Gjensidige Fors</c:v>
                </c:pt>
                <c:pt idx="8">
                  <c:v>Gjensidige Pensj</c:v>
                </c:pt>
                <c:pt idx="9">
                  <c:v>Handelsb Liv</c:v>
                </c:pt>
                <c:pt idx="10">
                  <c:v>If Skadefors</c:v>
                </c:pt>
                <c:pt idx="11">
                  <c:v>KLP</c:v>
                </c:pt>
                <c:pt idx="12">
                  <c:v>KLP Skadef</c:v>
                </c:pt>
                <c:pt idx="13">
                  <c:v>Landkreditt Fors.</c:v>
                </c:pt>
                <c:pt idx="14">
                  <c:v>Insr</c:v>
                </c:pt>
                <c:pt idx="15">
                  <c:v>Nordea Liv</c:v>
                </c:pt>
                <c:pt idx="16">
                  <c:v>OPF</c:v>
                </c:pt>
                <c:pt idx="17">
                  <c:v>Protector Fors</c:v>
                </c:pt>
                <c:pt idx="18">
                  <c:v>SpareBank 1</c:v>
                </c:pt>
                <c:pt idx="19">
                  <c:v>Storebrand </c:v>
                </c:pt>
                <c:pt idx="20">
                  <c:v>Telenor Fors</c:v>
                </c:pt>
                <c:pt idx="21">
                  <c:v>Tryg Fors</c:v>
                </c:pt>
                <c:pt idx="22">
                  <c:v>WaterCircles Fors.</c:v>
                </c:pt>
              </c:strCache>
            </c:strRef>
          </c:cat>
          <c:val>
            <c:numRef>
              <c:extLst>
                <c:ext xmlns:c15="http://schemas.microsoft.com/office/drawing/2012/chart" uri="{02D57815-91ED-43cb-92C2-25804820EDAC}">
                  <c15:fullRef>
                    <c15:sqref>Figurer!$M$9:$M$32</c15:sqref>
                  </c15:fullRef>
                </c:ext>
              </c:extLst>
              <c:f>Figurer!$M$9:$M$31</c:f>
              <c:numCache>
                <c:formatCode>#,##0</c:formatCode>
                <c:ptCount val="23"/>
                <c:pt idx="0">
                  <c:v>317604.17099999997</c:v>
                </c:pt>
                <c:pt idx="1">
                  <c:v>74207</c:v>
                </c:pt>
                <c:pt idx="2">
                  <c:v>3715260.49223</c:v>
                </c:pt>
                <c:pt idx="3">
                  <c:v>252371</c:v>
                </c:pt>
                <c:pt idx="4">
                  <c:v>0</c:v>
                </c:pt>
                <c:pt idx="5">
                  <c:v>491735</c:v>
                </c:pt>
                <c:pt idx="6">
                  <c:v>6362.2570000000096</c:v>
                </c:pt>
                <c:pt idx="7">
                  <c:v>1365659</c:v>
                </c:pt>
                <c:pt idx="8">
                  <c:v>495734</c:v>
                </c:pt>
                <c:pt idx="9">
                  <c:v>26625.80341</c:v>
                </c:pt>
                <c:pt idx="10">
                  <c:v>368992.59400000004</c:v>
                </c:pt>
                <c:pt idx="11">
                  <c:v>32032545.142410003</c:v>
                </c:pt>
                <c:pt idx="12">
                  <c:v>163742.53900000002</c:v>
                </c:pt>
                <c:pt idx="13">
                  <c:v>28648</c:v>
                </c:pt>
                <c:pt idx="14">
                  <c:v>12781.715</c:v>
                </c:pt>
                <c:pt idx="15">
                  <c:v>1234767.86646463</c:v>
                </c:pt>
                <c:pt idx="16">
                  <c:v>4463574</c:v>
                </c:pt>
                <c:pt idx="17">
                  <c:v>298592.88391241134</c:v>
                </c:pt>
                <c:pt idx="18">
                  <c:v>2285218.03632</c:v>
                </c:pt>
                <c:pt idx="19">
                  <c:v>4417928.83</c:v>
                </c:pt>
                <c:pt idx="20">
                  <c:v>0</c:v>
                </c:pt>
                <c:pt idx="21">
                  <c:v>577343.84699999995</c:v>
                </c:pt>
                <c:pt idx="22">
                  <c:v>0</c:v>
                </c:pt>
              </c:numCache>
            </c:numRef>
          </c:val>
          <c:extLst>
            <c:ext xmlns:c16="http://schemas.microsoft.com/office/drawing/2014/chart" uri="{C3380CC4-5D6E-409C-BE32-E72D297353CC}">
              <c16:uniqueId val="{00000002-93AE-4CD9-98AD-A52686D1F9FB}"/>
            </c:ext>
          </c:extLst>
        </c:ser>
        <c:ser>
          <c:idx val="1"/>
          <c:order val="1"/>
          <c:tx>
            <c:strRef>
              <c:f>Figurer!$N$8</c:f>
              <c:strCache>
                <c:ptCount val="1"/>
                <c:pt idx="0">
                  <c:v>2020</c:v>
                </c:pt>
              </c:strCache>
            </c:strRef>
          </c:tx>
          <c:invertIfNegative val="0"/>
          <c:cat>
            <c:strRef>
              <c:extLst>
                <c:ext xmlns:c15="http://schemas.microsoft.com/office/drawing/2012/chart" uri="{02D57815-91ED-43cb-92C2-25804820EDAC}">
                  <c15:fullRef>
                    <c15:sqref>Figurer!$L$9:$L$31</c15:sqref>
                  </c15:fullRef>
                </c:ext>
              </c:extLst>
              <c:f>Figurer!$L$9:$L$31</c:f>
              <c:strCache>
                <c:ptCount val="23"/>
                <c:pt idx="0">
                  <c:v>Danica Pensjon</c:v>
                </c:pt>
                <c:pt idx="1">
                  <c:v>DNB Bedriftsp</c:v>
                </c:pt>
                <c:pt idx="2">
                  <c:v>DNB Liv</c:v>
                </c:pt>
                <c:pt idx="3">
                  <c:v>Eika Forsikring</c:v>
                </c:pt>
                <c:pt idx="4">
                  <c:v>Fremtind Livsfors</c:v>
                </c:pt>
                <c:pt idx="5">
                  <c:v>Frende Livsfors</c:v>
                </c:pt>
                <c:pt idx="6">
                  <c:v>Frende Skade</c:v>
                </c:pt>
                <c:pt idx="7">
                  <c:v>Gjensidige Fors</c:v>
                </c:pt>
                <c:pt idx="8">
                  <c:v>Gjensidige Pensj</c:v>
                </c:pt>
                <c:pt idx="9">
                  <c:v>Handelsb Liv</c:v>
                </c:pt>
                <c:pt idx="10">
                  <c:v>If Skadefors</c:v>
                </c:pt>
                <c:pt idx="11">
                  <c:v>KLP</c:v>
                </c:pt>
                <c:pt idx="12">
                  <c:v>KLP Skadef</c:v>
                </c:pt>
                <c:pt idx="13">
                  <c:v>Landkreditt Fors.</c:v>
                </c:pt>
                <c:pt idx="14">
                  <c:v>Insr</c:v>
                </c:pt>
                <c:pt idx="15">
                  <c:v>Nordea Liv</c:v>
                </c:pt>
                <c:pt idx="16">
                  <c:v>OPF</c:v>
                </c:pt>
                <c:pt idx="17">
                  <c:v>Protector Fors</c:v>
                </c:pt>
                <c:pt idx="18">
                  <c:v>SpareBank 1</c:v>
                </c:pt>
                <c:pt idx="19">
                  <c:v>Storebrand </c:v>
                </c:pt>
                <c:pt idx="20">
                  <c:v>Telenor Fors</c:v>
                </c:pt>
                <c:pt idx="21">
                  <c:v>Tryg Fors</c:v>
                </c:pt>
                <c:pt idx="22">
                  <c:v>WaterCircles Fors.</c:v>
                </c:pt>
              </c:strCache>
            </c:strRef>
          </c:cat>
          <c:val>
            <c:numRef>
              <c:extLst>
                <c:ext xmlns:c15="http://schemas.microsoft.com/office/drawing/2012/chart" uri="{02D57815-91ED-43cb-92C2-25804820EDAC}">
                  <c15:fullRef>
                    <c15:sqref>Figurer!$N$9:$N$32</c15:sqref>
                  </c15:fullRef>
                </c:ext>
              </c:extLst>
              <c:f>Figurer!$N$9:$N$31</c:f>
              <c:numCache>
                <c:formatCode>#,##0</c:formatCode>
                <c:ptCount val="23"/>
                <c:pt idx="0">
                  <c:v>322886.59299999999</c:v>
                </c:pt>
                <c:pt idx="1">
                  <c:v>74436</c:v>
                </c:pt>
                <c:pt idx="2">
                  <c:v>2544846.8470000001</c:v>
                </c:pt>
                <c:pt idx="3">
                  <c:v>269700</c:v>
                </c:pt>
                <c:pt idx="4">
                  <c:v>2205150</c:v>
                </c:pt>
                <c:pt idx="5">
                  <c:v>504078</c:v>
                </c:pt>
                <c:pt idx="6">
                  <c:v>3713.2633999999998</c:v>
                </c:pt>
                <c:pt idx="7">
                  <c:v>1445145</c:v>
                </c:pt>
                <c:pt idx="8">
                  <c:v>508839</c:v>
                </c:pt>
                <c:pt idx="9">
                  <c:v>26171.04192</c:v>
                </c:pt>
                <c:pt idx="10">
                  <c:v>396241.54700000002</c:v>
                </c:pt>
                <c:pt idx="11">
                  <c:v>26170501.342770003</c:v>
                </c:pt>
                <c:pt idx="12">
                  <c:v>185388.55200000003</c:v>
                </c:pt>
                <c:pt idx="13">
                  <c:v>38656</c:v>
                </c:pt>
                <c:pt idx="14">
                  <c:v>11145.35382794882</c:v>
                </c:pt>
                <c:pt idx="15">
                  <c:v>1190396.8958108251</c:v>
                </c:pt>
                <c:pt idx="16">
                  <c:v>2473460</c:v>
                </c:pt>
                <c:pt idx="17">
                  <c:v>287049.49045636802</c:v>
                </c:pt>
                <c:pt idx="18">
                  <c:v>566972.15151</c:v>
                </c:pt>
                <c:pt idx="19">
                  <c:v>4218437.4960000003</c:v>
                </c:pt>
                <c:pt idx="20">
                  <c:v>0</c:v>
                </c:pt>
                <c:pt idx="21">
                  <c:v>574050.93926000001</c:v>
                </c:pt>
                <c:pt idx="22">
                  <c:v>1151</c:v>
                </c:pt>
              </c:numCache>
            </c:numRef>
          </c:val>
          <c:extLst>
            <c:ext xmlns:c16="http://schemas.microsoft.com/office/drawing/2014/chart" uri="{C3380CC4-5D6E-409C-BE32-E72D297353CC}">
              <c16:uniqueId val="{00000003-93AE-4CD9-98AD-A52686D1F9FB}"/>
            </c:ext>
          </c:extLst>
        </c:ser>
        <c:dLbls>
          <c:showLegendKey val="0"/>
          <c:showVal val="0"/>
          <c:showCatName val="0"/>
          <c:showSerName val="0"/>
          <c:showPercent val="0"/>
          <c:showBubbleSize val="0"/>
        </c:dLbls>
        <c:gapWidth val="150"/>
        <c:axId val="242174208"/>
        <c:axId val="242180096"/>
      </c:barChart>
      <c:catAx>
        <c:axId val="24217420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180096"/>
        <c:crosses val="autoZero"/>
        <c:auto val="1"/>
        <c:lblAlgn val="ctr"/>
        <c:lblOffset val="100"/>
        <c:tickLblSkip val="1"/>
        <c:tickMarkSkip val="1"/>
        <c:noMultiLvlLbl val="0"/>
      </c:catAx>
      <c:valAx>
        <c:axId val="242180096"/>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6.9444532284870034E-3"/>
              <c:y val="0.3517112756115066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174208"/>
        <c:crosses val="autoZero"/>
        <c:crossBetween val="between"/>
      </c:valAx>
    </c:plotArea>
    <c:legend>
      <c:legendPos val="b"/>
      <c:layout>
        <c:manualLayout>
          <c:xMode val="edge"/>
          <c:yMode val="edge"/>
          <c:x val="0.35321900023541236"/>
          <c:y val="0.94486784960263159"/>
          <c:w val="9.5093936551103805E-2"/>
          <c:h val="3.879799456205698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6608656849620704"/>
          <c:y val="0.10754105736782903"/>
          <c:w val="0.77619271486646502"/>
          <c:h val="0.61573077622722905"/>
        </c:manualLayout>
      </c:layout>
      <c:barChart>
        <c:barDir val="col"/>
        <c:grouping val="clustered"/>
        <c:varyColors val="0"/>
        <c:ser>
          <c:idx val="0"/>
          <c:order val="0"/>
          <c:tx>
            <c:strRef>
              <c:f>Figurer!$M$37</c:f>
              <c:strCache>
                <c:ptCount val="1"/>
                <c:pt idx="0">
                  <c:v>2019</c:v>
                </c:pt>
              </c:strCache>
            </c:strRef>
          </c:tx>
          <c:invertIfNegative val="0"/>
          <c:cat>
            <c:strRef>
              <c:f>Figurer!$L$38:$L$47</c:f>
              <c:strCache>
                <c:ptCount val="10"/>
                <c:pt idx="0">
                  <c:v>Danica Pensjon</c:v>
                </c:pt>
                <c:pt idx="1">
                  <c:v>DNB Bedriftsp</c:v>
                </c:pt>
                <c:pt idx="2">
                  <c:v>DNB Liv</c:v>
                </c:pt>
                <c:pt idx="3">
                  <c:v>Frende Livsfors</c:v>
                </c:pt>
                <c:pt idx="4">
                  <c:v>Gjensidige Pensj</c:v>
                </c:pt>
                <c:pt idx="5">
                  <c:v>KLP</c:v>
                </c:pt>
                <c:pt idx="6">
                  <c:v>Nordea Liv</c:v>
                </c:pt>
                <c:pt idx="7">
                  <c:v>SHB Liv</c:v>
                </c:pt>
                <c:pt idx="8">
                  <c:v>SpareBank 1</c:v>
                </c:pt>
                <c:pt idx="9">
                  <c:v>Storebrand</c:v>
                </c:pt>
              </c:strCache>
            </c:strRef>
          </c:cat>
          <c:val>
            <c:numRef>
              <c:f>Figurer!$M$38:$M$47</c:f>
              <c:numCache>
                <c:formatCode>#,##0</c:formatCode>
                <c:ptCount val="10"/>
                <c:pt idx="0">
                  <c:v>1462527.3599999999</c:v>
                </c:pt>
                <c:pt idx="1">
                  <c:v>401210</c:v>
                </c:pt>
                <c:pt idx="2">
                  <c:v>7274914.4699999997</c:v>
                </c:pt>
                <c:pt idx="3">
                  <c:v>301589</c:v>
                </c:pt>
                <c:pt idx="4">
                  <c:v>2383693</c:v>
                </c:pt>
                <c:pt idx="5">
                  <c:v>125663.209</c:v>
                </c:pt>
                <c:pt idx="6">
                  <c:v>8452097.9891100004</c:v>
                </c:pt>
                <c:pt idx="7">
                  <c:v>97840.428989999986</c:v>
                </c:pt>
                <c:pt idx="8">
                  <c:v>3230081.0362499999</c:v>
                </c:pt>
                <c:pt idx="9">
                  <c:v>8147311.8700000001</c:v>
                </c:pt>
              </c:numCache>
            </c:numRef>
          </c:val>
          <c:extLst>
            <c:ext xmlns:c16="http://schemas.microsoft.com/office/drawing/2014/chart" uri="{C3380CC4-5D6E-409C-BE32-E72D297353CC}">
              <c16:uniqueId val="{00000000-3971-4F9A-B5A3-CF52C774B823}"/>
            </c:ext>
          </c:extLst>
        </c:ser>
        <c:ser>
          <c:idx val="1"/>
          <c:order val="1"/>
          <c:tx>
            <c:strRef>
              <c:f>Figurer!$N$37</c:f>
              <c:strCache>
                <c:ptCount val="1"/>
                <c:pt idx="0">
                  <c:v>2020</c:v>
                </c:pt>
              </c:strCache>
            </c:strRef>
          </c:tx>
          <c:invertIfNegative val="0"/>
          <c:cat>
            <c:strRef>
              <c:f>Figurer!$L$38:$L$47</c:f>
              <c:strCache>
                <c:ptCount val="10"/>
                <c:pt idx="0">
                  <c:v>Danica Pensjon</c:v>
                </c:pt>
                <c:pt idx="1">
                  <c:v>DNB Bedriftsp</c:v>
                </c:pt>
                <c:pt idx="2">
                  <c:v>DNB Liv</c:v>
                </c:pt>
                <c:pt idx="3">
                  <c:v>Frende Livsfors</c:v>
                </c:pt>
                <c:pt idx="4">
                  <c:v>Gjensidige Pensj</c:v>
                </c:pt>
                <c:pt idx="5">
                  <c:v>KLP</c:v>
                </c:pt>
                <c:pt idx="6">
                  <c:v>Nordea Liv</c:v>
                </c:pt>
                <c:pt idx="7">
                  <c:v>SHB Liv</c:v>
                </c:pt>
                <c:pt idx="8">
                  <c:v>SpareBank 1</c:v>
                </c:pt>
                <c:pt idx="9">
                  <c:v>Storebrand</c:v>
                </c:pt>
              </c:strCache>
            </c:strRef>
          </c:cat>
          <c:val>
            <c:numRef>
              <c:f>Figurer!$N$38:$N$47</c:f>
              <c:numCache>
                <c:formatCode>#,##0</c:formatCode>
                <c:ptCount val="10"/>
                <c:pt idx="0">
                  <c:v>1560697.9480000001</c:v>
                </c:pt>
                <c:pt idx="1">
                  <c:v>471105</c:v>
                </c:pt>
                <c:pt idx="2">
                  <c:v>7401471.0010000002</c:v>
                </c:pt>
                <c:pt idx="3">
                  <c:v>322819</c:v>
                </c:pt>
                <c:pt idx="4">
                  <c:v>2362012</c:v>
                </c:pt>
                <c:pt idx="5">
                  <c:v>63880.035000000003</c:v>
                </c:pt>
                <c:pt idx="6">
                  <c:v>8686801.6131100003</c:v>
                </c:pt>
                <c:pt idx="7">
                  <c:v>94921.636709999992</c:v>
                </c:pt>
                <c:pt idx="8">
                  <c:v>3483755.89176</c:v>
                </c:pt>
                <c:pt idx="9">
                  <c:v>9460443.0969999991</c:v>
                </c:pt>
              </c:numCache>
            </c:numRef>
          </c:val>
          <c:extLst>
            <c:ext xmlns:c16="http://schemas.microsoft.com/office/drawing/2014/chart" uri="{C3380CC4-5D6E-409C-BE32-E72D297353CC}">
              <c16:uniqueId val="{00000001-3971-4F9A-B5A3-CF52C774B823}"/>
            </c:ext>
          </c:extLst>
        </c:ser>
        <c:dLbls>
          <c:showLegendKey val="0"/>
          <c:showVal val="0"/>
          <c:showCatName val="0"/>
          <c:showSerName val="0"/>
          <c:showPercent val="0"/>
          <c:showBubbleSize val="0"/>
        </c:dLbls>
        <c:gapWidth val="150"/>
        <c:axId val="242208128"/>
        <c:axId val="242427008"/>
      </c:barChart>
      <c:catAx>
        <c:axId val="24220812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427008"/>
        <c:crosses val="autoZero"/>
        <c:auto val="1"/>
        <c:lblAlgn val="ctr"/>
        <c:lblOffset val="100"/>
        <c:tickLblSkip val="1"/>
        <c:tickMarkSkip val="1"/>
        <c:noMultiLvlLbl val="0"/>
      </c:catAx>
      <c:valAx>
        <c:axId val="24242700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6.9541508114698515E-3"/>
              <c:y val="0.33962311853875432"/>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208128"/>
        <c:crosses val="autoZero"/>
        <c:crossBetween val="between"/>
      </c:valAx>
    </c:plotArea>
    <c:legend>
      <c:legendPos val="b"/>
      <c:layout>
        <c:manualLayout>
          <c:xMode val="edge"/>
          <c:yMode val="edge"/>
          <c:x val="0.34749475592659351"/>
          <c:y val="0.93710900423161392"/>
          <c:w val="0.23943149676571668"/>
          <c:h val="5.0314424982592074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9034622721340161"/>
          <c:y val="7.9682070044274814E-2"/>
          <c:w val="0.72950920069418312"/>
          <c:h val="0.62009389947752291"/>
        </c:manualLayout>
      </c:layout>
      <c:barChart>
        <c:barDir val="col"/>
        <c:grouping val="clustered"/>
        <c:varyColors val="0"/>
        <c:ser>
          <c:idx val="0"/>
          <c:order val="0"/>
          <c:tx>
            <c:strRef>
              <c:f>Figurer!$M$58</c:f>
              <c:strCache>
                <c:ptCount val="1"/>
                <c:pt idx="0">
                  <c:v>2019</c:v>
                </c:pt>
              </c:strCache>
            </c:strRef>
          </c:tx>
          <c:invertIfNegative val="0"/>
          <c:cat>
            <c:strRef>
              <c:extLst>
                <c:ext xmlns:c15="http://schemas.microsoft.com/office/drawing/2012/chart" uri="{02D57815-91ED-43cb-92C2-25804820EDAC}">
                  <c15:fullRef>
                    <c15:sqref>Figurer!$L$59:$L$79</c15:sqref>
                  </c15:fullRef>
                </c:ext>
              </c:extLst>
              <c:f>(Figurer!$L$59:$L$61,Figurer!$L$63:$L$64,Figurer!$L$66:$L$67,Figurer!$L$69:$L$71,Figurer!$L$73:$L$76)</c:f>
              <c:strCache>
                <c:ptCount val="14"/>
                <c:pt idx="0">
                  <c:v>Danica Pensjon</c:v>
                </c:pt>
                <c:pt idx="1">
                  <c:v>DNB Bedriftsp</c:v>
                </c:pt>
                <c:pt idx="2">
                  <c:v>DNB Liv</c:v>
                </c:pt>
                <c:pt idx="3">
                  <c:v>Fremtind Livsfors</c:v>
                </c:pt>
                <c:pt idx="4">
                  <c:v>Frende Livsfors</c:v>
                </c:pt>
                <c:pt idx="5">
                  <c:v>Gjensidige Pensj</c:v>
                </c:pt>
                <c:pt idx="6">
                  <c:v>Handelsb Liv</c:v>
                </c:pt>
                <c:pt idx="7">
                  <c:v>Insr</c:v>
                </c:pt>
                <c:pt idx="8">
                  <c:v>KLP</c:v>
                </c:pt>
                <c:pt idx="9">
                  <c:v>KLP Skadef</c:v>
                </c:pt>
                <c:pt idx="10">
                  <c:v>Nordea Liv</c:v>
                </c:pt>
                <c:pt idx="11">
                  <c:v>OPF</c:v>
                </c:pt>
                <c:pt idx="12">
                  <c:v>SpareBank 1</c:v>
                </c:pt>
                <c:pt idx="13">
                  <c:v>Storebrand </c:v>
                </c:pt>
              </c:strCache>
            </c:strRef>
          </c:cat>
          <c:val>
            <c:numRef>
              <c:extLst>
                <c:ext xmlns:c15="http://schemas.microsoft.com/office/drawing/2012/chart" uri="{02D57815-91ED-43cb-92C2-25804820EDAC}">
                  <c15:fullRef>
                    <c15:sqref>Figurer!$M$59:$M$79</c15:sqref>
                  </c15:fullRef>
                </c:ext>
              </c:extLst>
              <c:f>(Figurer!$M$59:$M$61,Figurer!$M$63:$M$64,Figurer!$M$66:$M$67,Figurer!$M$69:$M$71,Figurer!$M$73:$M$76)</c:f>
              <c:numCache>
                <c:formatCode>#,##0</c:formatCode>
                <c:ptCount val="14"/>
                <c:pt idx="0">
                  <c:v>1147898.6510000001</c:v>
                </c:pt>
                <c:pt idx="1">
                  <c:v>1726673</c:v>
                </c:pt>
                <c:pt idx="2">
                  <c:v>198989780.16319001</c:v>
                </c:pt>
                <c:pt idx="3">
                  <c:v>0</c:v>
                </c:pt>
                <c:pt idx="4">
                  <c:v>950096</c:v>
                </c:pt>
                <c:pt idx="5">
                  <c:v>7082534</c:v>
                </c:pt>
                <c:pt idx="6">
                  <c:v>28422.660874665598</c:v>
                </c:pt>
                <c:pt idx="7">
                  <c:v>3921.4128289581399</c:v>
                </c:pt>
                <c:pt idx="8">
                  <c:v>497212120.95908999</c:v>
                </c:pt>
                <c:pt idx="9">
                  <c:v>34480.175000000003</c:v>
                </c:pt>
                <c:pt idx="10">
                  <c:v>51315530.000145264</c:v>
                </c:pt>
                <c:pt idx="11">
                  <c:v>76175866</c:v>
                </c:pt>
                <c:pt idx="12">
                  <c:v>20850610.60103</c:v>
                </c:pt>
                <c:pt idx="13">
                  <c:v>181032450.26100001</c:v>
                </c:pt>
              </c:numCache>
            </c:numRef>
          </c:val>
          <c:extLst>
            <c:ext xmlns:c16="http://schemas.microsoft.com/office/drawing/2014/chart" uri="{C3380CC4-5D6E-409C-BE32-E72D297353CC}">
              <c16:uniqueId val="{00000000-F5D7-4882-A9B6-45C2F0317A05}"/>
            </c:ext>
          </c:extLst>
        </c:ser>
        <c:ser>
          <c:idx val="1"/>
          <c:order val="1"/>
          <c:tx>
            <c:strRef>
              <c:f>Figurer!$N$58</c:f>
              <c:strCache>
                <c:ptCount val="1"/>
                <c:pt idx="0">
                  <c:v>2020</c:v>
                </c:pt>
              </c:strCache>
            </c:strRef>
          </c:tx>
          <c:invertIfNegative val="0"/>
          <c:cat>
            <c:strRef>
              <c:extLst>
                <c:ext xmlns:c15="http://schemas.microsoft.com/office/drawing/2012/chart" uri="{02D57815-91ED-43cb-92C2-25804820EDAC}">
                  <c15:fullRef>
                    <c15:sqref>Figurer!$L$59:$L$79</c15:sqref>
                  </c15:fullRef>
                </c:ext>
              </c:extLst>
              <c:f>(Figurer!$L$59:$L$61,Figurer!$L$63:$L$64,Figurer!$L$66:$L$67,Figurer!$L$69:$L$71,Figurer!$L$73:$L$76)</c:f>
              <c:strCache>
                <c:ptCount val="14"/>
                <c:pt idx="0">
                  <c:v>Danica Pensjon</c:v>
                </c:pt>
                <c:pt idx="1">
                  <c:v>DNB Bedriftsp</c:v>
                </c:pt>
                <c:pt idx="2">
                  <c:v>DNB Liv</c:v>
                </c:pt>
                <c:pt idx="3">
                  <c:v>Fremtind Livsfors</c:v>
                </c:pt>
                <c:pt idx="4">
                  <c:v>Frende Livsfors</c:v>
                </c:pt>
                <c:pt idx="5">
                  <c:v>Gjensidige Pensj</c:v>
                </c:pt>
                <c:pt idx="6">
                  <c:v>Handelsb Liv</c:v>
                </c:pt>
                <c:pt idx="7">
                  <c:v>Insr</c:v>
                </c:pt>
                <c:pt idx="8">
                  <c:v>KLP</c:v>
                </c:pt>
                <c:pt idx="9">
                  <c:v>KLP Skadef</c:v>
                </c:pt>
                <c:pt idx="10">
                  <c:v>Nordea Liv</c:v>
                </c:pt>
                <c:pt idx="11">
                  <c:v>OPF</c:v>
                </c:pt>
                <c:pt idx="12">
                  <c:v>SpareBank 1</c:v>
                </c:pt>
                <c:pt idx="13">
                  <c:v>Storebrand </c:v>
                </c:pt>
              </c:strCache>
            </c:strRef>
          </c:cat>
          <c:val>
            <c:numRef>
              <c:extLst>
                <c:ext xmlns:c15="http://schemas.microsoft.com/office/drawing/2012/chart" uri="{02D57815-91ED-43cb-92C2-25804820EDAC}">
                  <c15:fullRef>
                    <c15:sqref>Figurer!$N$59:$N$79</c15:sqref>
                  </c15:fullRef>
                </c:ext>
              </c:extLst>
              <c:f>(Figurer!$N$59:$N$61,Figurer!$N$63:$N$64,Figurer!$N$66:$N$67,Figurer!$N$69:$N$71,Figurer!$N$73:$N$76)</c:f>
              <c:numCache>
                <c:formatCode>#,##0</c:formatCode>
                <c:ptCount val="14"/>
                <c:pt idx="0">
                  <c:v>1286357.608</c:v>
                </c:pt>
                <c:pt idx="1">
                  <c:v>1789003</c:v>
                </c:pt>
                <c:pt idx="2">
                  <c:v>194797622</c:v>
                </c:pt>
                <c:pt idx="3">
                  <c:v>3675280</c:v>
                </c:pt>
                <c:pt idx="4">
                  <c:v>1031868</c:v>
                </c:pt>
                <c:pt idx="5">
                  <c:v>7487655</c:v>
                </c:pt>
                <c:pt idx="6">
                  <c:v>21581.57877081968</c:v>
                </c:pt>
                <c:pt idx="7">
                  <c:v>0</c:v>
                </c:pt>
                <c:pt idx="8">
                  <c:v>526463021.72196001</c:v>
                </c:pt>
                <c:pt idx="9">
                  <c:v>51937.368000000002</c:v>
                </c:pt>
                <c:pt idx="10">
                  <c:v>52385900.000052795</c:v>
                </c:pt>
                <c:pt idx="11">
                  <c:v>80017880</c:v>
                </c:pt>
                <c:pt idx="12">
                  <c:v>19350549.066980001</c:v>
                </c:pt>
                <c:pt idx="13">
                  <c:v>182050617.75099999</c:v>
                </c:pt>
              </c:numCache>
            </c:numRef>
          </c:val>
          <c:extLst>
            <c:ext xmlns:c16="http://schemas.microsoft.com/office/drawing/2014/chart" uri="{C3380CC4-5D6E-409C-BE32-E72D297353CC}">
              <c16:uniqueId val="{00000001-F5D7-4882-A9B6-45C2F0317A05}"/>
            </c:ext>
          </c:extLst>
        </c:ser>
        <c:dLbls>
          <c:showLegendKey val="0"/>
          <c:showVal val="0"/>
          <c:showCatName val="0"/>
          <c:showSerName val="0"/>
          <c:showPercent val="0"/>
          <c:showBubbleSize val="0"/>
        </c:dLbls>
        <c:gapWidth val="150"/>
        <c:axId val="242742784"/>
        <c:axId val="242744320"/>
      </c:barChart>
      <c:catAx>
        <c:axId val="242742784"/>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744320"/>
        <c:crosses val="autoZero"/>
        <c:auto val="1"/>
        <c:lblAlgn val="ctr"/>
        <c:lblOffset val="100"/>
        <c:tickLblSkip val="1"/>
        <c:tickMarkSkip val="1"/>
        <c:noMultiLvlLbl val="0"/>
      </c:catAx>
      <c:valAx>
        <c:axId val="24274432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4590163934426229E-2"/>
              <c:y val="0.34865976584387876"/>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742784"/>
        <c:crosses val="autoZero"/>
        <c:crossBetween val="between"/>
      </c:valAx>
    </c:plotArea>
    <c:legend>
      <c:legendPos val="b"/>
      <c:layout>
        <c:manualLayout>
          <c:xMode val="edge"/>
          <c:yMode val="edge"/>
          <c:x val="0.36156705821608365"/>
          <c:y val="0.94061493998643431"/>
          <c:w val="0.21357027092924838"/>
          <c:h val="4.5976938275973926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826753749914957"/>
          <c:y val="9.2115610054672017E-2"/>
          <c:w val="0.74306560247500353"/>
          <c:h val="0.6114621490399017"/>
        </c:manualLayout>
      </c:layout>
      <c:barChart>
        <c:barDir val="col"/>
        <c:grouping val="clustered"/>
        <c:varyColors val="0"/>
        <c:ser>
          <c:idx val="0"/>
          <c:order val="0"/>
          <c:tx>
            <c:strRef>
              <c:f>Figurer!$M$89</c:f>
              <c:strCache>
                <c:ptCount val="1"/>
                <c:pt idx="0">
                  <c:v>2019</c:v>
                </c:pt>
              </c:strCache>
            </c:strRef>
          </c:tx>
          <c:invertIfNegative val="0"/>
          <c:cat>
            <c:strRef>
              <c:f>Figurer!$L$90:$L$99</c:f>
              <c:strCache>
                <c:ptCount val="10"/>
                <c:pt idx="0">
                  <c:v>Danica Pensjon</c:v>
                </c:pt>
                <c:pt idx="1">
                  <c:v>DNB Bedriftsp</c:v>
                </c:pt>
                <c:pt idx="2">
                  <c:v>DNB Liv</c:v>
                </c:pt>
                <c:pt idx="3">
                  <c:v>Frende Livsfors</c:v>
                </c:pt>
                <c:pt idx="4">
                  <c:v>Gjensidige Pensj</c:v>
                </c:pt>
                <c:pt idx="5">
                  <c:v>KLP</c:v>
                </c:pt>
                <c:pt idx="6">
                  <c:v>Nordea Liv</c:v>
                </c:pt>
                <c:pt idx="7">
                  <c:v>SHB Liv</c:v>
                </c:pt>
                <c:pt idx="8">
                  <c:v>SpareBank 1</c:v>
                </c:pt>
                <c:pt idx="9">
                  <c:v>Storebrand</c:v>
                </c:pt>
              </c:strCache>
            </c:strRef>
          </c:cat>
          <c:val>
            <c:numRef>
              <c:f>Figurer!$M$90:$M$99</c:f>
              <c:numCache>
                <c:formatCode>#,##0</c:formatCode>
                <c:ptCount val="10"/>
                <c:pt idx="0">
                  <c:v>19693741.598999999</c:v>
                </c:pt>
                <c:pt idx="1">
                  <c:v>4520776</c:v>
                </c:pt>
                <c:pt idx="2">
                  <c:v>92856889.727000013</c:v>
                </c:pt>
                <c:pt idx="3">
                  <c:v>3966911.3</c:v>
                </c:pt>
                <c:pt idx="4">
                  <c:v>28289547</c:v>
                </c:pt>
                <c:pt idx="5">
                  <c:v>2644541.49015</c:v>
                </c:pt>
                <c:pt idx="6">
                  <c:v>72267840</c:v>
                </c:pt>
                <c:pt idx="7">
                  <c:v>2377643.9235399999</c:v>
                </c:pt>
                <c:pt idx="8">
                  <c:v>33369795.9474</c:v>
                </c:pt>
                <c:pt idx="9">
                  <c:v>107697369.89</c:v>
                </c:pt>
              </c:numCache>
            </c:numRef>
          </c:val>
          <c:extLst>
            <c:ext xmlns:c16="http://schemas.microsoft.com/office/drawing/2014/chart" uri="{C3380CC4-5D6E-409C-BE32-E72D297353CC}">
              <c16:uniqueId val="{00000000-62B1-4395-80F9-424B1553CC96}"/>
            </c:ext>
          </c:extLst>
        </c:ser>
        <c:ser>
          <c:idx val="1"/>
          <c:order val="1"/>
          <c:tx>
            <c:strRef>
              <c:f>Figurer!$N$89</c:f>
              <c:strCache>
                <c:ptCount val="1"/>
                <c:pt idx="0">
                  <c:v>2020</c:v>
                </c:pt>
              </c:strCache>
            </c:strRef>
          </c:tx>
          <c:invertIfNegative val="0"/>
          <c:cat>
            <c:strRef>
              <c:f>Figurer!$L$90:$L$99</c:f>
              <c:strCache>
                <c:ptCount val="10"/>
                <c:pt idx="0">
                  <c:v>Danica Pensjon</c:v>
                </c:pt>
                <c:pt idx="1">
                  <c:v>DNB Bedriftsp</c:v>
                </c:pt>
                <c:pt idx="2">
                  <c:v>DNB Liv</c:v>
                </c:pt>
                <c:pt idx="3">
                  <c:v>Frende Livsfors</c:v>
                </c:pt>
                <c:pt idx="4">
                  <c:v>Gjensidige Pensj</c:v>
                </c:pt>
                <c:pt idx="5">
                  <c:v>KLP</c:v>
                </c:pt>
                <c:pt idx="6">
                  <c:v>Nordea Liv</c:v>
                </c:pt>
                <c:pt idx="7">
                  <c:v>SHB Liv</c:v>
                </c:pt>
                <c:pt idx="8">
                  <c:v>SpareBank 1</c:v>
                </c:pt>
                <c:pt idx="9">
                  <c:v>Storebrand</c:v>
                </c:pt>
              </c:strCache>
            </c:strRef>
          </c:cat>
          <c:val>
            <c:numRef>
              <c:f>Figurer!$N$90:$N$99</c:f>
              <c:numCache>
                <c:formatCode>#,##0</c:formatCode>
                <c:ptCount val="10"/>
                <c:pt idx="0">
                  <c:v>22186843.857000001</c:v>
                </c:pt>
                <c:pt idx="1">
                  <c:v>5573307</c:v>
                </c:pt>
                <c:pt idx="2">
                  <c:v>100331927.579</c:v>
                </c:pt>
                <c:pt idx="3">
                  <c:v>4512931</c:v>
                </c:pt>
                <c:pt idx="4">
                  <c:v>31528930</c:v>
                </c:pt>
                <c:pt idx="5">
                  <c:v>1974716.5681499999</c:v>
                </c:pt>
                <c:pt idx="6">
                  <c:v>85871420</c:v>
                </c:pt>
                <c:pt idx="7">
                  <c:v>2702258.38057</c:v>
                </c:pt>
                <c:pt idx="8">
                  <c:v>38969813.00011</c:v>
                </c:pt>
                <c:pt idx="9">
                  <c:v>124862260.38600001</c:v>
                </c:pt>
              </c:numCache>
            </c:numRef>
          </c:val>
          <c:extLst>
            <c:ext xmlns:c16="http://schemas.microsoft.com/office/drawing/2014/chart" uri="{C3380CC4-5D6E-409C-BE32-E72D297353CC}">
              <c16:uniqueId val="{00000001-62B1-4395-80F9-424B1553CC96}"/>
            </c:ext>
          </c:extLst>
        </c:ser>
        <c:dLbls>
          <c:showLegendKey val="0"/>
          <c:showVal val="0"/>
          <c:showCatName val="0"/>
          <c:showSerName val="0"/>
          <c:showPercent val="0"/>
          <c:showBubbleSize val="0"/>
        </c:dLbls>
        <c:gapWidth val="150"/>
        <c:axId val="243158400"/>
        <c:axId val="243164288"/>
      </c:barChart>
      <c:catAx>
        <c:axId val="24315840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3164288"/>
        <c:crosses val="autoZero"/>
        <c:auto val="1"/>
        <c:lblAlgn val="ctr"/>
        <c:lblOffset val="100"/>
        <c:tickLblSkip val="1"/>
        <c:tickMarkSkip val="1"/>
        <c:noMultiLvlLbl val="0"/>
      </c:catAx>
      <c:valAx>
        <c:axId val="24316428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5920873124147342E-2"/>
              <c:y val="0.3354438600313303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158400"/>
        <c:crosses val="autoZero"/>
        <c:crossBetween val="between"/>
      </c:valAx>
    </c:plotArea>
    <c:legend>
      <c:legendPos val="b"/>
      <c:layout>
        <c:manualLayout>
          <c:xMode val="edge"/>
          <c:yMode val="edge"/>
          <c:x val="0.34561192811335145"/>
          <c:y val="0.93671075700518092"/>
          <c:w val="0.23419750566649891"/>
          <c:h val="4.8523233014845533E-2"/>
        </c:manualLayout>
      </c:layout>
      <c:overlay val="0"/>
      <c:txPr>
        <a:bodyPr/>
        <a:lstStyle/>
        <a:p>
          <a:pPr>
            <a:defRPr sz="595"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614144699303892"/>
          <c:y val="8.40864305054419E-2"/>
          <c:w val="0.75271796188519913"/>
          <c:h val="0.62564087493112053"/>
        </c:manualLayout>
      </c:layout>
      <c:barChart>
        <c:barDir val="col"/>
        <c:grouping val="clustered"/>
        <c:varyColors val="0"/>
        <c:ser>
          <c:idx val="0"/>
          <c:order val="0"/>
          <c:tx>
            <c:strRef>
              <c:f>Figurer!$M$115</c:f>
              <c:strCache>
                <c:ptCount val="1"/>
                <c:pt idx="0">
                  <c:v>2019</c:v>
                </c:pt>
              </c:strCache>
            </c:strRef>
          </c:tx>
          <c:invertIfNegative val="0"/>
          <c:cat>
            <c:strRef>
              <c:f>Figurer!$L$116:$L$123</c:f>
              <c:strCache>
                <c:ptCount val="8"/>
                <c:pt idx="0">
                  <c:v>Danica Pensjon</c:v>
                </c:pt>
                <c:pt idx="1">
                  <c:v>DNB Bedriftsp</c:v>
                </c:pt>
                <c:pt idx="2">
                  <c:v>DNB Liv</c:v>
                </c:pt>
                <c:pt idx="3">
                  <c:v>Gjensidige Pensj</c:v>
                </c:pt>
                <c:pt idx="4">
                  <c:v>KLP</c:v>
                </c:pt>
                <c:pt idx="5">
                  <c:v>Nordea Liv</c:v>
                </c:pt>
                <c:pt idx="6">
                  <c:v>SpareBank 1</c:v>
                </c:pt>
                <c:pt idx="7">
                  <c:v>Storebrand </c:v>
                </c:pt>
              </c:strCache>
            </c:strRef>
          </c:cat>
          <c:val>
            <c:numRef>
              <c:f>Figurer!$M$116:$M$123</c:f>
              <c:numCache>
                <c:formatCode>#,##0</c:formatCode>
                <c:ptCount val="8"/>
                <c:pt idx="0">
                  <c:v>10954.466</c:v>
                </c:pt>
                <c:pt idx="1">
                  <c:v>771</c:v>
                </c:pt>
                <c:pt idx="2">
                  <c:v>159065.88099999999</c:v>
                </c:pt>
                <c:pt idx="3">
                  <c:v>39643</c:v>
                </c:pt>
                <c:pt idx="4">
                  <c:v>-287976.44500000001</c:v>
                </c:pt>
                <c:pt idx="5">
                  <c:v>-18522.302429999902</c:v>
                </c:pt>
                <c:pt idx="6">
                  <c:v>-22140.237180000004</c:v>
                </c:pt>
                <c:pt idx="7">
                  <c:v>-100940.09700000001</c:v>
                </c:pt>
              </c:numCache>
            </c:numRef>
          </c:val>
          <c:extLst>
            <c:ext xmlns:c16="http://schemas.microsoft.com/office/drawing/2014/chart" uri="{C3380CC4-5D6E-409C-BE32-E72D297353CC}">
              <c16:uniqueId val="{00000000-2BF8-4278-857F-91A0E7196849}"/>
            </c:ext>
          </c:extLst>
        </c:ser>
        <c:ser>
          <c:idx val="1"/>
          <c:order val="1"/>
          <c:tx>
            <c:strRef>
              <c:f>Figurer!$N$115</c:f>
              <c:strCache>
                <c:ptCount val="1"/>
                <c:pt idx="0">
                  <c:v>2020</c:v>
                </c:pt>
              </c:strCache>
            </c:strRef>
          </c:tx>
          <c:invertIfNegative val="0"/>
          <c:cat>
            <c:strRef>
              <c:f>Figurer!$L$116:$L$123</c:f>
              <c:strCache>
                <c:ptCount val="8"/>
                <c:pt idx="0">
                  <c:v>Danica Pensjon</c:v>
                </c:pt>
                <c:pt idx="1">
                  <c:v>DNB Bedriftsp</c:v>
                </c:pt>
                <c:pt idx="2">
                  <c:v>DNB Liv</c:v>
                </c:pt>
                <c:pt idx="3">
                  <c:v>Gjensidige Pensj</c:v>
                </c:pt>
                <c:pt idx="4">
                  <c:v>KLP</c:v>
                </c:pt>
                <c:pt idx="5">
                  <c:v>Nordea Liv</c:v>
                </c:pt>
                <c:pt idx="6">
                  <c:v>SpareBank 1</c:v>
                </c:pt>
                <c:pt idx="7">
                  <c:v>Storebrand </c:v>
                </c:pt>
              </c:strCache>
            </c:strRef>
          </c:cat>
          <c:val>
            <c:numRef>
              <c:f>Figurer!$N$116:$N$123</c:f>
              <c:numCache>
                <c:formatCode>#,##0</c:formatCode>
                <c:ptCount val="8"/>
                <c:pt idx="0">
                  <c:v>35079.997999999905</c:v>
                </c:pt>
                <c:pt idx="1">
                  <c:v>7508</c:v>
                </c:pt>
                <c:pt idx="2">
                  <c:v>-98797</c:v>
                </c:pt>
                <c:pt idx="3">
                  <c:v>-54821</c:v>
                </c:pt>
                <c:pt idx="4">
                  <c:v>-4358298.5969999991</c:v>
                </c:pt>
                <c:pt idx="5">
                  <c:v>-47335</c:v>
                </c:pt>
                <c:pt idx="6">
                  <c:v>3188.0403499999975</c:v>
                </c:pt>
                <c:pt idx="7">
                  <c:v>204279.26300000001</c:v>
                </c:pt>
              </c:numCache>
            </c:numRef>
          </c:val>
          <c:extLst>
            <c:ext xmlns:c16="http://schemas.microsoft.com/office/drawing/2014/chart" uri="{C3380CC4-5D6E-409C-BE32-E72D297353CC}">
              <c16:uniqueId val="{00000000-0891-419B-84DB-F579F6588129}"/>
            </c:ext>
          </c:extLst>
        </c:ser>
        <c:dLbls>
          <c:showLegendKey val="0"/>
          <c:showVal val="0"/>
          <c:showCatName val="0"/>
          <c:showSerName val="0"/>
          <c:showPercent val="0"/>
          <c:showBubbleSize val="0"/>
        </c:dLbls>
        <c:gapWidth val="150"/>
        <c:axId val="243201536"/>
        <c:axId val="243203072"/>
      </c:barChart>
      <c:catAx>
        <c:axId val="243201536"/>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nb-NO"/>
          </a:p>
        </c:txPr>
        <c:crossAx val="243203072"/>
        <c:crosses val="autoZero"/>
        <c:auto val="1"/>
        <c:lblAlgn val="ctr"/>
        <c:lblOffset val="100"/>
        <c:tickLblSkip val="1"/>
        <c:tickMarkSkip val="1"/>
        <c:noMultiLvlLbl val="0"/>
      </c:catAx>
      <c:valAx>
        <c:axId val="243203072"/>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1739130434782612E-2"/>
              <c:y val="0.35755283411244326"/>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201536"/>
        <c:crosses val="autoZero"/>
        <c:crossBetween val="between"/>
      </c:valAx>
    </c:plotArea>
    <c:legend>
      <c:legendPos val="b"/>
      <c:layout>
        <c:manualLayout>
          <c:xMode val="edge"/>
          <c:yMode val="edge"/>
          <c:x val="0.34737347369622462"/>
          <c:y val="0.94455128774817365"/>
          <c:w val="9.6515177450644751E-2"/>
          <c:h val="4.5533613518745276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253853430922791"/>
          <c:y val="8.5614035087719767E-2"/>
          <c:w val="0.75564702786135474"/>
          <c:h val="0.63649189114519311"/>
        </c:manualLayout>
      </c:layout>
      <c:barChart>
        <c:barDir val="col"/>
        <c:grouping val="clustered"/>
        <c:varyColors val="0"/>
        <c:ser>
          <c:idx val="0"/>
          <c:order val="0"/>
          <c:tx>
            <c:strRef>
              <c:f>Figurer!$M$139</c:f>
              <c:strCache>
                <c:ptCount val="1"/>
                <c:pt idx="0">
                  <c:v>2019</c:v>
                </c:pt>
              </c:strCache>
            </c:strRef>
          </c:tx>
          <c:invertIfNegative val="0"/>
          <c:cat>
            <c:strRef>
              <c:f>Figurer!$L$140:$L$149</c:f>
              <c:strCache>
                <c:ptCount val="10"/>
                <c:pt idx="0">
                  <c:v>Danica Pensjon</c:v>
                </c:pt>
                <c:pt idx="1">
                  <c:v>DNB Bedriftsp</c:v>
                </c:pt>
                <c:pt idx="2">
                  <c:v>DNB Liv</c:v>
                </c:pt>
                <c:pt idx="3">
                  <c:v>Frende Livsfors</c:v>
                </c:pt>
                <c:pt idx="4">
                  <c:v>Gjensidige Pensj</c:v>
                </c:pt>
                <c:pt idx="5">
                  <c:v>KLP</c:v>
                </c:pt>
                <c:pt idx="6">
                  <c:v>Nordea Liv</c:v>
                </c:pt>
                <c:pt idx="7">
                  <c:v>SHB Liv</c:v>
                </c:pt>
                <c:pt idx="8">
                  <c:v>SpareBank 1</c:v>
                </c:pt>
                <c:pt idx="9">
                  <c:v>Storebrand</c:v>
                </c:pt>
              </c:strCache>
            </c:strRef>
          </c:cat>
          <c:val>
            <c:numRef>
              <c:f>Figurer!$M$140:$M$149</c:f>
              <c:numCache>
                <c:formatCode>#,##0</c:formatCode>
                <c:ptCount val="10"/>
                <c:pt idx="0">
                  <c:v>257596.99600000004</c:v>
                </c:pt>
                <c:pt idx="1">
                  <c:v>302024</c:v>
                </c:pt>
                <c:pt idx="2">
                  <c:v>-385535.37299999967</c:v>
                </c:pt>
                <c:pt idx="3">
                  <c:v>64171</c:v>
                </c:pt>
                <c:pt idx="4">
                  <c:v>-419270</c:v>
                </c:pt>
                <c:pt idx="5">
                  <c:v>0</c:v>
                </c:pt>
                <c:pt idx="6">
                  <c:v>1135836.2008400001</c:v>
                </c:pt>
                <c:pt idx="7">
                  <c:v>70450.498990000007</c:v>
                </c:pt>
                <c:pt idx="8">
                  <c:v>375750.19088000001</c:v>
                </c:pt>
                <c:pt idx="9">
                  <c:v>-1397198.8170000003</c:v>
                </c:pt>
              </c:numCache>
            </c:numRef>
          </c:val>
          <c:extLst>
            <c:ext xmlns:c16="http://schemas.microsoft.com/office/drawing/2014/chart" uri="{C3380CC4-5D6E-409C-BE32-E72D297353CC}">
              <c16:uniqueId val="{00000000-B400-4C26-965B-0553A4A37873}"/>
            </c:ext>
          </c:extLst>
        </c:ser>
        <c:ser>
          <c:idx val="1"/>
          <c:order val="1"/>
          <c:tx>
            <c:strRef>
              <c:f>Figurer!$N$139</c:f>
              <c:strCache>
                <c:ptCount val="1"/>
                <c:pt idx="0">
                  <c:v>2020</c:v>
                </c:pt>
              </c:strCache>
            </c:strRef>
          </c:tx>
          <c:invertIfNegative val="0"/>
          <c:cat>
            <c:strRef>
              <c:f>Figurer!$L$140:$L$149</c:f>
              <c:strCache>
                <c:ptCount val="10"/>
                <c:pt idx="0">
                  <c:v>Danica Pensjon</c:v>
                </c:pt>
                <c:pt idx="1">
                  <c:v>DNB Bedriftsp</c:v>
                </c:pt>
                <c:pt idx="2">
                  <c:v>DNB Liv</c:v>
                </c:pt>
                <c:pt idx="3">
                  <c:v>Frende Livsfors</c:v>
                </c:pt>
                <c:pt idx="4">
                  <c:v>Gjensidige Pensj</c:v>
                </c:pt>
                <c:pt idx="5">
                  <c:v>KLP</c:v>
                </c:pt>
                <c:pt idx="6">
                  <c:v>Nordea Liv</c:v>
                </c:pt>
                <c:pt idx="7">
                  <c:v>SHB Liv</c:v>
                </c:pt>
                <c:pt idx="8">
                  <c:v>SpareBank 1</c:v>
                </c:pt>
                <c:pt idx="9">
                  <c:v>Storebrand</c:v>
                </c:pt>
              </c:strCache>
            </c:strRef>
          </c:cat>
          <c:val>
            <c:numRef>
              <c:f>Figurer!$N$140:$N$149</c:f>
              <c:numCache>
                <c:formatCode>#,##0</c:formatCode>
                <c:ptCount val="10"/>
                <c:pt idx="0">
                  <c:v>174979.34500000003</c:v>
                </c:pt>
                <c:pt idx="1">
                  <c:v>214639</c:v>
                </c:pt>
                <c:pt idx="2">
                  <c:v>-3689736</c:v>
                </c:pt>
                <c:pt idx="3">
                  <c:v>-595</c:v>
                </c:pt>
                <c:pt idx="4">
                  <c:v>-966555</c:v>
                </c:pt>
                <c:pt idx="5">
                  <c:v>-462823.85</c:v>
                </c:pt>
                <c:pt idx="6">
                  <c:v>3079048.5324300006</c:v>
                </c:pt>
                <c:pt idx="7">
                  <c:v>59352.447399999997</c:v>
                </c:pt>
                <c:pt idx="8">
                  <c:v>261540.91234999988</c:v>
                </c:pt>
                <c:pt idx="9">
                  <c:v>904021.56999999937</c:v>
                </c:pt>
              </c:numCache>
            </c:numRef>
          </c:val>
          <c:extLst>
            <c:ext xmlns:c16="http://schemas.microsoft.com/office/drawing/2014/chart" uri="{C3380CC4-5D6E-409C-BE32-E72D297353CC}">
              <c16:uniqueId val="{00000001-B400-4C26-965B-0553A4A37873}"/>
            </c:ext>
          </c:extLst>
        </c:ser>
        <c:dLbls>
          <c:showLegendKey val="0"/>
          <c:showVal val="0"/>
          <c:showCatName val="0"/>
          <c:showSerName val="0"/>
          <c:showPercent val="0"/>
          <c:showBubbleSize val="0"/>
        </c:dLbls>
        <c:gapWidth val="150"/>
        <c:axId val="243686400"/>
        <c:axId val="243700480"/>
      </c:barChart>
      <c:catAx>
        <c:axId val="243686400"/>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nb-NO"/>
          </a:p>
        </c:txPr>
        <c:crossAx val="243700480"/>
        <c:crosses val="autoZero"/>
        <c:auto val="1"/>
        <c:lblAlgn val="ctr"/>
        <c:lblOffset val="100"/>
        <c:tickLblSkip val="1"/>
        <c:tickMarkSkip val="1"/>
        <c:noMultiLvlLbl val="0"/>
      </c:catAx>
      <c:valAx>
        <c:axId val="24370048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3.3875338753387642E-2"/>
              <c:y val="0.330526785811528"/>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686400"/>
        <c:crosses val="autoZero"/>
        <c:crossBetween val="between"/>
      </c:valAx>
    </c:plotArea>
    <c:legend>
      <c:legendPos val="b"/>
      <c:layout>
        <c:manualLayout>
          <c:xMode val="edge"/>
          <c:yMode val="edge"/>
          <c:x val="0.35049740733627832"/>
          <c:y val="0.93473780507726956"/>
          <c:w val="0.23080411696505387"/>
          <c:h val="4.842116727110387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476250</xdr:colOff>
      <xdr:row>54</xdr:row>
      <xdr:rowOff>28575</xdr:rowOff>
    </xdr:to>
    <xdr:pic>
      <xdr:nvPicPr>
        <xdr:cNvPr id="2" name="Picture 1" descr="Statistikk_forside.pd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6572250" cy="11258550"/>
        </a:xfrm>
        <a:prstGeom prst="rect">
          <a:avLst/>
        </a:prstGeom>
        <a:noFill/>
        <a:ln w="9525">
          <a:noFill/>
          <a:miter lim="800000"/>
          <a:headEnd/>
          <a:tailEnd/>
        </a:ln>
      </xdr:spPr>
    </xdr:pic>
    <xdr:clientData/>
  </xdr:twoCellAnchor>
  <xdr:twoCellAnchor>
    <xdr:from>
      <xdr:col>0</xdr:col>
      <xdr:colOff>695325</xdr:colOff>
      <xdr:row>41</xdr:row>
      <xdr:rowOff>34925</xdr:rowOff>
    </xdr:from>
    <xdr:to>
      <xdr:col>5</xdr:col>
      <xdr:colOff>371492</xdr:colOff>
      <xdr:row>43</xdr:row>
      <xdr:rowOff>152400</xdr:rowOff>
    </xdr:to>
    <xdr:sp macro="" textlink="">
      <xdr:nvSpPr>
        <xdr:cNvPr id="3" name="Text Box 6">
          <a:extLst>
            <a:ext uri="{FF2B5EF4-FFF2-40B4-BE49-F238E27FC236}">
              <a16:creationId xmlns:a16="http://schemas.microsoft.com/office/drawing/2014/main" id="{00000000-0008-0000-0000-000003000000}"/>
            </a:ext>
          </a:extLst>
        </xdr:cNvPr>
        <xdr:cNvSpPr txBox="1"/>
      </xdr:nvSpPr>
      <xdr:spPr>
        <a:xfrm>
          <a:off x="695325" y="9083675"/>
          <a:ext cx="3486167" cy="517525"/>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3. KVARTAL 2020 </a:t>
          </a:r>
          <a:r>
            <a:rPr lang="nb-NO" sz="1100" b="0">
              <a:effectLst/>
              <a:latin typeface="Arial"/>
              <a:ea typeface="ＭＳ 明朝"/>
              <a:cs typeface="Times New Roman"/>
            </a:rPr>
            <a:t>(12.11.2020)</a:t>
          </a:r>
          <a:r>
            <a:rPr lang="nb-NO" sz="1600" b="1">
              <a:effectLst/>
              <a:latin typeface="Arial"/>
              <a:ea typeface="ＭＳ 明朝"/>
              <a:cs typeface="Times New Roman"/>
            </a:rPr>
            <a:t> </a:t>
          </a:r>
          <a:endParaRPr lang="nb-NO" sz="1200">
            <a:effectLst/>
            <a:ea typeface="ＭＳ 明朝"/>
            <a:cs typeface="Times New Roman"/>
          </a:endParaRPr>
        </a:p>
      </xdr:txBody>
    </xdr:sp>
    <xdr:clientData/>
  </xdr:twoCellAnchor>
  <xdr:twoCellAnchor>
    <xdr:from>
      <xdr:col>0</xdr:col>
      <xdr:colOff>666750</xdr:colOff>
      <xdr:row>32</xdr:row>
      <xdr:rowOff>387350</xdr:rowOff>
    </xdr:from>
    <xdr:to>
      <xdr:col>8</xdr:col>
      <xdr:colOff>196850</xdr:colOff>
      <xdr:row>38</xdr:row>
      <xdr:rowOff>22225</xdr:rowOff>
    </xdr:to>
    <xdr:sp macro="" textlink="">
      <xdr:nvSpPr>
        <xdr:cNvPr id="4" name="Text Box 4">
          <a:extLst>
            <a:ext uri="{FF2B5EF4-FFF2-40B4-BE49-F238E27FC236}">
              <a16:creationId xmlns:a16="http://schemas.microsoft.com/office/drawing/2014/main" id="{00000000-0008-0000-0000-000004000000}"/>
            </a:ext>
          </a:extLst>
        </xdr:cNvPr>
        <xdr:cNvSpPr txBox="1"/>
      </xdr:nvSpPr>
      <xdr:spPr>
        <a:xfrm>
          <a:off x="666750" y="7292975"/>
          <a:ext cx="5626100" cy="1149350"/>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3100"/>
            </a:lnSpc>
            <a:spcAft>
              <a:spcPts val="0"/>
            </a:spcAft>
          </a:pPr>
          <a:r>
            <a:rPr lang="nb-NO" sz="2800" b="1">
              <a:solidFill>
                <a:srgbClr val="54758C"/>
              </a:solidFill>
              <a:effectLst/>
              <a:latin typeface="Arial"/>
              <a:ea typeface="ＭＳ 明朝"/>
              <a:cs typeface="Times New Roman"/>
            </a:rPr>
            <a:t>MARKEDSANDELER</a:t>
          </a:r>
          <a:endParaRPr lang="nb-NO" sz="1200">
            <a:effectLst/>
            <a:ea typeface="ＭＳ 明朝"/>
            <a:cs typeface="Times New Roman"/>
          </a:endParaRPr>
        </a:p>
        <a:p>
          <a:pPr>
            <a:lnSpc>
              <a:spcPts val="3200"/>
            </a:lnSpc>
            <a:spcAft>
              <a:spcPts val="0"/>
            </a:spcAft>
          </a:pPr>
          <a:r>
            <a:rPr lang="en-GB" sz="2600">
              <a:solidFill>
                <a:srgbClr val="54758C"/>
              </a:solidFill>
              <a:effectLst/>
              <a:latin typeface="Arial"/>
              <a:ea typeface="ＭＳ 明朝"/>
              <a:cs typeface="MinionPro-Regular"/>
            </a:rPr>
            <a:t>– endelige tall og regnskapsstatistikk</a:t>
          </a:r>
          <a:endParaRPr lang="nb-NO" sz="1200">
            <a:solidFill>
              <a:srgbClr val="000000"/>
            </a:solidFill>
            <a:effectLst/>
            <a:latin typeface="MinionPro-Regular"/>
            <a:ea typeface="ＭＳ 明朝"/>
            <a:cs typeface="MinionPro-Regular"/>
          </a:endParaRPr>
        </a:p>
        <a:p>
          <a:pPr>
            <a:lnSpc>
              <a:spcPts val="1300"/>
            </a:lnSpc>
            <a:spcAft>
              <a:spcPts val="0"/>
            </a:spcAft>
          </a:pPr>
          <a:r>
            <a:rPr lang="nb-NO" sz="1200">
              <a:effectLst/>
              <a:ea typeface="ＭＳ 明朝"/>
              <a:cs typeface="Times New Roman"/>
            </a:rPr>
            <a:t> </a:t>
          </a:r>
        </a:p>
      </xdr:txBody>
    </xdr:sp>
    <xdr:clientData/>
  </xdr:twoCellAnchor>
  <xdr:twoCellAnchor>
    <xdr:from>
      <xdr:col>0</xdr:col>
      <xdr:colOff>447675</xdr:colOff>
      <xdr:row>5</xdr:row>
      <xdr:rowOff>12700</xdr:rowOff>
    </xdr:from>
    <xdr:to>
      <xdr:col>2</xdr:col>
      <xdr:colOff>530482</xdr:colOff>
      <xdr:row>7</xdr:row>
      <xdr:rowOff>66616</xdr:rowOff>
    </xdr:to>
    <xdr:sp macro="" textlink="">
      <xdr:nvSpPr>
        <xdr:cNvPr id="5" name="Text Box 3">
          <a:extLst>
            <a:ext uri="{FF2B5EF4-FFF2-40B4-BE49-F238E27FC236}">
              <a16:creationId xmlns:a16="http://schemas.microsoft.com/office/drawing/2014/main" id="{00000000-0008-0000-0000-000005000000}"/>
            </a:ext>
          </a:extLst>
        </xdr:cNvPr>
        <xdr:cNvSpPr txBox="1"/>
      </xdr:nvSpPr>
      <xdr:spPr>
        <a:xfrm>
          <a:off x="447675" y="822325"/>
          <a:ext cx="1606807" cy="511116"/>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1500"/>
            </a:lnSpc>
            <a:spcAft>
              <a:spcPts val="0"/>
            </a:spcAft>
          </a:pPr>
          <a:r>
            <a:rPr lang="nb-NO" sz="1400" cap="all">
              <a:ln w="0" cap="flat" cmpd="sng" algn="ctr">
                <a:noFill/>
                <a:prstDash val="solid"/>
                <a:round/>
              </a:ln>
              <a:solidFill>
                <a:schemeClr val="bg1"/>
              </a:solidFill>
              <a:effectLst/>
              <a:latin typeface="Arial"/>
              <a:ea typeface="ＭＳ 明朝"/>
              <a:cs typeface="Arial"/>
            </a:rPr>
            <a:t>LIVSTATISTIKK</a:t>
          </a:r>
          <a:endParaRPr lang="nb-NO" sz="1400">
            <a:ln w="0" cap="flat" cmpd="sng" algn="ctr">
              <a:noFill/>
              <a:prstDash val="solid"/>
              <a:round/>
            </a:ln>
            <a:solidFill>
              <a:schemeClr val="bg1"/>
            </a:solidFill>
            <a:effectLst/>
            <a:latin typeface="Arial"/>
            <a:ea typeface="ＭＳ 明朝"/>
            <a:cs typeface="Arial"/>
          </a:endParaRPr>
        </a:p>
        <a:p>
          <a:pPr>
            <a:lnSpc>
              <a:spcPts val="1100"/>
            </a:lnSpc>
            <a:spcAft>
              <a:spcPts val="0"/>
            </a:spcAft>
          </a:pPr>
          <a:r>
            <a:rPr lang="nb-NO" sz="1200">
              <a:effectLst/>
              <a:ea typeface="ＭＳ 明朝"/>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6</xdr:row>
      <xdr:rowOff>0</xdr:rowOff>
    </xdr:from>
    <xdr:to>
      <xdr:col>9</xdr:col>
      <xdr:colOff>352425</xdr:colOff>
      <xdr:row>27</xdr:row>
      <xdr:rowOff>9525</xdr:rowOff>
    </xdr:to>
    <xdr:graphicFrame macro="">
      <xdr:nvGraphicFramePr>
        <xdr:cNvPr id="2" name="Chart 1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31</xdr:row>
      <xdr:rowOff>219075</xdr:rowOff>
    </xdr:from>
    <xdr:to>
      <xdr:col>9</xdr:col>
      <xdr:colOff>285750</xdr:colOff>
      <xdr:row>50</xdr:row>
      <xdr:rowOff>123825</xdr:rowOff>
    </xdr:to>
    <xdr:graphicFrame macro="">
      <xdr:nvGraphicFramePr>
        <xdr:cNvPr id="3" name="Chart 1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56</xdr:row>
      <xdr:rowOff>228600</xdr:rowOff>
    </xdr:from>
    <xdr:to>
      <xdr:col>9</xdr:col>
      <xdr:colOff>142875</xdr:colOff>
      <xdr:row>73</xdr:row>
      <xdr:rowOff>180975</xdr:rowOff>
    </xdr:to>
    <xdr:graphicFrame macro="">
      <xdr:nvGraphicFramePr>
        <xdr:cNvPr id="6" name="Chart 1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81</xdr:row>
      <xdr:rowOff>57150</xdr:rowOff>
    </xdr:from>
    <xdr:to>
      <xdr:col>9</xdr:col>
      <xdr:colOff>123825</xdr:colOff>
      <xdr:row>100</xdr:row>
      <xdr:rowOff>114300</xdr:rowOff>
    </xdr:to>
    <xdr:graphicFrame macro="">
      <xdr:nvGraphicFramePr>
        <xdr:cNvPr id="7" name="Chart 1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107</xdr:row>
      <xdr:rowOff>28575</xdr:rowOff>
    </xdr:from>
    <xdr:to>
      <xdr:col>9</xdr:col>
      <xdr:colOff>180975</xdr:colOff>
      <xdr:row>123</xdr:row>
      <xdr:rowOff>200025</xdr:rowOff>
    </xdr:to>
    <xdr:graphicFrame macro="">
      <xdr:nvGraphicFramePr>
        <xdr:cNvPr id="8" name="Chart 1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131</xdr:row>
      <xdr:rowOff>57150</xdr:rowOff>
    </xdr:from>
    <xdr:to>
      <xdr:col>9</xdr:col>
      <xdr:colOff>171450</xdr:colOff>
      <xdr:row>149</xdr:row>
      <xdr:rowOff>123825</xdr:rowOff>
    </xdr:to>
    <xdr:graphicFrame macro="">
      <xdr:nvGraphicFramePr>
        <xdr:cNvPr id="9" name="Chart 1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10583</xdr:colOff>
      <xdr:row>4</xdr:row>
      <xdr:rowOff>127000</xdr:rowOff>
    </xdr:from>
    <xdr:to>
      <xdr:col>0</xdr:col>
      <xdr:colOff>4064000</xdr:colOff>
      <xdr:row>40</xdr:row>
      <xdr:rowOff>74083</xdr:rowOff>
    </xdr:to>
    <xdr:sp macro="" textlink="">
      <xdr:nvSpPr>
        <xdr:cNvPr id="4" name="Text Box 1026">
          <a:extLst>
            <a:ext uri="{FF2B5EF4-FFF2-40B4-BE49-F238E27FC236}">
              <a16:creationId xmlns:a16="http://schemas.microsoft.com/office/drawing/2014/main" id="{00000000-0008-0000-2100-000004000000}"/>
            </a:ext>
          </a:extLst>
        </xdr:cNvPr>
        <xdr:cNvSpPr txBox="1">
          <a:spLocks noChangeArrowheads="1"/>
        </xdr:cNvSpPr>
      </xdr:nvSpPr>
      <xdr:spPr bwMode="auto">
        <a:xfrm>
          <a:off x="10583" y="762000"/>
          <a:ext cx="4053417" cy="10974916"/>
        </a:xfrm>
        <a:prstGeom prst="rect">
          <a:avLst/>
        </a:prstGeom>
        <a:solidFill>
          <a:srgbClr val="FFFFFF"/>
        </a:solidFill>
        <a:ln w="9525">
          <a:noFill/>
          <a:miter lim="800000"/>
          <a:headEnd/>
          <a:tailEnd/>
        </a:ln>
      </xdr:spPr>
      <xdr:txBody>
        <a:bodyPr vertOverflow="clip" wrap="square" lIns="36576" tIns="32004" rIns="0" bIns="0" anchor="t" upright="1"/>
        <a:lstStyle/>
        <a:p>
          <a:pPr algn="l" rtl="0">
            <a:lnSpc>
              <a:spcPts val="1600"/>
            </a:lnSpc>
            <a:defRPr sz="1000"/>
          </a:pPr>
          <a:r>
            <a:rPr lang="nb-NO" sz="1200" b="1" i="0" strike="noStrike">
              <a:solidFill>
                <a:srgbClr val="000000"/>
              </a:solidFill>
              <a:latin typeface="Times New Roman"/>
              <a:cs typeface="Times New Roman"/>
            </a:rPr>
            <a:t>Selskaper som inngår i statistikken</a:t>
          </a:r>
        </a:p>
        <a:p>
          <a:pPr algn="l" rtl="0">
            <a:lnSpc>
              <a:spcPts val="1600"/>
            </a:lnSpc>
            <a:defRPr sz="1000"/>
          </a:pPr>
          <a:r>
            <a:rPr lang="nb-NO" sz="1200" b="0" i="0" strike="noStrike">
              <a:solidFill>
                <a:srgbClr val="000000"/>
              </a:solidFill>
              <a:latin typeface="Times New Roman"/>
              <a:cs typeface="Times New Roman"/>
            </a:rPr>
            <a:t>Statistikken viser tall for medlemsselskaper i Finans Norge som </a:t>
          </a:r>
          <a:br>
            <a:rPr lang="nb-NO" sz="1200" b="0" i="0" strike="noStrike">
              <a:solidFill>
                <a:srgbClr val="000000"/>
              </a:solidFill>
              <a:latin typeface="Times New Roman"/>
              <a:cs typeface="Times New Roman"/>
            </a:rPr>
          </a:br>
          <a:r>
            <a:rPr lang="nb-NO" sz="1200" b="0" i="0" strike="noStrike">
              <a:solidFill>
                <a:srgbClr val="000000"/>
              </a:solidFill>
              <a:latin typeface="Times New Roman"/>
              <a:cs typeface="Times New Roman"/>
            </a:rPr>
            <a:t>selger livprodukter.</a:t>
          </a:r>
        </a:p>
        <a:p>
          <a:pPr algn="l" rtl="0">
            <a:lnSpc>
              <a:spcPts val="1600"/>
            </a:lnSpc>
            <a:defRPr sz="1000"/>
          </a:pPr>
          <a:endParaRPr lang="nb-NO" sz="1200" b="1"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Produkter uten investeringsvalg</a:t>
          </a:r>
          <a:r>
            <a:rPr lang="nb-NO" sz="1200" b="0" i="0" strike="noStrike">
              <a:solidFill>
                <a:srgbClr val="000000"/>
              </a:solidFill>
              <a:latin typeface="Times New Roman"/>
              <a:cs typeface="Times New Roman"/>
            </a:rPr>
            <a:t>:</a:t>
          </a:r>
        </a:p>
        <a:p>
          <a:pPr marL="0" marR="0" indent="0" algn="l" defTabSz="914400" rtl="0" eaLnBrk="1" fontAlgn="auto" latinLnBrk="0" hangingPunct="1">
            <a:lnSpc>
              <a:spcPts val="1600"/>
            </a:lnSpc>
            <a:spcBef>
              <a:spcPts val="0"/>
            </a:spcBef>
            <a:spcAft>
              <a:spcPts val="0"/>
            </a:spcAft>
            <a:buClrTx/>
            <a:buSzTx/>
            <a:buFontTx/>
            <a:buNone/>
            <a:tabLst/>
            <a:defRPr sz="1000"/>
          </a:pPr>
          <a:r>
            <a:rPr lang="nb-NO" sz="1200" b="0" i="0" strike="noStrike">
              <a:solidFill>
                <a:srgbClr val="000000"/>
              </a:solidFill>
              <a:latin typeface="Times New Roman"/>
              <a:cs typeface="Times New Roman"/>
            </a:rPr>
            <a:t>ACE European Group </a:t>
          </a: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(utenlandsk skadeselskap, filial)</a:t>
          </a:r>
          <a:r>
            <a:rPr lang="nb-NO" sz="1200" b="0" i="0" strike="noStrike">
              <a:solidFill>
                <a:srgbClr val="000000"/>
              </a:solidFill>
              <a:latin typeface="Times New Roman"/>
              <a:cs typeface="Times New Roman"/>
            </a:rPr>
            <a:t> </a:t>
          </a:r>
        </a:p>
        <a:p>
          <a:pPr algn="l" rtl="0">
            <a:lnSpc>
              <a:spcPts val="1600"/>
            </a:lnSpc>
            <a:defRPr sz="1000"/>
          </a:pPr>
          <a:r>
            <a:rPr lang="nb-NO" sz="1200" b="0" i="0" strike="noStrike">
              <a:solidFill>
                <a:srgbClr val="000000"/>
              </a:solidFill>
              <a:latin typeface="Times New Roman"/>
              <a:cs typeface="Times New Roman"/>
            </a:rPr>
            <a:t>Danica Pensjonsforsikring</a:t>
          </a: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600"/>
            </a:lnSpc>
            <a:defRPr sz="1000"/>
          </a:pPr>
          <a:r>
            <a:rPr lang="nb-NO" sz="1200" b="0" i="0" strike="noStrike">
              <a:solidFill>
                <a:srgbClr val="000000"/>
              </a:solidFill>
              <a:latin typeface="Times New Roman"/>
              <a:cs typeface="Times New Roman"/>
            </a:rPr>
            <a:t>Eika Forsikring AS (skadeselskap</a:t>
          </a:r>
          <a:r>
            <a:rPr lang="nb-NO" sz="1200" b="0" i="0" strike="noStrike" baseline="0">
              <a:solidFill>
                <a:srgbClr val="000000"/>
              </a:solidFill>
              <a:latin typeface="Times New Roman"/>
              <a:cs typeface="Times New Roman"/>
            </a:rPr>
            <a:t>)</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Frende Livsforsikring</a:t>
          </a:r>
        </a:p>
        <a:p>
          <a:pPr algn="l" rtl="0">
            <a:lnSpc>
              <a:spcPts val="1600"/>
            </a:lnSpc>
            <a:defRPr sz="1000"/>
          </a:pPr>
          <a:r>
            <a:rPr lang="nb-NO" sz="1200" b="0" i="0" strike="noStrike">
              <a:solidFill>
                <a:srgbClr val="000000"/>
              </a:solidFill>
              <a:latin typeface="Times New Roman"/>
              <a:cs typeface="Times New Roman"/>
            </a:rPr>
            <a:t>Frende Skadeforsikring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Gjensidige Forsikring (skadeselskap)</a:t>
          </a: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600"/>
            </a:lnSpc>
            <a:defRPr sz="1000"/>
          </a:pPr>
          <a:r>
            <a:rPr lang="nb-NO" sz="1200" b="0" i="0" strike="noStrike">
              <a:solidFill>
                <a:srgbClr val="000000"/>
              </a:solidFill>
              <a:latin typeface="Times New Roman"/>
              <a:cs typeface="Times New Roman"/>
            </a:rPr>
            <a:t>Handelsbanken Liv (utenlandsk,</a:t>
          </a:r>
          <a:r>
            <a:rPr lang="nb-NO" sz="1200" b="0" i="0" strike="noStrike" baseline="0">
              <a:solidFill>
                <a:srgbClr val="000000"/>
              </a:solidFill>
              <a:latin typeface="Times New Roman"/>
              <a:cs typeface="Times New Roman"/>
            </a:rPr>
            <a:t> </a:t>
          </a:r>
          <a:r>
            <a:rPr lang="nb-NO" sz="1200" b="0" i="0" strike="noStrike">
              <a:solidFill>
                <a:srgbClr val="000000"/>
              </a:solidFill>
              <a:latin typeface="Times New Roman"/>
              <a:cs typeface="Times New Roman"/>
            </a:rPr>
            <a:t>filial)</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If Skadeforsikring NUF (skadeselskap)</a:t>
          </a:r>
        </a:p>
        <a:p>
          <a:pPr algn="l" rtl="0">
            <a:lnSpc>
              <a:spcPts val="1600"/>
            </a:lnSpc>
            <a:defRPr sz="1000"/>
          </a:pPr>
          <a:r>
            <a:rPr lang="nb-NO" sz="1200" b="0" i="0" strike="noStrike">
              <a:solidFill>
                <a:srgbClr val="000000"/>
              </a:solidFill>
              <a:latin typeface="Times New Roman"/>
              <a:cs typeface="Times New Roman"/>
            </a:rPr>
            <a:t>KLP</a:t>
          </a:r>
        </a:p>
        <a:p>
          <a:pPr algn="l" rtl="0">
            <a:lnSpc>
              <a:spcPts val="1600"/>
            </a:lnSpc>
            <a:defRPr sz="1000"/>
          </a:pPr>
          <a:r>
            <a:rPr lang="nb-NO" sz="1200" b="0" i="0" strike="noStrike">
              <a:solidFill>
                <a:srgbClr val="000000"/>
              </a:solidFill>
              <a:latin typeface="Times New Roman"/>
              <a:cs typeface="Times New Roman"/>
            </a:rPr>
            <a:t>KLP</a:t>
          </a:r>
          <a:r>
            <a:rPr lang="nb-NO" sz="1200" b="0" i="0" strike="noStrike" baseline="0">
              <a:solidFill>
                <a:srgbClr val="000000"/>
              </a:solidFill>
              <a:latin typeface="Times New Roman"/>
              <a:cs typeface="Times New Roman"/>
            </a:rPr>
            <a:t> Bedriftspensjon AS</a:t>
          </a:r>
        </a:p>
        <a:p>
          <a:pPr algn="l" rtl="0">
            <a:lnSpc>
              <a:spcPts val="1600"/>
            </a:lnSpc>
            <a:defRPr sz="1000"/>
          </a:pPr>
          <a:r>
            <a:rPr lang="nb-NO" sz="1200" b="0" i="0" strike="noStrike" baseline="0">
              <a:solidFill>
                <a:srgbClr val="000000"/>
              </a:solidFill>
              <a:latin typeface="Times New Roman"/>
              <a:cs typeface="Times New Roman"/>
            </a:rPr>
            <a:t>KLP Skadeforsikring AS</a:t>
          </a:r>
        </a:p>
        <a:p>
          <a:pPr algn="l" rtl="0">
            <a:lnSpc>
              <a:spcPts val="1600"/>
            </a:lnSpc>
            <a:defRPr sz="1000"/>
          </a:pPr>
          <a:r>
            <a:rPr lang="nb-NO" sz="1200" b="0" i="0" strike="noStrike" baseline="0">
              <a:solidFill>
                <a:srgbClr val="000000"/>
              </a:solidFill>
              <a:latin typeface="Times New Roman"/>
              <a:cs typeface="Times New Roman"/>
            </a:rPr>
            <a:t>Landbruksforsikring (skadeselskap)</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a:solidFill>
                <a:srgbClr val="000000"/>
              </a:solidFill>
              <a:latin typeface="Times New Roman"/>
              <a:cs typeface="Times New Roman"/>
            </a:rPr>
            <a:t>NEMI</a:t>
          </a:r>
          <a:r>
            <a:rPr lang="nb-NO" sz="1200" b="0" i="0" strike="noStrike" baseline="0">
              <a:solidFill>
                <a:srgbClr val="000000"/>
              </a:solidFill>
              <a:latin typeface="Times New Roman"/>
              <a:cs typeface="Times New Roman"/>
            </a:rPr>
            <a:t> Forsikring (skadeselskap)</a:t>
          </a:r>
          <a:endParaRPr lang="nb-NO" sz="1200" b="0" i="0" strike="noStrike">
            <a:solidFill>
              <a:srgbClr val="000000"/>
            </a:solidFill>
            <a:latin typeface="Times New Roman"/>
            <a:cs typeface="Times New Roman"/>
          </a:endParaRPr>
        </a:p>
        <a:p>
          <a:pPr algn="l" rtl="0">
            <a:lnSpc>
              <a:spcPts val="1700"/>
            </a:lnSpc>
            <a:defRPr sz="1000"/>
          </a:pPr>
          <a:r>
            <a:rPr lang="nb-NO" sz="1200" b="0" i="0" strike="noStrike">
              <a:solidFill>
                <a:srgbClr val="000000"/>
              </a:solidFill>
              <a:latin typeface="Times New Roman"/>
              <a:cs typeface="Times New Roman"/>
            </a:rPr>
            <a:t>Oslo Pensjonsforsikring</a:t>
          </a:r>
        </a:p>
        <a:p>
          <a:pPr algn="l" rtl="0">
            <a:lnSpc>
              <a:spcPts val="1600"/>
            </a:lnSpc>
            <a:defRPr sz="1000"/>
          </a:pPr>
          <a:r>
            <a:rPr lang="nb-NO" sz="1200" b="0" i="0" strike="noStrike">
              <a:solidFill>
                <a:srgbClr val="000000"/>
              </a:solidFill>
              <a:latin typeface="Times New Roman"/>
              <a:cs typeface="Times New Roman"/>
            </a:rPr>
            <a:t>Protector Forsikring</a:t>
          </a:r>
        </a:p>
        <a:p>
          <a:pPr algn="l" rtl="0">
            <a:lnSpc>
              <a:spcPts val="1700"/>
            </a:lnSpc>
            <a:defRPr sz="1000"/>
          </a:pPr>
          <a:r>
            <a:rPr lang="nb-NO" sz="1200" b="0" i="0" strike="noStrike">
              <a:solidFill>
                <a:srgbClr val="000000"/>
              </a:solidFill>
              <a:latin typeface="Times New Roman"/>
              <a:cs typeface="Times New Roman"/>
            </a:rPr>
            <a:t>SpareBank 1</a:t>
          </a:r>
        </a:p>
        <a:p>
          <a:pPr algn="l" rtl="0">
            <a:lnSpc>
              <a:spcPts val="1600"/>
            </a:lnSpc>
            <a:defRPr sz="1000"/>
          </a:pPr>
          <a:r>
            <a:rPr lang="nb-NO" sz="1200" b="0" i="0" strike="noStrike">
              <a:solidFill>
                <a:srgbClr val="000000"/>
              </a:solidFill>
              <a:latin typeface="Times New Roman"/>
              <a:cs typeface="Times New Roman"/>
            </a:rPr>
            <a:t>Storebrand Livsforsikring</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Telenor 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Tryg Forsikring (skadeselskap)</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700"/>
            </a:lnSpc>
            <a:defRPr sz="1000"/>
          </a:pPr>
          <a:r>
            <a:rPr lang="nb-NO" sz="1200" b="0" i="0" u="sng" strike="noStrike">
              <a:solidFill>
                <a:srgbClr val="000000"/>
              </a:solidFill>
              <a:latin typeface="Times New Roman"/>
              <a:cs typeface="Times New Roman"/>
            </a:rPr>
            <a:t>Produkter med investeringsvalg</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Danica Pensjonsforsikring</a:t>
          </a: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700"/>
            </a:lnSpc>
            <a:defRPr sz="1000"/>
          </a:pPr>
          <a:r>
            <a:rPr lang="nb-NO" sz="1200" b="0" i="0" strike="noStrike">
              <a:solidFill>
                <a:srgbClr val="000000"/>
              </a:solidFill>
              <a:latin typeface="Times New Roman"/>
              <a:cs typeface="Times New Roman"/>
            </a:rPr>
            <a:t>Frende</a:t>
          </a:r>
          <a:r>
            <a:rPr lang="nb-NO" sz="1200" b="0" i="0" strike="noStrike" baseline="0">
              <a:solidFill>
                <a:srgbClr val="000000"/>
              </a:solidFill>
              <a:latin typeface="Times New Roman"/>
              <a:cs typeface="Times New Roman"/>
            </a:rPr>
            <a:t> Livsforsikring</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700"/>
            </a:lnSpc>
            <a:defRPr sz="1000"/>
          </a:pPr>
          <a:r>
            <a:rPr lang="nb-NO" sz="1200" b="0" i="0" strike="noStrike">
              <a:solidFill>
                <a:srgbClr val="000000"/>
              </a:solidFill>
              <a:latin typeface="Times New Roman"/>
              <a:cs typeface="Times New Roman"/>
            </a:rPr>
            <a:t>KLP</a:t>
          </a:r>
        </a:p>
        <a:p>
          <a:pPr algn="l" rtl="0">
            <a:lnSpc>
              <a:spcPts val="1600"/>
            </a:lnSpc>
            <a:defRPr sz="1000"/>
          </a:pPr>
          <a:r>
            <a:rPr lang="nb-NO" sz="1200" b="0" i="0" strike="noStrike">
              <a:solidFill>
                <a:srgbClr val="000000"/>
              </a:solidFill>
              <a:latin typeface="Times New Roman"/>
              <a:cs typeface="Times New Roman"/>
            </a:rPr>
            <a:t>KLP Bedriftspensjon AS</a:t>
          </a:r>
        </a:p>
        <a:p>
          <a:pPr algn="l" rtl="0">
            <a:lnSpc>
              <a:spcPts val="17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a:solidFill>
                <a:srgbClr val="000000"/>
              </a:solidFill>
              <a:latin typeface="Times New Roman"/>
              <a:cs typeface="Times New Roman"/>
            </a:rPr>
            <a:t>SHB Liv (utenlandsk, filial)</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Silver Pensjonsforsikring AS</a:t>
          </a:r>
        </a:p>
        <a:p>
          <a:pPr algn="l" rtl="0">
            <a:lnSpc>
              <a:spcPts val="1600"/>
            </a:lnSpc>
            <a:defRPr sz="1000"/>
          </a:pPr>
          <a:r>
            <a:rPr lang="nb-NO" sz="1200" b="0" i="0" strike="noStrike">
              <a:solidFill>
                <a:srgbClr val="000000"/>
              </a:solidFill>
              <a:latin typeface="Times New Roman"/>
              <a:cs typeface="Times New Roman"/>
            </a:rPr>
            <a:t>SpareBank 1</a:t>
          </a:r>
        </a:p>
        <a:p>
          <a:pPr algn="l" rtl="0">
            <a:lnSpc>
              <a:spcPts val="1700"/>
            </a:lnSpc>
            <a:defRPr sz="1000"/>
          </a:pPr>
          <a:r>
            <a:rPr lang="nb-NO" sz="1200" b="0" i="0" strike="noStrike">
              <a:solidFill>
                <a:srgbClr val="000000"/>
              </a:solidFill>
              <a:latin typeface="Times New Roman"/>
              <a:cs typeface="Times New Roman"/>
            </a:rPr>
            <a:t>Storebrand Livsforsikring</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Utenlandske filialer</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Disse har ikke samme krav til regnskapsføring som norske livselskaper, og rapporterer derfor kun utvalgte</a:t>
          </a:r>
          <a:r>
            <a:rPr lang="nb-NO" sz="1200" b="0" i="0" strike="noStrike" baseline="0">
              <a:solidFill>
                <a:srgbClr val="000000"/>
              </a:solidFill>
              <a:latin typeface="Times New Roman"/>
              <a:cs typeface="Times New Roman"/>
            </a:rPr>
            <a:t> poster</a:t>
          </a:r>
          <a:r>
            <a:rPr lang="nb-NO" sz="1200" b="0" i="0" strike="noStrike">
              <a:solidFill>
                <a:srgbClr val="000000"/>
              </a:solidFill>
              <a:latin typeface="Times New Roman"/>
              <a:cs typeface="Times New Roman"/>
            </a:rPr>
            <a:t>.</a:t>
          </a:r>
        </a:p>
        <a:p>
          <a:pPr algn="l" rtl="0">
            <a:lnSpc>
              <a:spcPts val="16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I figurer og tabeller har enkelte selskap "forkortede" navn.</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xdr:txBody>
    </xdr:sp>
    <xdr:clientData/>
  </xdr:twoCellAnchor>
  <xdr:twoCellAnchor>
    <xdr:from>
      <xdr:col>3</xdr:col>
      <xdr:colOff>455084</xdr:colOff>
      <xdr:row>5</xdr:row>
      <xdr:rowOff>10583</xdr:rowOff>
    </xdr:from>
    <xdr:to>
      <xdr:col>11</xdr:col>
      <xdr:colOff>349250</xdr:colOff>
      <xdr:row>29</xdr:row>
      <xdr:rowOff>63500</xdr:rowOff>
    </xdr:to>
    <xdr:sp macro="" textlink="">
      <xdr:nvSpPr>
        <xdr:cNvPr id="5" name="TekstSylinder 4">
          <a:extLst>
            <a:ext uri="{FF2B5EF4-FFF2-40B4-BE49-F238E27FC236}">
              <a16:creationId xmlns:a16="http://schemas.microsoft.com/office/drawing/2014/main" id="{00000000-0008-0000-2100-000005000000}"/>
            </a:ext>
          </a:extLst>
        </xdr:cNvPr>
        <xdr:cNvSpPr txBox="1"/>
      </xdr:nvSpPr>
      <xdr:spPr>
        <a:xfrm>
          <a:off x="12170834" y="804333"/>
          <a:ext cx="6413499" cy="828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endParaRPr lang="nb-NO">
            <a:effectLst/>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Kommentarer til dataene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u="sng"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u="sng" baseline="0">
              <a:solidFill>
                <a:schemeClr val="dk1"/>
              </a:solidFill>
              <a:effectLst/>
              <a:latin typeface="Times New Roman" panose="02020603050405020304" pitchFamily="18" charset="0"/>
              <a:ea typeface="+mn-ea"/>
              <a:cs typeface="Times New Roman" panose="02020603050405020304" pitchFamily="18" charset="0"/>
            </a:rPr>
            <a:t>Generelle kommentarer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Når det nedenfor står "Endring i 20xx-tall", menes endringer i forhold til tilsvarende periode året før.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Brutto forfalt premie kan regnskapstallene (Tabell 4) være høyere enn markedstallene (Tabell 2a) fordi de kan inneholde tall for skadeforsikring og utenlandsk virksomhet.</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Overførte reserver til/fra andre i markedstallene inngår ikke overførte reserver som gjelder Gruppeliv. Disse vil imidlertid inngå i Tabell 4.</a:t>
          </a:r>
          <a:endParaRPr lang="nb-NO" sz="1100">
            <a:latin typeface="Times New Roman" panose="02020603050405020304" pitchFamily="18" charset="0"/>
            <a:cs typeface="Times New Roman" panose="02020603050405020304" pitchFamily="18" charset="0"/>
          </a:endParaRPr>
        </a:p>
        <a:p>
          <a:endParaRPr lang="nb-NO" sz="1100" u="sng">
            <a:latin typeface="Times New Roman" panose="02020603050405020304" pitchFamily="18" charset="0"/>
            <a:cs typeface="Times New Roman" panose="02020603050405020304" pitchFamily="18" charset="0"/>
          </a:endParaRPr>
        </a:p>
        <a:p>
          <a:r>
            <a:rPr lang="nb-NO" sz="1100" u="sng">
              <a:latin typeface="Times New Roman" panose="02020603050405020304" pitchFamily="18" charset="0"/>
              <a:cs typeface="Times New Roman" panose="02020603050405020304" pitchFamily="18" charset="0"/>
            </a:rPr>
            <a:t>Danica Pensjonsforsikring</a:t>
          </a:r>
        </a:p>
        <a:p>
          <a:r>
            <a:rPr lang="nb-NO" sz="1100">
              <a:solidFill>
                <a:schemeClr val="dk1"/>
              </a:solidFill>
              <a:effectLst/>
              <a:latin typeface="Times New Roman" panose="02020603050405020304" pitchFamily="18" charset="0"/>
              <a:ea typeface="+mn-ea"/>
              <a:cs typeface="Times New Roman" panose="02020603050405020304" pitchFamily="18" charset="0"/>
            </a:rPr>
            <a:t>Data</a:t>
          </a:r>
          <a:r>
            <a:rPr lang="nb-NO" sz="1100" baseline="0">
              <a:solidFill>
                <a:schemeClr val="dk1"/>
              </a:solidFill>
              <a:effectLst/>
              <a:latin typeface="Times New Roman" panose="02020603050405020304" pitchFamily="18" charset="0"/>
              <a:ea typeface="+mn-ea"/>
              <a:cs typeface="Times New Roman" panose="02020603050405020304" pitchFamily="18" charset="0"/>
            </a:rPr>
            <a:t> b</a:t>
          </a:r>
          <a:r>
            <a:rPr lang="nb-NO" sz="1100">
              <a:solidFill>
                <a:schemeClr val="dk1"/>
              </a:solidFill>
              <a:effectLst/>
              <a:latin typeface="Times New Roman" panose="02020603050405020304" pitchFamily="18" charset="0"/>
              <a:ea typeface="+mn-ea"/>
              <a:cs typeface="Times New Roman" panose="02020603050405020304" pitchFamily="18" charset="0"/>
            </a:rPr>
            <a:t>le innrapportert før endelig styrebehandling, og det må derfor tas forbehold om eventuelle endringer.</a:t>
          </a:r>
          <a:endParaRPr lang="nb-NO" sz="1100" u="none">
            <a:latin typeface="Times New Roman" panose="02020603050405020304" pitchFamily="18" charset="0"/>
            <a:cs typeface="Times New Roman" panose="02020603050405020304" pitchFamily="18" charset="0"/>
          </a:endParaRPr>
        </a:p>
        <a:p>
          <a:endParaRPr lang="nb-NO" sz="1100" u="sng">
            <a:latin typeface="Times New Roman" panose="02020603050405020304" pitchFamily="18" charset="0"/>
            <a:cs typeface="Times New Roman" panose="02020603050405020304" pitchFamily="18" charset="0"/>
          </a:endParaRPr>
        </a:p>
        <a:p>
          <a:r>
            <a:rPr lang="nb-NO" sz="1100" u="sng">
              <a:latin typeface="Times New Roman" panose="02020603050405020304" pitchFamily="18" charset="0"/>
              <a:cs typeface="Times New Roman" panose="02020603050405020304" pitchFamily="18" charset="0"/>
            </a:rPr>
            <a:t>DNB Bedriftspensjon</a:t>
          </a:r>
        </a:p>
        <a:p>
          <a:r>
            <a:rPr lang="nb-NO" sz="1100" u="none" baseline="0">
              <a:latin typeface="Times New Roman" panose="02020603050405020304" pitchFamily="18" charset="0"/>
              <a:cs typeface="Times New Roman" panose="02020603050405020304" pitchFamily="18" charset="0"/>
            </a:rPr>
            <a:t>KLP Bedriftspensjon ble overtatt av DNB i september 2020.</a:t>
          </a:r>
          <a:endParaRPr lang="nb-NO" sz="1100" u="sng">
            <a:latin typeface="Times New Roman" panose="02020603050405020304" pitchFamily="18" charset="0"/>
            <a:cs typeface="Times New Roman" panose="02020603050405020304" pitchFamily="18" charset="0"/>
          </a:endParaRPr>
        </a:p>
        <a:p>
          <a:endParaRPr lang="nb-NO" sz="1100" u="sng">
            <a:latin typeface="Times New Roman" panose="02020603050405020304" pitchFamily="18" charset="0"/>
            <a:cs typeface="Times New Roman" panose="02020603050405020304" pitchFamily="18" charset="0"/>
          </a:endParaRPr>
        </a:p>
        <a:p>
          <a:r>
            <a:rPr lang="nb-NO" sz="1100" u="sng">
              <a:latin typeface="Times New Roman" panose="02020603050405020304" pitchFamily="18" charset="0"/>
              <a:cs typeface="Times New Roman" panose="02020603050405020304" pitchFamily="18" charset="0"/>
            </a:rPr>
            <a:t>Fremtind Livsforsikring</a:t>
          </a:r>
        </a:p>
        <a:p>
          <a:r>
            <a:rPr lang="nb-NO" sz="1100" u="none">
              <a:latin typeface="Times New Roman" panose="02020603050405020304" pitchFamily="18" charset="0"/>
              <a:cs typeface="Times New Roman" panose="02020603050405020304" pitchFamily="18" charset="0"/>
            </a:rPr>
            <a:t>Selskapet</a:t>
          </a:r>
          <a:r>
            <a:rPr lang="nb-NO" sz="1100" u="none" baseline="0">
              <a:latin typeface="Times New Roman" panose="02020603050405020304" pitchFamily="18" charset="0"/>
              <a:cs typeface="Times New Roman" panose="02020603050405020304" pitchFamily="18" charset="0"/>
            </a:rPr>
            <a:t> inngår i statistikken fra 1. kvartal 2020.</a:t>
          </a:r>
        </a:p>
        <a:p>
          <a:endParaRPr lang="nb-NO" sz="1100" u="none" baseline="0">
            <a:latin typeface="Times New Roman" panose="02020603050405020304" pitchFamily="18" charset="0"/>
            <a:cs typeface="Times New Roman" panose="02020603050405020304" pitchFamily="18" charset="0"/>
          </a:endParaRPr>
        </a:p>
        <a:p>
          <a:pPr marL="0" indent="0"/>
          <a:r>
            <a:rPr lang="nb-NO" sz="1100" u="sng">
              <a:solidFill>
                <a:schemeClr val="dk1"/>
              </a:solidFill>
              <a:latin typeface="Times New Roman" panose="02020603050405020304" pitchFamily="18" charset="0"/>
              <a:ea typeface="+mn-ea"/>
              <a:cs typeface="Times New Roman" panose="02020603050405020304" pitchFamily="18" charset="0"/>
            </a:rPr>
            <a:t>WaterCircle Forsikring</a:t>
          </a:r>
        </a:p>
        <a:p>
          <a:pPr marL="0" indent="0"/>
          <a:r>
            <a:rPr lang="nb-NO" sz="1100" u="none">
              <a:solidFill>
                <a:schemeClr val="dk1"/>
              </a:solidFill>
              <a:latin typeface="Times New Roman" panose="02020603050405020304" pitchFamily="18" charset="0"/>
              <a:ea typeface="+mn-ea"/>
              <a:cs typeface="Times New Roman" panose="02020603050405020304" pitchFamily="18" charset="0"/>
            </a:rPr>
            <a:t>Selskapet inngår i statistikken fra 1. kvartal 2020.</a:t>
          </a:r>
        </a:p>
        <a:p>
          <a:endParaRPr lang="nb-NO" sz="1100">
            <a:latin typeface="Times New Roman" panose="02020603050405020304" pitchFamily="18" charset="0"/>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Innsamlede data</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innsamlede data er identiske med det som forekommer i statistikken.</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underliggende tallene for statistikken er med en desimal, men statistikktallene publiseres uten desimaler. </a:t>
          </a: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Det betyr at sumtall i formler kan avvike fra de synlige summene.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1"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Prosentendringer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Prosentendringer med tallverdi ≥ 1000 gjengis som enten 999 eller - 999. Sammenligner vi tall med samme fortegn, vil vi få prosentøkning når vi går fra lavere tallverdi til høyere tallverdi. Sammenligner vi tall med ulike fortegn, vil vi få prosentøkning når vi går fra negative tall til positive tall. Prosentendringer fra negative tall til 0 (null) = + 100, mens prosentendringer fra positive tall til 0 (null) = - 100. Prosentendringer fra 0 til positive eller negative tall angis ikke (---). Det samme gjelder små tallstørrelser som vises som 0.</a:t>
          </a:r>
          <a:endParaRPr lang="nb-NO" sz="1100">
            <a:effectLst/>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file01\finansnorge\SFA\Statistikk%20og%20analyse\Fellessaker\Ny%20presentasjon%20MA\Overset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kk%20og%20analyse/Livstatistikk/Faste%20statistikker/MA/2019/Q3-2019/Mottatte/SpareBank%201%20-%20v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tatistikk%20og%20analyse/Livstatistikk/Faste%20statistikker/MA/2020/Q3-2020/Motatte/SpareBank%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at"/>
      <sheetName val="Oppslagstabeller"/>
      <sheetName val="Oversetter"/>
    </sheetNames>
    <sheetDataSet>
      <sheetData sheetId="0"/>
      <sheetData sheetId="1">
        <row r="1">
          <cell r="A1" t="str">
            <v>selskap_id</v>
          </cell>
          <cell r="B1" t="str">
            <v>sortering</v>
          </cell>
          <cell r="C1" t="str">
            <v>2a</v>
          </cell>
          <cell r="D1" t="str">
            <v>2b</v>
          </cell>
          <cell r="E1" t="str">
            <v>3a</v>
          </cell>
          <cell r="F1" t="str">
            <v>3b</v>
          </cell>
          <cell r="G1" t="str">
            <v>selskap_navn</v>
          </cell>
        </row>
        <row r="2">
          <cell r="A2" t="str">
            <v>19</v>
          </cell>
          <cell r="B2" t="str">
            <v>01</v>
          </cell>
          <cell r="C2">
            <v>3</v>
          </cell>
          <cell r="E2">
            <v>3</v>
          </cell>
          <cell r="G2" t="str">
            <v>ACE European Group Ltd</v>
          </cell>
        </row>
        <row r="3">
          <cell r="A3" t="str">
            <v>34</v>
          </cell>
          <cell r="B3" t="str">
            <v>02</v>
          </cell>
          <cell r="C3">
            <v>7</v>
          </cell>
          <cell r="D3">
            <v>3</v>
          </cell>
          <cell r="E3">
            <v>7</v>
          </cell>
          <cell r="F3">
            <v>3</v>
          </cell>
          <cell r="G3" t="str">
            <v>Danica Pensjonsforsikring</v>
          </cell>
        </row>
        <row r="4">
          <cell r="A4" t="str">
            <v>35</v>
          </cell>
          <cell r="B4" t="str">
            <v>03</v>
          </cell>
          <cell r="C4">
            <v>11</v>
          </cell>
          <cell r="D4">
            <v>7</v>
          </cell>
          <cell r="E4">
            <v>11</v>
          </cell>
          <cell r="F4">
            <v>7</v>
          </cell>
          <cell r="G4" t="str">
            <v>DNB Livsforsikring ASA</v>
          </cell>
          <cell r="N4">
            <v>16</v>
          </cell>
        </row>
        <row r="5">
          <cell r="A5" t="str">
            <v>15</v>
          </cell>
          <cell r="B5" t="str">
            <v>04</v>
          </cell>
          <cell r="C5">
            <v>15</v>
          </cell>
          <cell r="E5">
            <v>15</v>
          </cell>
          <cell r="G5" t="str">
            <v>Eika Gruppen AS</v>
          </cell>
          <cell r="N5" t="str">
            <v>4.-kvartal-2015-markedsandeler---endelige-tall-og-regnskapsstatistikk.xlsx</v>
          </cell>
        </row>
        <row r="6">
          <cell r="A6" t="str">
            <v>36</v>
          </cell>
          <cell r="B6" t="str">
            <v>05</v>
          </cell>
          <cell r="C6">
            <v>19</v>
          </cell>
          <cell r="D6">
            <v>11</v>
          </cell>
          <cell r="E6">
            <v>19</v>
          </cell>
          <cell r="F6">
            <v>11</v>
          </cell>
          <cell r="G6" t="str">
            <v>Frende Livsforsikring AS</v>
          </cell>
        </row>
        <row r="7">
          <cell r="A7" t="str">
            <v>20</v>
          </cell>
          <cell r="B7" t="str">
            <v>06</v>
          </cell>
          <cell r="C7">
            <v>23</v>
          </cell>
          <cell r="E7">
            <v>23</v>
          </cell>
          <cell r="G7" t="str">
            <v>Frende Skadeforsikring AS</v>
          </cell>
        </row>
        <row r="8">
          <cell r="A8" t="str">
            <v>4</v>
          </cell>
          <cell r="B8" t="str">
            <v>07</v>
          </cell>
          <cell r="C8">
            <v>27</v>
          </cell>
          <cell r="E8">
            <v>27</v>
          </cell>
          <cell r="G8" t="str">
            <v>Gjensidige Forsikring ASA</v>
          </cell>
        </row>
        <row r="9">
          <cell r="A9" t="str">
            <v>37</v>
          </cell>
          <cell r="B9" t="str">
            <v>08</v>
          </cell>
          <cell r="C9">
            <v>31</v>
          </cell>
          <cell r="D9">
            <v>15</v>
          </cell>
          <cell r="E9">
            <v>31</v>
          </cell>
          <cell r="F9">
            <v>15</v>
          </cell>
          <cell r="G9" t="str">
            <v>Gjensidige Pensjon og Sparing</v>
          </cell>
        </row>
        <row r="10">
          <cell r="A10" t="str">
            <v>38</v>
          </cell>
          <cell r="B10" t="str">
            <v>09</v>
          </cell>
          <cell r="C10">
            <v>35</v>
          </cell>
          <cell r="E10">
            <v>35</v>
          </cell>
          <cell r="G10" t="str">
            <v>Handelsbanken Liv</v>
          </cell>
        </row>
        <row r="11">
          <cell r="A11" t="str">
            <v>6</v>
          </cell>
          <cell r="B11" t="str">
            <v>10</v>
          </cell>
          <cell r="C11">
            <v>39</v>
          </cell>
          <cell r="E11">
            <v>39</v>
          </cell>
          <cell r="G11" t="str">
            <v>If Skadeforsikring nuf</v>
          </cell>
        </row>
        <row r="12">
          <cell r="A12" t="str">
            <v>39</v>
          </cell>
          <cell r="B12" t="str">
            <v>11</v>
          </cell>
          <cell r="C12">
            <v>47</v>
          </cell>
          <cell r="D12">
            <v>23</v>
          </cell>
          <cell r="E12">
            <v>47</v>
          </cell>
          <cell r="F12">
            <v>23</v>
          </cell>
          <cell r="G12" t="str">
            <v>KLP Bedriftspensjon AS</v>
          </cell>
        </row>
        <row r="13">
          <cell r="A13" t="str">
            <v>5</v>
          </cell>
          <cell r="B13" t="str">
            <v>12</v>
          </cell>
          <cell r="C13">
            <v>43</v>
          </cell>
          <cell r="D13">
            <v>19</v>
          </cell>
          <cell r="E13">
            <v>43</v>
          </cell>
          <cell r="F13">
            <v>19</v>
          </cell>
          <cell r="G13" t="str">
            <v>KLP</v>
          </cell>
        </row>
        <row r="14">
          <cell r="A14" t="str">
            <v>22</v>
          </cell>
          <cell r="B14" t="str">
            <v>13</v>
          </cell>
          <cell r="C14">
            <v>55</v>
          </cell>
          <cell r="E14">
            <v>55</v>
          </cell>
          <cell r="G14" t="str">
            <v>Landbruksforsikring AS</v>
          </cell>
        </row>
        <row r="15">
          <cell r="A15" t="str">
            <v>17</v>
          </cell>
          <cell r="B15" t="str">
            <v>14</v>
          </cell>
          <cell r="C15">
            <v>59</v>
          </cell>
          <cell r="E15">
            <v>59</v>
          </cell>
          <cell r="G15" t="str">
            <v>NEMI Forsikring AS</v>
          </cell>
        </row>
        <row r="16">
          <cell r="A16" t="str">
            <v>40</v>
          </cell>
          <cell r="B16" t="str">
            <v>15</v>
          </cell>
          <cell r="C16">
            <v>63</v>
          </cell>
          <cell r="D16">
            <v>27</v>
          </cell>
          <cell r="E16">
            <v>63</v>
          </cell>
          <cell r="F16">
            <v>27</v>
          </cell>
          <cell r="G16" t="str">
            <v>Livsforsikringsselskapet Nordea Liv Norge AS</v>
          </cell>
        </row>
        <row r="17">
          <cell r="A17" t="str">
            <v>41</v>
          </cell>
          <cell r="B17" t="str">
            <v>16</v>
          </cell>
          <cell r="C17">
            <v>67</v>
          </cell>
          <cell r="E17">
            <v>67</v>
          </cell>
          <cell r="G17" t="str">
            <v>Oslo Pensjonsforsikring</v>
          </cell>
        </row>
        <row r="18">
          <cell r="A18" t="str">
            <v>43</v>
          </cell>
          <cell r="B18" t="str">
            <v>17</v>
          </cell>
          <cell r="C18">
            <v>71</v>
          </cell>
          <cell r="D18">
            <v>35</v>
          </cell>
          <cell r="E18">
            <v>71</v>
          </cell>
          <cell r="F18">
            <v>35</v>
          </cell>
          <cell r="G18" t="str">
            <v>Silver Pensjonsforsikring  AS</v>
          </cell>
        </row>
        <row r="19">
          <cell r="A19" t="str">
            <v>49</v>
          </cell>
          <cell r="B19" t="str">
            <v>18</v>
          </cell>
          <cell r="C19">
            <v>75</v>
          </cell>
          <cell r="D19">
            <v>39</v>
          </cell>
          <cell r="E19">
            <v>75</v>
          </cell>
          <cell r="F19">
            <v>39</v>
          </cell>
          <cell r="G19" t="str">
            <v>Sparebank 1 Fondsforsikring</v>
          </cell>
        </row>
        <row r="20">
          <cell r="A20" t="str">
            <v>50</v>
          </cell>
          <cell r="B20" t="str">
            <v>19</v>
          </cell>
          <cell r="C20">
            <v>79</v>
          </cell>
          <cell r="D20">
            <v>43</v>
          </cell>
          <cell r="E20">
            <v>79</v>
          </cell>
          <cell r="F20">
            <v>43</v>
          </cell>
          <cell r="G20" t="str">
            <v>Storebrand Fondsforsikring</v>
          </cell>
        </row>
        <row r="21">
          <cell r="A21" t="str">
            <v>16</v>
          </cell>
          <cell r="B21" t="str">
            <v>20</v>
          </cell>
          <cell r="C21">
            <v>83</v>
          </cell>
          <cell r="E21">
            <v>83</v>
          </cell>
          <cell r="G21" t="str">
            <v>Telenor Forsikring AS</v>
          </cell>
        </row>
        <row r="22">
          <cell r="A22" t="str">
            <v>47</v>
          </cell>
          <cell r="B22" t="str">
            <v>21</v>
          </cell>
          <cell r="G22" t="str">
            <v>TrygVesta Forsikring</v>
          </cell>
        </row>
        <row r="23">
          <cell r="A23" t="str">
            <v>8</v>
          </cell>
          <cell r="B23" t="str">
            <v>22</v>
          </cell>
          <cell r="C23">
            <v>87</v>
          </cell>
          <cell r="E23">
            <v>87</v>
          </cell>
          <cell r="G23" t="str">
            <v>Tryg Forsikring</v>
          </cell>
        </row>
        <row r="24">
          <cell r="A24" t="str">
            <v>10</v>
          </cell>
          <cell r="B24" t="str">
            <v>23</v>
          </cell>
          <cell r="G24" t="str">
            <v>SpareBank 1 Forsikring AS</v>
          </cell>
        </row>
        <row r="25">
          <cell r="A25" t="str">
            <v>32</v>
          </cell>
          <cell r="B25" t="str">
            <v>24</v>
          </cell>
          <cell r="G25" t="str">
            <v>Storebrand ASA</v>
          </cell>
        </row>
        <row r="26">
          <cell r="A26" t="str">
            <v>33</v>
          </cell>
          <cell r="B26" t="str">
            <v>25</v>
          </cell>
          <cell r="G26" t="str">
            <v>Altraplan Luxembourg</v>
          </cell>
        </row>
        <row r="27">
          <cell r="A27" t="str">
            <v>42</v>
          </cell>
          <cell r="B27" t="str">
            <v>26</v>
          </cell>
          <cell r="D27">
            <v>31</v>
          </cell>
          <cell r="F27">
            <v>31</v>
          </cell>
          <cell r="G27" t="str">
            <v>SHB Liv</v>
          </cell>
        </row>
        <row r="28">
          <cell r="A28" t="str">
            <v>44</v>
          </cell>
          <cell r="B28" t="str">
            <v>27</v>
          </cell>
          <cell r="C28">
            <v>51</v>
          </cell>
          <cell r="E28">
            <v>51</v>
          </cell>
          <cell r="G28" t="str">
            <v>KLP Skadeforsikring</v>
          </cell>
        </row>
        <row r="29">
          <cell r="A29" t="str">
            <v>45</v>
          </cell>
          <cell r="B29" t="str">
            <v>28</v>
          </cell>
          <cell r="G29" t="str">
            <v>Commercial Union International Life</v>
          </cell>
        </row>
        <row r="30">
          <cell r="A30" t="str">
            <v>46</v>
          </cell>
          <cell r="B30" t="str">
            <v>29</v>
          </cell>
          <cell r="G30" t="str">
            <v>Gjensidige NOR Spareforsikring</v>
          </cell>
        </row>
        <row r="31">
          <cell r="A31" t="str">
            <v>48</v>
          </cell>
          <cell r="B31" t="str">
            <v>30</v>
          </cell>
          <cell r="G31" t="str">
            <v>Vesta</v>
          </cell>
        </row>
        <row r="32">
          <cell r="A32" t="str">
            <v>51</v>
          </cell>
          <cell r="B32" t="str">
            <v>31</v>
          </cell>
          <cell r="G32" t="str">
            <v>Danica Link</v>
          </cell>
        </row>
        <row r="33">
          <cell r="A33" t="str">
            <v>52</v>
          </cell>
          <cell r="B33" t="str">
            <v>32</v>
          </cell>
          <cell r="G33" t="str">
            <v>Danica Fondsforsikring</v>
          </cell>
        </row>
        <row r="34">
          <cell r="A34" t="str">
            <v>53</v>
          </cell>
          <cell r="B34" t="str">
            <v>33</v>
          </cell>
          <cell r="G34" t="str">
            <v>Gjensidige NOR Fondsforsikring</v>
          </cell>
        </row>
        <row r="35">
          <cell r="A35" t="str">
            <v>54</v>
          </cell>
          <cell r="B35" t="str">
            <v>34</v>
          </cell>
          <cell r="G35" t="str">
            <v>Vital Link</v>
          </cell>
        </row>
        <row r="36">
          <cell r="A36" t="str">
            <v>55</v>
          </cell>
          <cell r="B36" t="str">
            <v>35</v>
          </cell>
          <cell r="G36" t="str">
            <v>Nordea Link</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 2a"/>
      <sheetName val="Tabell 2b"/>
      <sheetName val="Tabell 3a"/>
      <sheetName val="Tabell 3b"/>
      <sheetName val="Tabell 4"/>
      <sheetName val="Tabell 6"/>
      <sheetName val="Tabell 8"/>
      <sheetName val="Noter og kommentarer"/>
    </sheetNames>
    <sheetDataSet>
      <sheetData sheetId="0"/>
      <sheetData sheetId="1"/>
      <sheetData sheetId="2"/>
      <sheetData sheetId="3"/>
      <sheetData sheetId="4"/>
      <sheetData sheetId="5">
        <row r="68">
          <cell r="AF68">
            <v>2702.741</v>
          </cell>
          <cell r="AI68">
            <v>13251</v>
          </cell>
        </row>
        <row r="69">
          <cell r="AI69">
            <v>13500.6</v>
          </cell>
        </row>
        <row r="71">
          <cell r="AI71">
            <v>7572.5</v>
          </cell>
        </row>
        <row r="74">
          <cell r="AI74">
            <v>8266.9</v>
          </cell>
        </row>
        <row r="75">
          <cell r="AI75">
            <v>2841.4</v>
          </cell>
        </row>
        <row r="78">
          <cell r="AI78">
            <v>742</v>
          </cell>
        </row>
        <row r="79">
          <cell r="AI79">
            <v>186760.69999999998</v>
          </cell>
        </row>
      </sheetData>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 2a"/>
      <sheetName val="Tabell 2b"/>
      <sheetName val="Tabell 3a"/>
      <sheetName val="Tabell 3b"/>
      <sheetName val="Tabell 4"/>
      <sheetName val="Tabell 6"/>
      <sheetName val="Tabell 8"/>
      <sheetName val="Noter og kommentarer"/>
    </sheetNames>
    <sheetDataSet>
      <sheetData sheetId="0"/>
      <sheetData sheetId="1"/>
      <sheetData sheetId="2"/>
      <sheetData sheetId="3"/>
      <sheetData sheetId="4"/>
      <sheetData sheetId="5">
        <row r="79">
          <cell r="AM79">
            <v>0</v>
          </cell>
        </row>
      </sheetData>
      <sheetData sheetId="6"/>
      <sheetData sheetId="7"/>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I55"/>
  <sheetViews>
    <sheetView showGridLines="0" topLeftCell="A25" workbookViewId="0">
      <selection activeCell="L37" sqref="L37"/>
    </sheetView>
  </sheetViews>
  <sheetFormatPr baseColWidth="10" defaultColWidth="11.42578125" defaultRowHeight="12.75" x14ac:dyDescent="0.2"/>
  <sheetData>
    <row r="1" spans="2:9" s="51" customFormat="1" x14ac:dyDescent="0.2"/>
    <row r="2" spans="2:9" s="51" customFormat="1" x14ac:dyDescent="0.2"/>
    <row r="3" spans="2:9" s="51" customFormat="1" x14ac:dyDescent="0.2"/>
    <row r="4" spans="2:9" s="51" customFormat="1" x14ac:dyDescent="0.2"/>
    <row r="5" spans="2:9" s="51" customFormat="1" x14ac:dyDescent="0.2">
      <c r="B5" s="52"/>
      <c r="C5" s="52"/>
      <c r="D5" s="52"/>
      <c r="E5" s="52"/>
      <c r="F5" s="52"/>
      <c r="G5" s="52"/>
      <c r="H5" s="52"/>
    </row>
    <row r="6" spans="2:9" s="51" customFormat="1" ht="23.25" x14ac:dyDescent="0.35">
      <c r="B6" s="53"/>
      <c r="C6" s="52"/>
      <c r="D6" s="52"/>
      <c r="E6" s="52"/>
      <c r="F6" s="52"/>
      <c r="G6" s="52"/>
      <c r="H6" s="52"/>
      <c r="I6" s="54"/>
    </row>
    <row r="7" spans="2:9" s="51" customFormat="1" x14ac:dyDescent="0.2">
      <c r="B7" s="52"/>
      <c r="C7" s="52"/>
      <c r="D7" s="52"/>
      <c r="E7" s="52"/>
      <c r="F7" s="52"/>
      <c r="G7" s="52"/>
      <c r="H7" s="52"/>
      <c r="I7" s="52"/>
    </row>
    <row r="8" spans="2:9" s="51" customFormat="1" x14ac:dyDescent="0.2">
      <c r="B8" s="52"/>
      <c r="C8" s="52"/>
      <c r="D8" s="52"/>
      <c r="F8" s="52"/>
      <c r="G8" s="52"/>
      <c r="H8" s="52"/>
    </row>
    <row r="9" spans="2:9" s="51" customFormat="1" x14ac:dyDescent="0.2">
      <c r="B9" s="52"/>
      <c r="C9" s="52"/>
      <c r="D9" s="52"/>
      <c r="E9" s="52"/>
      <c r="F9" s="52"/>
      <c r="G9" s="52"/>
      <c r="H9" s="52"/>
    </row>
    <row r="10" spans="2:9" s="51" customFormat="1" ht="23.25" x14ac:dyDescent="0.35">
      <c r="B10" s="52"/>
      <c r="C10" s="52"/>
      <c r="D10" s="52"/>
      <c r="I10" s="54"/>
    </row>
    <row r="11" spans="2:9" s="51" customFormat="1" x14ac:dyDescent="0.2">
      <c r="B11" s="52"/>
      <c r="C11" s="52"/>
      <c r="D11" s="52"/>
    </row>
    <row r="12" spans="2:9" s="51" customFormat="1" ht="27" customHeight="1" x14ac:dyDescent="0.35">
      <c r="B12" s="52"/>
      <c r="C12" s="52"/>
      <c r="D12" s="52"/>
      <c r="E12" s="52"/>
      <c r="F12" s="52"/>
      <c r="G12" s="52"/>
      <c r="H12" s="52"/>
      <c r="I12" s="54"/>
    </row>
    <row r="13" spans="2:9" s="51" customFormat="1" ht="19.5" customHeight="1" x14ac:dyDescent="0.35">
      <c r="B13" s="52"/>
      <c r="I13" s="54"/>
    </row>
    <row r="14" spans="2:9" s="51" customFormat="1" x14ac:dyDescent="0.2">
      <c r="B14" s="52"/>
      <c r="C14" s="52"/>
      <c r="D14" s="52"/>
      <c r="F14" s="52"/>
      <c r="G14" s="52"/>
      <c r="H14" s="52"/>
    </row>
    <row r="15" spans="2:9" s="51" customFormat="1" x14ac:dyDescent="0.2">
      <c r="B15" s="52"/>
      <c r="C15" s="52"/>
      <c r="D15" s="52"/>
      <c r="F15" s="52"/>
      <c r="G15" s="52"/>
      <c r="H15" s="52"/>
      <c r="I15" s="52"/>
    </row>
    <row r="16" spans="2:9" s="51" customFormat="1" ht="34.5" x14ac:dyDescent="0.45">
      <c r="B16" s="52"/>
      <c r="C16" s="52"/>
      <c r="D16" s="52"/>
      <c r="E16" s="55"/>
      <c r="F16" s="52"/>
      <c r="G16" s="52"/>
      <c r="H16" s="52"/>
      <c r="I16" s="52"/>
    </row>
    <row r="17" spans="2:9" s="51" customFormat="1" ht="33" x14ac:dyDescent="0.45">
      <c r="B17" s="52"/>
      <c r="C17" s="52"/>
      <c r="D17" s="52"/>
      <c r="E17" s="56"/>
      <c r="F17" s="52"/>
      <c r="G17" s="52"/>
      <c r="H17" s="52"/>
      <c r="I17" s="52"/>
    </row>
    <row r="18" spans="2:9" s="51" customFormat="1" ht="33" x14ac:dyDescent="0.45">
      <c r="D18" s="56"/>
    </row>
    <row r="19" spans="2:9" s="51" customFormat="1" ht="18.75" x14ac:dyDescent="0.3">
      <c r="E19" s="57"/>
      <c r="I19" s="58"/>
    </row>
    <row r="20" spans="2:9" s="51" customFormat="1" x14ac:dyDescent="0.2"/>
    <row r="21" spans="2:9" s="51" customFormat="1" x14ac:dyDescent="0.2">
      <c r="E21" s="59"/>
    </row>
    <row r="22" spans="2:9" s="51" customFormat="1" ht="26.25" x14ac:dyDescent="0.4">
      <c r="E22" s="60"/>
    </row>
    <row r="23" spans="2:9" s="51" customFormat="1" x14ac:dyDescent="0.2"/>
    <row r="24" spans="2:9" s="51" customFormat="1" x14ac:dyDescent="0.2"/>
    <row r="25" spans="2:9" s="51" customFormat="1" ht="18.75" x14ac:dyDescent="0.3">
      <c r="E25" s="61"/>
    </row>
    <row r="26" spans="2:9" s="51" customFormat="1" ht="18.75" x14ac:dyDescent="0.3">
      <c r="E26" s="62"/>
    </row>
    <row r="27" spans="2:9" s="51" customFormat="1" x14ac:dyDescent="0.2"/>
    <row r="28" spans="2:9" s="51" customFormat="1" x14ac:dyDescent="0.2"/>
    <row r="29" spans="2:9" s="51" customFormat="1" x14ac:dyDescent="0.2"/>
    <row r="30" spans="2:9" s="51" customFormat="1" x14ac:dyDescent="0.2"/>
    <row r="31" spans="2:9" s="51" customFormat="1" x14ac:dyDescent="0.2"/>
    <row r="32" spans="2:9" s="51" customFormat="1" x14ac:dyDescent="0.2"/>
    <row r="33" spans="1:9" s="51" customFormat="1" ht="35.25" x14ac:dyDescent="0.2">
      <c r="A33" s="63"/>
    </row>
    <row r="34" spans="1:9" s="51" customFormat="1" x14ac:dyDescent="0.2"/>
    <row r="35" spans="1:9" s="51" customFormat="1" x14ac:dyDescent="0.2"/>
    <row r="36" spans="1:9" s="51" customFormat="1" ht="33" x14ac:dyDescent="0.2">
      <c r="B36" s="64"/>
    </row>
    <row r="37" spans="1:9" s="51" customFormat="1" x14ac:dyDescent="0.2"/>
    <row r="38" spans="1:9" s="51" customFormat="1" x14ac:dyDescent="0.2"/>
    <row r="39" spans="1:9" s="51" customFormat="1" ht="18" x14ac:dyDescent="0.25">
      <c r="B39" s="65"/>
    </row>
    <row r="40" spans="1:9" s="51" customFormat="1" x14ac:dyDescent="0.2"/>
    <row r="41" spans="1:9" s="51" customFormat="1" ht="18.75" x14ac:dyDescent="0.3">
      <c r="I41" s="66"/>
    </row>
    <row r="42" spans="1:9" s="51" customFormat="1" x14ac:dyDescent="0.2"/>
    <row r="43" spans="1:9" s="51" customFormat="1" ht="18.75" x14ac:dyDescent="0.3">
      <c r="B43" s="710"/>
      <c r="C43" s="710"/>
      <c r="D43" s="710"/>
    </row>
    <row r="44" spans="1:9" s="51" customFormat="1" x14ac:dyDescent="0.2"/>
    <row r="45" spans="1:9" s="51" customFormat="1" x14ac:dyDescent="0.2"/>
    <row r="46" spans="1:9" s="51" customFormat="1" x14ac:dyDescent="0.2"/>
    <row r="47" spans="1:9" s="51" customFormat="1" x14ac:dyDescent="0.2"/>
    <row r="48" spans="1:9" s="51" customFormat="1" x14ac:dyDescent="0.2"/>
    <row r="49" s="51" customFormat="1" x14ac:dyDescent="0.2"/>
    <row r="50" s="51" customFormat="1" x14ac:dyDescent="0.2"/>
    <row r="51" s="51" customFormat="1" x14ac:dyDescent="0.2"/>
    <row r="52" s="51" customFormat="1" x14ac:dyDescent="0.2"/>
    <row r="53" s="51" customFormat="1" x14ac:dyDescent="0.2"/>
    <row r="54" s="51" customFormat="1" x14ac:dyDescent="0.2"/>
    <row r="55" s="51" customFormat="1" x14ac:dyDescent="0.2"/>
  </sheetData>
  <mergeCells count="1">
    <mergeCell ref="B43:D43"/>
  </mergeCells>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7"/>
  <dimension ref="A1:Q144"/>
  <sheetViews>
    <sheetView showGridLines="0" zoomScaleNormal="100" workbookViewId="0">
      <selection activeCell="A3" sqref="A3"/>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7" x14ac:dyDescent="0.2">
      <c r="A1" s="172" t="s">
        <v>135</v>
      </c>
      <c r="B1" s="709"/>
      <c r="C1" s="248" t="s">
        <v>123</v>
      </c>
      <c r="D1" s="26"/>
      <c r="E1" s="26"/>
      <c r="F1" s="26"/>
      <c r="G1" s="26"/>
      <c r="H1" s="26"/>
      <c r="I1" s="26"/>
      <c r="J1" s="26"/>
      <c r="K1" s="26"/>
      <c r="L1" s="26"/>
      <c r="M1" s="26"/>
    </row>
    <row r="2" spans="1:17" ht="15.75" x14ac:dyDescent="0.25">
      <c r="A2" s="165" t="s">
        <v>28</v>
      </c>
      <c r="B2" s="732"/>
      <c r="C2" s="732"/>
      <c r="D2" s="732"/>
      <c r="E2" s="299"/>
      <c r="F2" s="732"/>
      <c r="G2" s="732"/>
      <c r="H2" s="732"/>
      <c r="I2" s="299"/>
      <c r="J2" s="732"/>
      <c r="K2" s="732"/>
      <c r="L2" s="732"/>
      <c r="M2" s="299"/>
    </row>
    <row r="3" spans="1:17" ht="15.75" x14ac:dyDescent="0.25">
      <c r="A3" s="163"/>
      <c r="B3" s="299"/>
      <c r="C3" s="299"/>
      <c r="D3" s="299"/>
      <c r="E3" s="299"/>
      <c r="F3" s="299"/>
      <c r="G3" s="299"/>
      <c r="H3" s="299"/>
      <c r="I3" s="299"/>
      <c r="J3" s="299"/>
      <c r="K3" s="299"/>
      <c r="L3" s="299"/>
      <c r="M3" s="299"/>
    </row>
    <row r="4" spans="1:17" x14ac:dyDescent="0.2">
      <c r="A4" s="144"/>
      <c r="B4" s="733" t="s">
        <v>0</v>
      </c>
      <c r="C4" s="734"/>
      <c r="D4" s="734"/>
      <c r="E4" s="301"/>
      <c r="F4" s="733" t="s">
        <v>1</v>
      </c>
      <c r="G4" s="734"/>
      <c r="H4" s="734"/>
      <c r="I4" s="304"/>
      <c r="J4" s="733" t="s">
        <v>2</v>
      </c>
      <c r="K4" s="734"/>
      <c r="L4" s="734"/>
      <c r="M4" s="304"/>
    </row>
    <row r="5" spans="1:17" x14ac:dyDescent="0.2">
      <c r="A5" s="158"/>
      <c r="B5" s="152" t="s">
        <v>421</v>
      </c>
      <c r="C5" s="152" t="s">
        <v>422</v>
      </c>
      <c r="D5" s="245" t="s">
        <v>3</v>
      </c>
      <c r="E5" s="305" t="s">
        <v>29</v>
      </c>
      <c r="F5" s="152" t="s">
        <v>421</v>
      </c>
      <c r="G5" s="152" t="s">
        <v>422</v>
      </c>
      <c r="H5" s="245" t="s">
        <v>3</v>
      </c>
      <c r="I5" s="162" t="s">
        <v>29</v>
      </c>
      <c r="J5" s="152" t="s">
        <v>421</v>
      </c>
      <c r="K5" s="152" t="s">
        <v>422</v>
      </c>
      <c r="L5" s="245" t="s">
        <v>3</v>
      </c>
      <c r="M5" s="162" t="s">
        <v>29</v>
      </c>
    </row>
    <row r="6" spans="1:17" x14ac:dyDescent="0.2">
      <c r="A6" s="707"/>
      <c r="B6" s="156"/>
      <c r="C6" s="156"/>
      <c r="D6" s="246" t="s">
        <v>4</v>
      </c>
      <c r="E6" s="156" t="s">
        <v>30</v>
      </c>
      <c r="F6" s="161"/>
      <c r="G6" s="161"/>
      <c r="H6" s="245" t="s">
        <v>4</v>
      </c>
      <c r="I6" s="156" t="s">
        <v>30</v>
      </c>
      <c r="J6" s="161"/>
      <c r="K6" s="161"/>
      <c r="L6" s="245" t="s">
        <v>4</v>
      </c>
      <c r="M6" s="156" t="s">
        <v>30</v>
      </c>
    </row>
    <row r="7" spans="1:17" ht="15.75" x14ac:dyDescent="0.2">
      <c r="A7" s="14" t="s">
        <v>23</v>
      </c>
      <c r="B7" s="306">
        <v>498778</v>
      </c>
      <c r="C7" s="307">
        <v>225034</v>
      </c>
      <c r="D7" s="350">
        <f>IF(B7=0, "    ---- ", IF(ABS(ROUND(100/B7*C7-100,1))&lt;999,ROUND(100/B7*C7-100,1),IF(ROUND(100/B7*C7-100,1)&gt;999,999,-999)))</f>
        <v>-54.9</v>
      </c>
      <c r="E7" s="11">
        <f>IFERROR(100/'Skjema total MA'!C7*C7,0)</f>
        <v>6.0983797849797767</v>
      </c>
      <c r="F7" s="306">
        <v>389234</v>
      </c>
      <c r="G7" s="307">
        <v>428593.18699999998</v>
      </c>
      <c r="H7" s="350">
        <f>IF(F7=0, "    ---- ", IF(ABS(ROUND(100/F7*G7-100,1))&lt;999,ROUND(100/F7*G7-100,1),IF(ROUND(100/F7*G7-100,1)&gt;999,999,-999)))</f>
        <v>10.1</v>
      </c>
      <c r="I7" s="160">
        <f>IFERROR(100/'Skjema total MA'!F7*G7,0)</f>
        <v>6.207975490390786</v>
      </c>
      <c r="J7" s="308">
        <f t="shared" ref="J7:K12" si="0">SUM(B7,F7)</f>
        <v>888012</v>
      </c>
      <c r="K7" s="309">
        <f t="shared" si="0"/>
        <v>653627.18699999992</v>
      </c>
      <c r="L7" s="427">
        <f>IF(J7=0, "    ---- ", IF(ABS(ROUND(100/J7*K7-100,1))&lt;999,ROUND(100/J7*K7-100,1),IF(ROUND(100/J7*K7-100,1)&gt;999,999,-999)))</f>
        <v>-26.4</v>
      </c>
      <c r="M7" s="11">
        <f>IFERROR(100/'Skjema total MA'!I7*K7,0)</f>
        <v>6.1698014359654403</v>
      </c>
    </row>
    <row r="8" spans="1:17" ht="15.75" x14ac:dyDescent="0.2">
      <c r="A8" s="21" t="s">
        <v>25</v>
      </c>
      <c r="B8" s="281">
        <v>107293.611</v>
      </c>
      <c r="C8" s="282">
        <v>27519.701000000001</v>
      </c>
      <c r="D8" s="166">
        <f t="shared" ref="D8:D12" si="1">IF(B8=0, "    ---- ", IF(ABS(ROUND(100/B8*C8-100,1))&lt;999,ROUND(100/B8*C8-100,1),IF(ROUND(100/B8*C8-100,1)&gt;999,999,-999)))</f>
        <v>-74.400000000000006</v>
      </c>
      <c r="E8" s="27">
        <f>IFERROR(100/'Skjema total MA'!C8*C8,0)</f>
        <v>1.1375881706247848</v>
      </c>
      <c r="F8" s="285"/>
      <c r="G8" s="286"/>
      <c r="H8" s="166"/>
      <c r="I8" s="175"/>
      <c r="J8" s="234">
        <f t="shared" si="0"/>
        <v>107293.611</v>
      </c>
      <c r="K8" s="287">
        <f t="shared" si="0"/>
        <v>27519.701000000001</v>
      </c>
      <c r="L8" s="166">
        <f t="shared" ref="L8:L9" si="2">IF(J8=0, "    ---- ", IF(ABS(ROUND(100/J8*K8-100,1))&lt;999,ROUND(100/J8*K8-100,1),IF(ROUND(100/J8*K8-100,1)&gt;999,999,-999)))</f>
        <v>-74.400000000000006</v>
      </c>
      <c r="M8" s="27">
        <f>IFERROR(100/'Skjema total MA'!I8*K8,0)</f>
        <v>1.1375881706247848</v>
      </c>
    </row>
    <row r="9" spans="1:17" ht="15.75" x14ac:dyDescent="0.2">
      <c r="A9" s="21" t="s">
        <v>24</v>
      </c>
      <c r="B9" s="281">
        <v>38489.260999999999</v>
      </c>
      <c r="C9" s="282">
        <v>16733.897000000001</v>
      </c>
      <c r="D9" s="166">
        <f t="shared" si="1"/>
        <v>-56.5</v>
      </c>
      <c r="E9" s="27">
        <f>IFERROR(100/'Skjema total MA'!C9*C9,0)</f>
        <v>2.2180599756475905</v>
      </c>
      <c r="F9" s="285"/>
      <c r="G9" s="286"/>
      <c r="H9" s="166"/>
      <c r="I9" s="175"/>
      <c r="J9" s="234">
        <f t="shared" si="0"/>
        <v>38489.260999999999</v>
      </c>
      <c r="K9" s="287">
        <f t="shared" si="0"/>
        <v>16733.897000000001</v>
      </c>
      <c r="L9" s="166">
        <f t="shared" si="2"/>
        <v>-56.5</v>
      </c>
      <c r="M9" s="27">
        <f>IFERROR(100/'Skjema total MA'!I9*K9,0)</f>
        <v>2.2180599756475905</v>
      </c>
    </row>
    <row r="10" spans="1:17" ht="15.75" x14ac:dyDescent="0.2">
      <c r="A10" s="13" t="s">
        <v>365</v>
      </c>
      <c r="B10" s="310">
        <v>13237947</v>
      </c>
      <c r="C10" s="311">
        <v>11811289</v>
      </c>
      <c r="D10" s="171">
        <f t="shared" si="1"/>
        <v>-10.8</v>
      </c>
      <c r="E10" s="11">
        <f>IFERROR(100/'Skjema total MA'!C10*C10,0)</f>
        <v>65.508703483401334</v>
      </c>
      <c r="F10" s="310">
        <v>5974277.6150000002</v>
      </c>
      <c r="G10" s="311">
        <v>6255609.5310000004</v>
      </c>
      <c r="H10" s="171">
        <f t="shared" ref="H10:H12" si="3">IF(F10=0, "    ---- ", IF(ABS(ROUND(100/F10*G10-100,1))&lt;999,ROUND(100/F10*G10-100,1),IF(ROUND(100/F10*G10-100,1)&gt;999,999,-999)))</f>
        <v>4.7</v>
      </c>
      <c r="I10" s="160">
        <f>IFERROR(100/'Skjema total MA'!F10*G10,0)</f>
        <v>11.292746187628323</v>
      </c>
      <c r="J10" s="308">
        <f t="shared" si="0"/>
        <v>19212224.615000002</v>
      </c>
      <c r="K10" s="309">
        <f t="shared" si="0"/>
        <v>18066898.530999999</v>
      </c>
      <c r="L10" s="428">
        <f t="shared" ref="L10:L12" si="4">IF(J10=0, "    ---- ", IF(ABS(ROUND(100/J10*K10-100,1))&lt;999,ROUND(100/J10*K10-100,1),IF(ROUND(100/J10*K10-100,1)&gt;999,999,-999)))</f>
        <v>-6</v>
      </c>
      <c r="M10" s="11">
        <f>IFERROR(100/'Skjema total MA'!I10*K10,0)</f>
        <v>24.605908149102977</v>
      </c>
      <c r="Q10" s="149"/>
    </row>
    <row r="11" spans="1:17" s="43" customFormat="1" ht="15.75" x14ac:dyDescent="0.2">
      <c r="A11" s="13" t="s">
        <v>366</v>
      </c>
      <c r="B11" s="310">
        <v>45521.815999999999</v>
      </c>
      <c r="C11" s="311">
        <v>29977</v>
      </c>
      <c r="D11" s="171">
        <f t="shared" si="1"/>
        <v>-34.1</v>
      </c>
      <c r="E11" s="11">
        <f>IFERROR(100/'Skjema total MA'!C11*C11,0)</f>
        <v>100</v>
      </c>
      <c r="F11" s="310">
        <v>17286.255000000001</v>
      </c>
      <c r="G11" s="311">
        <v>40983</v>
      </c>
      <c r="H11" s="171">
        <f t="shared" si="3"/>
        <v>137.1</v>
      </c>
      <c r="I11" s="160">
        <f>IFERROR(100/'Skjema total MA'!F11*G11,0)</f>
        <v>15.818757002064972</v>
      </c>
      <c r="J11" s="308">
        <f t="shared" si="0"/>
        <v>62808.070999999996</v>
      </c>
      <c r="K11" s="309">
        <f t="shared" si="0"/>
        <v>70960</v>
      </c>
      <c r="L11" s="428">
        <f t="shared" si="4"/>
        <v>13</v>
      </c>
      <c r="M11" s="11">
        <f>IFERROR(100/'Skjema total MA'!I11*K11,0)</f>
        <v>24.548917925546206</v>
      </c>
      <c r="N11" s="143"/>
    </row>
    <row r="12" spans="1:17" s="43" customFormat="1" ht="15.75" x14ac:dyDescent="0.2">
      <c r="A12" s="41" t="s">
        <v>367</v>
      </c>
      <c r="B12" s="312">
        <v>4903</v>
      </c>
      <c r="C12" s="313">
        <v>2399</v>
      </c>
      <c r="D12" s="169">
        <f t="shared" si="1"/>
        <v>-51.1</v>
      </c>
      <c r="E12" s="36">
        <f>IFERROR(100/'Skjema total MA'!C12*C12,0)</f>
        <v>100</v>
      </c>
      <c r="F12" s="312">
        <v>78912</v>
      </c>
      <c r="G12" s="313">
        <v>104875</v>
      </c>
      <c r="H12" s="169">
        <f t="shared" si="3"/>
        <v>32.9</v>
      </c>
      <c r="I12" s="169">
        <f>IFERROR(100/'Skjema total MA'!F12*G12,0)</f>
        <v>53.328716148089917</v>
      </c>
      <c r="J12" s="314">
        <f t="shared" si="0"/>
        <v>83815</v>
      </c>
      <c r="K12" s="315">
        <f t="shared" si="0"/>
        <v>107274</v>
      </c>
      <c r="L12" s="429">
        <f t="shared" si="4"/>
        <v>28</v>
      </c>
      <c r="M12" s="36">
        <f>IFERROR(100/'Skjema total MA'!I12*K12,0)</f>
        <v>53.891191252087239</v>
      </c>
      <c r="N12" s="143"/>
      <c r="Q12" s="143"/>
    </row>
    <row r="13" spans="1:17" s="43" customFormat="1" x14ac:dyDescent="0.2">
      <c r="A13" s="168"/>
      <c r="B13" s="145"/>
      <c r="C13" s="33"/>
      <c r="D13" s="159"/>
      <c r="E13" s="159"/>
      <c r="F13" s="145"/>
      <c r="G13" s="33"/>
      <c r="H13" s="159"/>
      <c r="I13" s="159"/>
      <c r="J13" s="48"/>
      <c r="K13" s="48"/>
      <c r="L13" s="159"/>
      <c r="M13" s="159"/>
      <c r="N13" s="143"/>
    </row>
    <row r="14" spans="1:17" x14ac:dyDescent="0.2">
      <c r="A14" s="153" t="s">
        <v>275</v>
      </c>
      <c r="B14" s="26"/>
    </row>
    <row r="15" spans="1:17" x14ac:dyDescent="0.2">
      <c r="F15" s="146"/>
      <c r="G15" s="146"/>
      <c r="H15" s="146"/>
      <c r="I15" s="146"/>
      <c r="J15" s="146"/>
      <c r="K15" s="146"/>
      <c r="L15" s="146"/>
      <c r="M15" s="146"/>
    </row>
    <row r="16" spans="1:17" s="3" customFormat="1" ht="15.75" x14ac:dyDescent="0.25">
      <c r="A16" s="164"/>
      <c r="B16" s="148"/>
      <c r="C16" s="154"/>
      <c r="D16" s="154"/>
      <c r="E16" s="154"/>
      <c r="F16" s="154"/>
      <c r="G16" s="154"/>
      <c r="H16" s="154"/>
      <c r="I16" s="154"/>
      <c r="J16" s="154"/>
      <c r="K16" s="154"/>
      <c r="L16" s="154"/>
      <c r="M16" s="154"/>
      <c r="N16" s="148"/>
    </row>
    <row r="17" spans="1:14" ht="15.75" x14ac:dyDescent="0.25">
      <c r="A17" s="147" t="s">
        <v>272</v>
      </c>
      <c r="B17" s="157"/>
      <c r="C17" s="157"/>
      <c r="D17" s="151"/>
      <c r="E17" s="151"/>
      <c r="F17" s="157"/>
      <c r="G17" s="157"/>
      <c r="H17" s="157"/>
      <c r="I17" s="157"/>
      <c r="J17" s="157"/>
      <c r="K17" s="157"/>
      <c r="L17" s="157"/>
      <c r="M17" s="157"/>
    </row>
    <row r="18" spans="1:14" ht="15.75" x14ac:dyDescent="0.25">
      <c r="B18" s="735"/>
      <c r="C18" s="735"/>
      <c r="D18" s="735"/>
      <c r="E18" s="299"/>
      <c r="F18" s="735"/>
      <c r="G18" s="735"/>
      <c r="H18" s="735"/>
      <c r="I18" s="299"/>
      <c r="J18" s="735"/>
      <c r="K18" s="735"/>
      <c r="L18" s="735"/>
      <c r="M18" s="299"/>
    </row>
    <row r="19" spans="1:14" x14ac:dyDescent="0.2">
      <c r="A19" s="144"/>
      <c r="B19" s="733" t="s">
        <v>0</v>
      </c>
      <c r="C19" s="734"/>
      <c r="D19" s="734"/>
      <c r="E19" s="301"/>
      <c r="F19" s="733" t="s">
        <v>1</v>
      </c>
      <c r="G19" s="734"/>
      <c r="H19" s="734"/>
      <c r="I19" s="304"/>
      <c r="J19" s="733" t="s">
        <v>2</v>
      </c>
      <c r="K19" s="734"/>
      <c r="L19" s="734"/>
      <c r="M19" s="304"/>
    </row>
    <row r="20" spans="1:14" x14ac:dyDescent="0.2">
      <c r="A20" s="140" t="s">
        <v>5</v>
      </c>
      <c r="B20" s="152" t="s">
        <v>421</v>
      </c>
      <c r="C20" s="152" t="s">
        <v>422</v>
      </c>
      <c r="D20" s="162" t="s">
        <v>3</v>
      </c>
      <c r="E20" s="305" t="s">
        <v>29</v>
      </c>
      <c r="F20" s="152" t="s">
        <v>421</v>
      </c>
      <c r="G20" s="152" t="s">
        <v>422</v>
      </c>
      <c r="H20" s="162" t="s">
        <v>3</v>
      </c>
      <c r="I20" s="162" t="s">
        <v>29</v>
      </c>
      <c r="J20" s="152" t="s">
        <v>421</v>
      </c>
      <c r="K20" s="152" t="s">
        <v>422</v>
      </c>
      <c r="L20" s="162" t="s">
        <v>3</v>
      </c>
      <c r="M20" s="162" t="s">
        <v>29</v>
      </c>
    </row>
    <row r="21" spans="1:14" x14ac:dyDescent="0.2">
      <c r="A21" s="708"/>
      <c r="B21" s="156"/>
      <c r="C21" s="156"/>
      <c r="D21" s="246" t="s">
        <v>4</v>
      </c>
      <c r="E21" s="156" t="s">
        <v>30</v>
      </c>
      <c r="F21" s="161"/>
      <c r="G21" s="161"/>
      <c r="H21" s="245" t="s">
        <v>4</v>
      </c>
      <c r="I21" s="156" t="s">
        <v>30</v>
      </c>
      <c r="J21" s="161"/>
      <c r="K21" s="161"/>
      <c r="L21" s="156" t="s">
        <v>4</v>
      </c>
      <c r="M21" s="156" t="s">
        <v>30</v>
      </c>
    </row>
    <row r="22" spans="1:14" ht="15.75" x14ac:dyDescent="0.2">
      <c r="A22" s="14" t="s">
        <v>23</v>
      </c>
      <c r="B22" s="310">
        <v>240671.55300000001</v>
      </c>
      <c r="C22" s="310">
        <v>223121.97200000001</v>
      </c>
      <c r="D22" s="350">
        <f t="shared" ref="D22:D39" si="5">IF(B22=0, "    ---- ", IF(ABS(ROUND(100/B22*C22-100,1))&lt;999,ROUND(100/B22*C22-100,1),IF(ROUND(100/B22*C22-100,1)&gt;999,999,-999)))</f>
        <v>-7.3</v>
      </c>
      <c r="E22" s="11">
        <f>IFERROR(100/'Skjema total MA'!C22*C22,0)</f>
        <v>16.66932004310058</v>
      </c>
      <c r="F22" s="318">
        <v>44799.47</v>
      </c>
      <c r="G22" s="318">
        <v>97826.137000000002</v>
      </c>
      <c r="H22" s="350">
        <f t="shared" ref="H22:H35" si="6">IF(F22=0, "    ---- ", IF(ABS(ROUND(100/F22*G22-100,1))&lt;999,ROUND(100/F22*G22-100,1),IF(ROUND(100/F22*G22-100,1)&gt;999,999,-999)))</f>
        <v>118.4</v>
      </c>
      <c r="I22" s="11">
        <f>IFERROR(100/'Skjema total MA'!F22*G22,0)</f>
        <v>10.590895156072024</v>
      </c>
      <c r="J22" s="316">
        <f t="shared" ref="J22:K35" si="7">SUM(B22,F22)</f>
        <v>285471.02300000004</v>
      </c>
      <c r="K22" s="316">
        <f t="shared" si="7"/>
        <v>320948.109</v>
      </c>
      <c r="L22" s="427">
        <f t="shared" ref="L22:L35" si="8">IF(J22=0, "    ---- ", IF(ABS(ROUND(100/J22*K22-100,1))&lt;999,ROUND(100/J22*K22-100,1),IF(ROUND(100/J22*K22-100,1)&gt;999,999,-999)))</f>
        <v>12.4</v>
      </c>
      <c r="M22" s="24">
        <f>IFERROR(100/'Skjema total MA'!I22*K22,0)</f>
        <v>14.187431635985098</v>
      </c>
    </row>
    <row r="23" spans="1:14" ht="15.75" x14ac:dyDescent="0.2">
      <c r="A23" s="584" t="s">
        <v>368</v>
      </c>
      <c r="B23" s="281">
        <v>201390.48499999999</v>
      </c>
      <c r="C23" s="281">
        <v>180337.652</v>
      </c>
      <c r="D23" s="166">
        <f t="shared" si="5"/>
        <v>-10.5</v>
      </c>
      <c r="E23" s="11">
        <f>IFERROR(100/'Skjema total MA'!C23*C23,0)</f>
        <v>35.963893858761544</v>
      </c>
      <c r="F23" s="290">
        <v>27109.234</v>
      </c>
      <c r="G23" s="290">
        <v>90515.798999999999</v>
      </c>
      <c r="H23" s="166">
        <f t="shared" si="6"/>
        <v>233.9</v>
      </c>
      <c r="I23" s="417">
        <f>IFERROR(100/'Skjema total MA'!F23*G23,0)</f>
        <v>75.841076407558546</v>
      </c>
      <c r="J23" s="290">
        <f t="shared" ref="J23:J25" si="9">SUM(B23,F23)</f>
        <v>228499.71899999998</v>
      </c>
      <c r="K23" s="290">
        <f t="shared" ref="K23:K25" si="10">SUM(C23,G23)</f>
        <v>270853.451</v>
      </c>
      <c r="L23" s="166">
        <f t="shared" si="8"/>
        <v>18.5</v>
      </c>
      <c r="M23" s="23">
        <f>IFERROR(100/'Skjema total MA'!I23*K23,0)</f>
        <v>43.63043642393027</v>
      </c>
    </row>
    <row r="24" spans="1:14" ht="15.75" x14ac:dyDescent="0.2">
      <c r="A24" s="584" t="s">
        <v>369</v>
      </c>
      <c r="B24" s="281">
        <v>16029.924000000001</v>
      </c>
      <c r="C24" s="281">
        <v>18914.817999999999</v>
      </c>
      <c r="D24" s="166">
        <f t="shared" si="5"/>
        <v>18</v>
      </c>
      <c r="E24" s="11">
        <f>IFERROR(100/'Skjema total MA'!C24*C24,0)</f>
        <v>78.012848298208468</v>
      </c>
      <c r="F24" s="290">
        <v>1383.9290000000001</v>
      </c>
      <c r="G24" s="290">
        <v>32.529000000000003</v>
      </c>
      <c r="H24" s="166">
        <f t="shared" si="6"/>
        <v>-97.6</v>
      </c>
      <c r="I24" s="417">
        <f>IFERROR(100/'Skjema total MA'!F24*G24,0)</f>
        <v>3.3506829124194799</v>
      </c>
      <c r="J24" s="290">
        <f t="shared" si="9"/>
        <v>17413.853000000003</v>
      </c>
      <c r="K24" s="290">
        <f t="shared" si="10"/>
        <v>18947.346999999998</v>
      </c>
      <c r="L24" s="166">
        <f t="shared" si="8"/>
        <v>8.8000000000000007</v>
      </c>
      <c r="M24" s="23">
        <f>IFERROR(100/'Skjema total MA'!I24*K24,0)</f>
        <v>75.138419152494848</v>
      </c>
    </row>
    <row r="25" spans="1:14" ht="15.75" x14ac:dyDescent="0.2">
      <c r="A25" s="584" t="s">
        <v>370</v>
      </c>
      <c r="B25" s="281">
        <v>23251.144</v>
      </c>
      <c r="C25" s="281">
        <v>23869.502</v>
      </c>
      <c r="D25" s="166">
        <f t="shared" si="5"/>
        <v>2.7</v>
      </c>
      <c r="E25" s="11">
        <f>IFERROR(100/'Skjema total MA'!C25*C25,0)</f>
        <v>98.738340090728656</v>
      </c>
      <c r="F25" s="290">
        <v>16306.307000000001</v>
      </c>
      <c r="G25" s="290">
        <v>7277.8090000000002</v>
      </c>
      <c r="H25" s="166">
        <f t="shared" si="6"/>
        <v>-55.4</v>
      </c>
      <c r="I25" s="417">
        <f>IFERROR(100/'Skjema total MA'!F25*G25,0)</f>
        <v>40.131771912926311</v>
      </c>
      <c r="J25" s="290">
        <f t="shared" si="9"/>
        <v>39557.451000000001</v>
      </c>
      <c r="K25" s="290">
        <f t="shared" si="10"/>
        <v>31147.311000000002</v>
      </c>
      <c r="L25" s="166">
        <f t="shared" si="8"/>
        <v>-21.3</v>
      </c>
      <c r="M25" s="23">
        <f>IFERROR(100/'Skjema total MA'!I25*K25,0)</f>
        <v>73.618148774339687</v>
      </c>
    </row>
    <row r="26" spans="1:14" ht="15.75" x14ac:dyDescent="0.2">
      <c r="A26" s="584" t="s">
        <v>371</v>
      </c>
      <c r="B26" s="281"/>
      <c r="C26" s="281"/>
      <c r="D26" s="166"/>
      <c r="E26" s="11"/>
      <c r="F26" s="290"/>
      <c r="G26" s="290"/>
      <c r="H26" s="166"/>
      <c r="I26" s="417"/>
      <c r="J26" s="290"/>
      <c r="K26" s="290"/>
      <c r="L26" s="166"/>
      <c r="M26" s="23"/>
    </row>
    <row r="27" spans="1:14" x14ac:dyDescent="0.2">
      <c r="A27" s="584" t="s">
        <v>11</v>
      </c>
      <c r="B27" s="281"/>
      <c r="C27" s="281"/>
      <c r="D27" s="166"/>
      <c r="E27" s="11"/>
      <c r="F27" s="290"/>
      <c r="G27" s="290"/>
      <c r="H27" s="166"/>
      <c r="I27" s="417"/>
      <c r="J27" s="290"/>
      <c r="K27" s="290"/>
      <c r="L27" s="166"/>
      <c r="M27" s="23"/>
    </row>
    <row r="28" spans="1:14" ht="15.75" x14ac:dyDescent="0.2">
      <c r="A28" s="49" t="s">
        <v>276</v>
      </c>
      <c r="B28" s="44">
        <v>155384.00599999999</v>
      </c>
      <c r="C28" s="287">
        <v>86087.680999999997</v>
      </c>
      <c r="D28" s="166">
        <f t="shared" si="5"/>
        <v>-44.6</v>
      </c>
      <c r="E28" s="11">
        <f>IFERROR(100/'Skjema total MA'!C28*C28,0)</f>
        <v>5.8124112020788328</v>
      </c>
      <c r="F28" s="234"/>
      <c r="G28" s="287"/>
      <c r="H28" s="166"/>
      <c r="I28" s="27"/>
      <c r="J28" s="44">
        <f t="shared" si="7"/>
        <v>155384.00599999999</v>
      </c>
      <c r="K28" s="44">
        <f t="shared" si="7"/>
        <v>86087.680999999997</v>
      </c>
      <c r="L28" s="254">
        <f t="shared" si="8"/>
        <v>-44.6</v>
      </c>
      <c r="M28" s="23">
        <f>IFERROR(100/'Skjema total MA'!I28*K28,0)</f>
        <v>5.8124112020788328</v>
      </c>
    </row>
    <row r="29" spans="1:14" s="3" customFormat="1" ht="15.75" x14ac:dyDescent="0.2">
      <c r="A29" s="13" t="s">
        <v>365</v>
      </c>
      <c r="B29" s="236">
        <v>25102611</v>
      </c>
      <c r="C29" s="236">
        <v>23968731</v>
      </c>
      <c r="D29" s="171">
        <f t="shared" si="5"/>
        <v>-4.5</v>
      </c>
      <c r="E29" s="11">
        <f>IFERROR(100/'Skjema total MA'!C29*C29,0)</f>
        <v>52.145896477470075</v>
      </c>
      <c r="F29" s="308">
        <v>5457497.7630000003</v>
      </c>
      <c r="G29" s="308">
        <v>5504152.7680000002</v>
      </c>
      <c r="H29" s="171">
        <f t="shared" si="6"/>
        <v>0.9</v>
      </c>
      <c r="I29" s="11">
        <f>IFERROR(100/'Skjema total MA'!F29*G29,0)</f>
        <v>24.068177861528181</v>
      </c>
      <c r="J29" s="236">
        <f t="shared" si="7"/>
        <v>30560108.763</v>
      </c>
      <c r="K29" s="236">
        <f t="shared" si="7"/>
        <v>29472883.767999999</v>
      </c>
      <c r="L29" s="428">
        <f t="shared" si="8"/>
        <v>-3.6</v>
      </c>
      <c r="M29" s="24">
        <f>IFERROR(100/'Skjema total MA'!I29*K29,0)</f>
        <v>42.817486540201564</v>
      </c>
      <c r="N29" s="148"/>
    </row>
    <row r="30" spans="1:14" s="3" customFormat="1" ht="15.75" x14ac:dyDescent="0.2">
      <c r="A30" s="584" t="s">
        <v>368</v>
      </c>
      <c r="B30" s="281">
        <v>4495425</v>
      </c>
      <c r="C30" s="281">
        <v>9526200</v>
      </c>
      <c r="D30" s="166">
        <f t="shared" si="5"/>
        <v>111.9</v>
      </c>
      <c r="E30" s="11">
        <f>IFERROR(100/'Skjema total MA'!C30*C30,0)</f>
        <v>69.450652392720514</v>
      </c>
      <c r="F30" s="290">
        <v>1937020.1680000001</v>
      </c>
      <c r="G30" s="290">
        <v>2099086.2209999999</v>
      </c>
      <c r="H30" s="166">
        <f t="shared" si="6"/>
        <v>8.4</v>
      </c>
      <c r="I30" s="417">
        <f>IFERROR(100/'Skjema total MA'!F30*G30,0)</f>
        <v>47.304109763424982</v>
      </c>
      <c r="J30" s="290">
        <f t="shared" ref="J30:J32" si="11">SUM(B30,F30)</f>
        <v>6432445.1679999996</v>
      </c>
      <c r="K30" s="290">
        <f t="shared" ref="K30:K32" si="12">SUM(C30,G30)</f>
        <v>11625286.221000001</v>
      </c>
      <c r="L30" s="166">
        <f t="shared" si="8"/>
        <v>80.7</v>
      </c>
      <c r="M30" s="23">
        <f>IFERROR(100/'Skjema total MA'!I30*K30,0)</f>
        <v>64.037295405462942</v>
      </c>
      <c r="N30" s="148"/>
    </row>
    <row r="31" spans="1:14" s="3" customFormat="1" ht="15.75" x14ac:dyDescent="0.2">
      <c r="A31" s="584" t="s">
        <v>369</v>
      </c>
      <c r="B31" s="281">
        <v>19482333</v>
      </c>
      <c r="C31" s="281">
        <v>11982468</v>
      </c>
      <c r="D31" s="166">
        <f t="shared" si="5"/>
        <v>-38.5</v>
      </c>
      <c r="E31" s="11">
        <f>IFERROR(100/'Skjema total MA'!C31*C31,0)</f>
        <v>50.302172733736214</v>
      </c>
      <c r="F31" s="290">
        <v>3097210.122</v>
      </c>
      <c r="G31" s="290">
        <v>2952253.0249999999</v>
      </c>
      <c r="H31" s="166">
        <f t="shared" si="6"/>
        <v>-4.7</v>
      </c>
      <c r="I31" s="417">
        <f>IFERROR(100/'Skjema total MA'!F31*G31,0)</f>
        <v>31.902565820711033</v>
      </c>
      <c r="J31" s="290">
        <f t="shared" si="11"/>
        <v>22579543.122000001</v>
      </c>
      <c r="K31" s="290">
        <f t="shared" si="12"/>
        <v>14934721.025</v>
      </c>
      <c r="L31" s="166">
        <f t="shared" si="8"/>
        <v>-33.9</v>
      </c>
      <c r="M31" s="23">
        <f>IFERROR(100/'Skjema total MA'!I31*K31,0)</f>
        <v>45.154186087485044</v>
      </c>
      <c r="N31" s="148"/>
    </row>
    <row r="32" spans="1:14" ht="15.75" x14ac:dyDescent="0.2">
      <c r="A32" s="584" t="s">
        <v>370</v>
      </c>
      <c r="B32" s="281">
        <v>1124853</v>
      </c>
      <c r="C32" s="281">
        <v>2460063</v>
      </c>
      <c r="D32" s="166">
        <f t="shared" si="5"/>
        <v>118.7</v>
      </c>
      <c r="E32" s="11">
        <f>IFERROR(100/'Skjema total MA'!C32*C32,0)</f>
        <v>83.360767253600329</v>
      </c>
      <c r="F32" s="290">
        <v>423267.473</v>
      </c>
      <c r="G32" s="290">
        <v>452813.522</v>
      </c>
      <c r="H32" s="166">
        <f t="shared" si="6"/>
        <v>7</v>
      </c>
      <c r="I32" s="417">
        <f>IFERROR(100/'Skjema total MA'!F32*G32,0)</f>
        <v>9.2407979184647999</v>
      </c>
      <c r="J32" s="290">
        <f t="shared" si="11"/>
        <v>1548120.473</v>
      </c>
      <c r="K32" s="290">
        <f t="shared" si="12"/>
        <v>2912876.5219999999</v>
      </c>
      <c r="L32" s="166">
        <f t="shared" si="8"/>
        <v>88.2</v>
      </c>
      <c r="M32" s="23">
        <f>IFERROR(100/'Skjema total MA'!I32*K32,0)</f>
        <v>37.1007514764364</v>
      </c>
    </row>
    <row r="33" spans="1:14" ht="15.75" x14ac:dyDescent="0.2">
      <c r="A33" s="584" t="s">
        <v>371</v>
      </c>
      <c r="B33" s="281"/>
      <c r="C33" s="281"/>
      <c r="D33" s="166"/>
      <c r="E33" s="11"/>
      <c r="F33" s="290"/>
      <c r="G33" s="290"/>
      <c r="H33" s="166"/>
      <c r="I33" s="417"/>
      <c r="J33" s="290"/>
      <c r="K33" s="290"/>
      <c r="L33" s="166"/>
      <c r="M33" s="23"/>
    </row>
    <row r="34" spans="1:14" ht="15.75" x14ac:dyDescent="0.2">
      <c r="A34" s="13" t="s">
        <v>366</v>
      </c>
      <c r="B34" s="236">
        <v>16539.883000000002</v>
      </c>
      <c r="C34" s="309">
        <v>7138</v>
      </c>
      <c r="D34" s="171">
        <f t="shared" si="5"/>
        <v>-56.8</v>
      </c>
      <c r="E34" s="11">
        <f>IFERROR(100/'Skjema total MA'!C34*C34,0)</f>
        <v>50.189571453623017</v>
      </c>
      <c r="F34" s="308">
        <v>9178.4279999999999</v>
      </c>
      <c r="G34" s="309">
        <v>-53537</v>
      </c>
      <c r="H34" s="171">
        <f t="shared" si="6"/>
        <v>-683.3</v>
      </c>
      <c r="I34" s="11">
        <f>IFERROR(100/'Skjema total MA'!F34*G34,0)</f>
        <v>-491.70323914433914</v>
      </c>
      <c r="J34" s="236">
        <f t="shared" si="7"/>
        <v>25718.311000000002</v>
      </c>
      <c r="K34" s="236">
        <f t="shared" si="7"/>
        <v>-46399</v>
      </c>
      <c r="L34" s="428">
        <f t="shared" si="8"/>
        <v>-280.39999999999998</v>
      </c>
      <c r="M34" s="24">
        <f>IFERROR(100/'Skjema total MA'!I34*K34,0)</f>
        <v>-184.78185521114057</v>
      </c>
    </row>
    <row r="35" spans="1:14" ht="15.75" x14ac:dyDescent="0.2">
      <c r="A35" s="13" t="s">
        <v>367</v>
      </c>
      <c r="B35" s="236">
        <v>-16658</v>
      </c>
      <c r="C35" s="309">
        <v>-79979</v>
      </c>
      <c r="D35" s="171">
        <f t="shared" si="5"/>
        <v>380.1</v>
      </c>
      <c r="E35" s="11">
        <f>IFERROR(100/'Skjema total MA'!C35*C35,0)</f>
        <v>103.85326204077093</v>
      </c>
      <c r="F35" s="308">
        <v>27364</v>
      </c>
      <c r="G35" s="309">
        <v>42083</v>
      </c>
      <c r="H35" s="171">
        <f t="shared" si="6"/>
        <v>53.8</v>
      </c>
      <c r="I35" s="11">
        <f>IFERROR(100/'Skjema total MA'!F35*G35,0)</f>
        <v>36.358952211687743</v>
      </c>
      <c r="J35" s="236">
        <f t="shared" si="7"/>
        <v>10706</v>
      </c>
      <c r="K35" s="236">
        <f t="shared" si="7"/>
        <v>-37896</v>
      </c>
      <c r="L35" s="428">
        <f t="shared" si="8"/>
        <v>-454</v>
      </c>
      <c r="M35" s="24">
        <f>IFERROR(100/'Skjema total MA'!I35*K35,0)</f>
        <v>-97.842548238859322</v>
      </c>
    </row>
    <row r="36" spans="1:14" ht="15.75" x14ac:dyDescent="0.2">
      <c r="A36" s="12" t="s">
        <v>284</v>
      </c>
      <c r="B36" s="236">
        <v>2228</v>
      </c>
      <c r="C36" s="309">
        <v>2680</v>
      </c>
      <c r="D36" s="171">
        <f t="shared" si="5"/>
        <v>20.3</v>
      </c>
      <c r="E36" s="11">
        <f>100/'Skjema total MA'!C36*C36</f>
        <v>97.869869592050634</v>
      </c>
      <c r="F36" s="319"/>
      <c r="G36" s="320"/>
      <c r="H36" s="171"/>
      <c r="I36" s="434"/>
      <c r="J36" s="236">
        <f t="shared" ref="J36:J39" si="13">SUM(B36,F36)</f>
        <v>2228</v>
      </c>
      <c r="K36" s="236">
        <f t="shared" ref="K36:K39" si="14">SUM(C36,G36)</f>
        <v>2680</v>
      </c>
      <c r="L36" s="428"/>
      <c r="M36" s="24">
        <f>IFERROR(100/'Skjema total MA'!I36*K36,0)</f>
        <v>97.869869592050634</v>
      </c>
    </row>
    <row r="37" spans="1:14" ht="15.75" x14ac:dyDescent="0.2">
      <c r="A37" s="12" t="s">
        <v>373</v>
      </c>
      <c r="B37" s="236">
        <v>3273258</v>
      </c>
      <c r="C37" s="309">
        <v>3126694</v>
      </c>
      <c r="D37" s="171">
        <f t="shared" si="5"/>
        <v>-4.5</v>
      </c>
      <c r="E37" s="11">
        <f>100/'Skjema total MA'!C37*C37</f>
        <v>87.283658135183614</v>
      </c>
      <c r="F37" s="319"/>
      <c r="G37" s="321"/>
      <c r="H37" s="171"/>
      <c r="I37" s="434"/>
      <c r="J37" s="236">
        <f t="shared" si="13"/>
        <v>3273258</v>
      </c>
      <c r="K37" s="236">
        <f t="shared" si="14"/>
        <v>3126694</v>
      </c>
      <c r="L37" s="428"/>
      <c r="M37" s="24">
        <f>IFERROR(100/'Skjema total MA'!I37*K37,0)</f>
        <v>87.283658135183614</v>
      </c>
    </row>
    <row r="38" spans="1:14" ht="15.75" x14ac:dyDescent="0.2">
      <c r="A38" s="12" t="s">
        <v>374</v>
      </c>
      <c r="B38" s="236"/>
      <c r="C38" s="309"/>
      <c r="D38" s="171"/>
      <c r="E38" s="24"/>
      <c r="F38" s="319"/>
      <c r="G38" s="320"/>
      <c r="H38" s="171"/>
      <c r="I38" s="434"/>
      <c r="J38" s="236"/>
      <c r="K38" s="236"/>
      <c r="L38" s="428"/>
      <c r="M38" s="24"/>
    </row>
    <row r="39" spans="1:14" ht="15.75" x14ac:dyDescent="0.2">
      <c r="A39" s="18" t="s">
        <v>375</v>
      </c>
      <c r="B39" s="276">
        <v>2</v>
      </c>
      <c r="C39" s="315">
        <v>17</v>
      </c>
      <c r="D39" s="169">
        <f t="shared" si="5"/>
        <v>750</v>
      </c>
      <c r="E39" s="36">
        <f>IFERROR(100/'Skjema total MA'!C38*C39,0)</f>
        <v>0</v>
      </c>
      <c r="F39" s="322"/>
      <c r="G39" s="323"/>
      <c r="H39" s="169"/>
      <c r="I39" s="36"/>
      <c r="J39" s="236">
        <f t="shared" si="13"/>
        <v>2</v>
      </c>
      <c r="K39" s="236">
        <f t="shared" si="14"/>
        <v>17</v>
      </c>
      <c r="L39" s="429"/>
      <c r="M39" s="36">
        <f>IFERROR(100/'Skjema total MA'!I39*K39,0)</f>
        <v>100</v>
      </c>
    </row>
    <row r="40" spans="1:14" ht="15.75" x14ac:dyDescent="0.25">
      <c r="A40" s="47"/>
      <c r="B40" s="253"/>
      <c r="C40" s="253"/>
      <c r="D40" s="736"/>
      <c r="E40" s="736"/>
      <c r="F40" s="736"/>
      <c r="G40" s="736"/>
      <c r="H40" s="736"/>
      <c r="I40" s="736"/>
      <c r="J40" s="736"/>
      <c r="K40" s="736"/>
      <c r="L40" s="736"/>
      <c r="M40" s="302"/>
    </row>
    <row r="41" spans="1:14" x14ac:dyDescent="0.2">
      <c r="A41" s="155"/>
    </row>
    <row r="42" spans="1:14" ht="15.75" x14ac:dyDescent="0.25">
      <c r="A42" s="147" t="s">
        <v>273</v>
      </c>
      <c r="B42" s="732"/>
      <c r="C42" s="732"/>
      <c r="D42" s="732"/>
      <c r="E42" s="299"/>
      <c r="F42" s="737"/>
      <c r="G42" s="737"/>
      <c r="H42" s="737"/>
      <c r="I42" s="302"/>
      <c r="J42" s="737"/>
      <c r="K42" s="737"/>
      <c r="L42" s="737"/>
      <c r="M42" s="302"/>
    </row>
    <row r="43" spans="1:14" ht="15.75" x14ac:dyDescent="0.25">
      <c r="A43" s="163"/>
      <c r="B43" s="303"/>
      <c r="C43" s="303"/>
      <c r="D43" s="303"/>
      <c r="E43" s="303"/>
      <c r="F43" s="302"/>
      <c r="G43" s="302"/>
      <c r="H43" s="302"/>
      <c r="I43" s="302"/>
      <c r="J43" s="302"/>
      <c r="K43" s="302"/>
      <c r="L43" s="302"/>
      <c r="M43" s="302"/>
    </row>
    <row r="44" spans="1:14" ht="15.75" x14ac:dyDescent="0.25">
      <c r="A44" s="247"/>
      <c r="B44" s="733" t="s">
        <v>0</v>
      </c>
      <c r="C44" s="734"/>
      <c r="D44" s="734"/>
      <c r="E44" s="243"/>
      <c r="F44" s="302"/>
      <c r="G44" s="302"/>
      <c r="H44" s="302"/>
      <c r="I44" s="302"/>
      <c r="J44" s="302"/>
      <c r="K44" s="302"/>
      <c r="L44" s="302"/>
      <c r="M44" s="302"/>
    </row>
    <row r="45" spans="1:14" s="3" customFormat="1" x14ac:dyDescent="0.2">
      <c r="A45" s="140"/>
      <c r="B45" s="152" t="s">
        <v>421</v>
      </c>
      <c r="C45" s="152" t="s">
        <v>422</v>
      </c>
      <c r="D45" s="162" t="s">
        <v>3</v>
      </c>
      <c r="E45" s="162" t="s">
        <v>29</v>
      </c>
      <c r="F45" s="174"/>
      <c r="G45" s="174"/>
      <c r="H45" s="173"/>
      <c r="I45" s="173"/>
      <c r="J45" s="174"/>
      <c r="K45" s="174"/>
      <c r="L45" s="173"/>
      <c r="M45" s="173"/>
      <c r="N45" s="148"/>
    </row>
    <row r="46" spans="1:14" s="3" customFormat="1" x14ac:dyDescent="0.2">
      <c r="A46" s="708"/>
      <c r="B46" s="244"/>
      <c r="C46" s="244"/>
      <c r="D46" s="245" t="s">
        <v>4</v>
      </c>
      <c r="E46" s="156" t="s">
        <v>30</v>
      </c>
      <c r="F46" s="173"/>
      <c r="G46" s="173"/>
      <c r="H46" s="173"/>
      <c r="I46" s="173"/>
      <c r="J46" s="173"/>
      <c r="K46" s="173"/>
      <c r="L46" s="173"/>
      <c r="M46" s="173"/>
      <c r="N46" s="148"/>
    </row>
    <row r="47" spans="1:14" s="3" customFormat="1" ht="15.75" x14ac:dyDescent="0.2">
      <c r="A47" s="14" t="s">
        <v>23</v>
      </c>
      <c r="B47" s="310">
        <v>663151</v>
      </c>
      <c r="C47" s="311">
        <v>506104</v>
      </c>
      <c r="D47" s="427">
        <f t="shared" ref="D47:D57" si="15">IF(B47=0, "    ---- ", IF(ABS(ROUND(100/B47*C47-100,1))&lt;999,ROUND(100/B47*C47-100,1),IF(ROUND(100/B47*C47-100,1)&gt;999,999,-999)))</f>
        <v>-23.7</v>
      </c>
      <c r="E47" s="11">
        <f>IFERROR(100/'Skjema total MA'!C47*C47,0)</f>
        <v>11.975718563250176</v>
      </c>
      <c r="F47" s="145"/>
      <c r="G47" s="33"/>
      <c r="H47" s="159"/>
      <c r="I47" s="159"/>
      <c r="J47" s="37"/>
      <c r="K47" s="37"/>
      <c r="L47" s="159"/>
      <c r="M47" s="159"/>
      <c r="N47" s="148"/>
    </row>
    <row r="48" spans="1:14" s="3" customFormat="1" ht="15.75" x14ac:dyDescent="0.2">
      <c r="A48" s="38" t="s">
        <v>376</v>
      </c>
      <c r="B48" s="281">
        <v>422177</v>
      </c>
      <c r="C48" s="282">
        <v>506104</v>
      </c>
      <c r="D48" s="254">
        <f t="shared" si="15"/>
        <v>19.899999999999999</v>
      </c>
      <c r="E48" s="27">
        <f>IFERROR(100/'Skjema total MA'!C48*C48,0)</f>
        <v>21.274933571163547</v>
      </c>
      <c r="F48" s="145"/>
      <c r="G48" s="33"/>
      <c r="H48" s="145"/>
      <c r="I48" s="145"/>
      <c r="J48" s="33"/>
      <c r="K48" s="33"/>
      <c r="L48" s="159"/>
      <c r="M48" s="159"/>
      <c r="N48" s="148"/>
    </row>
    <row r="49" spans="1:14" s="3" customFormat="1" ht="15.75" x14ac:dyDescent="0.2">
      <c r="A49" s="38" t="s">
        <v>377</v>
      </c>
      <c r="B49" s="44">
        <v>240974</v>
      </c>
      <c r="C49" s="287">
        <v>0</v>
      </c>
      <c r="D49" s="254">
        <f>IF(B49=0, "    ---- ", IF(ABS(ROUND(100/B49*C49-100,1))&lt;999,ROUND(100/B49*C49-100,1),IF(ROUND(100/B49*C49-100,1)&gt;999,999,-999)))</f>
        <v>-100</v>
      </c>
      <c r="E49" s="27">
        <f>IFERROR(100/'Skjema total MA'!C49*C49,0)</f>
        <v>0</v>
      </c>
      <c r="F49" s="145"/>
      <c r="G49" s="33"/>
      <c r="H49" s="145"/>
      <c r="I49" s="145"/>
      <c r="J49" s="37"/>
      <c r="K49" s="37"/>
      <c r="L49" s="159"/>
      <c r="M49" s="159"/>
      <c r="N49" s="148"/>
    </row>
    <row r="50" spans="1:14" s="3" customFormat="1" x14ac:dyDescent="0.2">
      <c r="A50" s="296" t="s">
        <v>6</v>
      </c>
      <c r="B50" s="290"/>
      <c r="C50" s="291"/>
      <c r="D50" s="254"/>
      <c r="E50" s="23"/>
      <c r="F50" s="145"/>
      <c r="G50" s="33"/>
      <c r="H50" s="145"/>
      <c r="I50" s="145"/>
      <c r="J50" s="33"/>
      <c r="K50" s="33"/>
      <c r="L50" s="159"/>
      <c r="M50" s="159"/>
      <c r="N50" s="148"/>
    </row>
    <row r="51" spans="1:14" s="3" customFormat="1" x14ac:dyDescent="0.2">
      <c r="A51" s="296" t="s">
        <v>7</v>
      </c>
      <c r="B51" s="290"/>
      <c r="C51" s="291"/>
      <c r="D51" s="254"/>
      <c r="E51" s="23"/>
      <c r="F51" s="145"/>
      <c r="G51" s="33"/>
      <c r="H51" s="145"/>
      <c r="I51" s="145"/>
      <c r="J51" s="33"/>
      <c r="K51" s="33"/>
      <c r="L51" s="159"/>
      <c r="M51" s="159"/>
      <c r="N51" s="148"/>
    </row>
    <row r="52" spans="1:14" s="3" customFormat="1" x14ac:dyDescent="0.2">
      <c r="A52" s="296" t="s">
        <v>8</v>
      </c>
      <c r="B52" s="290"/>
      <c r="C52" s="291"/>
      <c r="D52" s="254"/>
      <c r="E52" s="23"/>
      <c r="F52" s="145"/>
      <c r="G52" s="33"/>
      <c r="H52" s="145"/>
      <c r="I52" s="145"/>
      <c r="J52" s="33"/>
      <c r="K52" s="33"/>
      <c r="L52" s="159"/>
      <c r="M52" s="159"/>
      <c r="N52" s="148"/>
    </row>
    <row r="53" spans="1:14" s="3" customFormat="1" ht="15.75" x14ac:dyDescent="0.2">
      <c r="A53" s="39" t="s">
        <v>378</v>
      </c>
      <c r="B53" s="310">
        <v>93853</v>
      </c>
      <c r="C53" s="311">
        <v>56976</v>
      </c>
      <c r="D53" s="428">
        <f t="shared" si="15"/>
        <v>-39.299999999999997</v>
      </c>
      <c r="E53" s="11">
        <f>IFERROR(100/'Skjema total MA'!C53*C53,0)</f>
        <v>36.64931266136108</v>
      </c>
      <c r="F53" s="145"/>
      <c r="G53" s="33"/>
      <c r="H53" s="145"/>
      <c r="I53" s="145"/>
      <c r="J53" s="33"/>
      <c r="K53" s="33"/>
      <c r="L53" s="159"/>
      <c r="M53" s="159"/>
      <c r="N53" s="148"/>
    </row>
    <row r="54" spans="1:14" s="3" customFormat="1" ht="15.75" x14ac:dyDescent="0.2">
      <c r="A54" s="38" t="s">
        <v>376</v>
      </c>
      <c r="B54" s="281">
        <v>93853</v>
      </c>
      <c r="C54" s="282">
        <v>56976</v>
      </c>
      <c r="D54" s="254">
        <f t="shared" si="15"/>
        <v>-39.299999999999997</v>
      </c>
      <c r="E54" s="27">
        <f>IFERROR(100/'Skjema total MA'!C54*C54,0)</f>
        <v>36.64931266136108</v>
      </c>
      <c r="F54" s="145"/>
      <c r="G54" s="33"/>
      <c r="H54" s="145"/>
      <c r="I54" s="145"/>
      <c r="J54" s="33"/>
      <c r="K54" s="33"/>
      <c r="L54" s="159"/>
      <c r="M54" s="159"/>
      <c r="N54" s="148"/>
    </row>
    <row r="55" spans="1:14" s="3" customFormat="1" ht="15.75" x14ac:dyDescent="0.2">
      <c r="A55" s="38" t="s">
        <v>377</v>
      </c>
      <c r="B55" s="281"/>
      <c r="C55" s="282"/>
      <c r="D55" s="254"/>
      <c r="E55" s="27"/>
      <c r="F55" s="145"/>
      <c r="G55" s="33"/>
      <c r="H55" s="145"/>
      <c r="I55" s="145"/>
      <c r="J55" s="33"/>
      <c r="K55" s="33"/>
      <c r="L55" s="159"/>
      <c r="M55" s="159"/>
      <c r="N55" s="148"/>
    </row>
    <row r="56" spans="1:14" s="3" customFormat="1" ht="15.75" x14ac:dyDescent="0.2">
      <c r="A56" s="39" t="s">
        <v>379</v>
      </c>
      <c r="B56" s="310">
        <v>8503</v>
      </c>
      <c r="C56" s="311">
        <v>10783</v>
      </c>
      <c r="D56" s="428">
        <f t="shared" si="15"/>
        <v>26.8</v>
      </c>
      <c r="E56" s="11">
        <f>IFERROR(100/'Skjema total MA'!C56*C56,0)</f>
        <v>9.0828336062114285</v>
      </c>
      <c r="F56" s="145"/>
      <c r="G56" s="33"/>
      <c r="H56" s="145"/>
      <c r="I56" s="145"/>
      <c r="J56" s="33"/>
      <c r="K56" s="33"/>
      <c r="L56" s="159"/>
      <c r="M56" s="159"/>
      <c r="N56" s="148"/>
    </row>
    <row r="57" spans="1:14" s="3" customFormat="1" ht="15.75" x14ac:dyDescent="0.2">
      <c r="A57" s="38" t="s">
        <v>376</v>
      </c>
      <c r="B57" s="281">
        <v>8503</v>
      </c>
      <c r="C57" s="282">
        <v>10783</v>
      </c>
      <c r="D57" s="254">
        <f t="shared" si="15"/>
        <v>26.8</v>
      </c>
      <c r="E57" s="27">
        <f>IFERROR(100/'Skjema total MA'!C57*C57,0)</f>
        <v>9.0828336062114285</v>
      </c>
      <c r="F57" s="145"/>
      <c r="G57" s="33"/>
      <c r="H57" s="145"/>
      <c r="I57" s="145"/>
      <c r="J57" s="33"/>
      <c r="K57" s="33"/>
      <c r="L57" s="159"/>
      <c r="M57" s="159"/>
      <c r="N57" s="148"/>
    </row>
    <row r="58" spans="1:14" s="3" customFormat="1" ht="15.75" x14ac:dyDescent="0.2">
      <c r="A58" s="46" t="s">
        <v>377</v>
      </c>
      <c r="B58" s="283"/>
      <c r="C58" s="284"/>
      <c r="D58" s="255"/>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274</v>
      </c>
      <c r="C61" s="26"/>
      <c r="D61" s="26"/>
      <c r="E61" s="26"/>
      <c r="F61" s="26"/>
      <c r="G61" s="26"/>
      <c r="H61" s="26"/>
      <c r="I61" s="26"/>
      <c r="J61" s="26"/>
      <c r="K61" s="26"/>
      <c r="L61" s="26"/>
      <c r="M61" s="26"/>
    </row>
    <row r="62" spans="1:14" ht="15.75" x14ac:dyDescent="0.25">
      <c r="B62" s="735"/>
      <c r="C62" s="735"/>
      <c r="D62" s="735"/>
      <c r="E62" s="299"/>
      <c r="F62" s="735"/>
      <c r="G62" s="735"/>
      <c r="H62" s="735"/>
      <c r="I62" s="299"/>
      <c r="J62" s="735"/>
      <c r="K62" s="735"/>
      <c r="L62" s="735"/>
      <c r="M62" s="299"/>
    </row>
    <row r="63" spans="1:14" x14ac:dyDescent="0.2">
      <c r="A63" s="144"/>
      <c r="B63" s="733" t="s">
        <v>0</v>
      </c>
      <c r="C63" s="734"/>
      <c r="D63" s="738"/>
      <c r="E63" s="300"/>
      <c r="F63" s="734" t="s">
        <v>1</v>
      </c>
      <c r="G63" s="734"/>
      <c r="H63" s="734"/>
      <c r="I63" s="304"/>
      <c r="J63" s="733" t="s">
        <v>2</v>
      </c>
      <c r="K63" s="734"/>
      <c r="L63" s="734"/>
      <c r="M63" s="304"/>
    </row>
    <row r="64" spans="1:14" x14ac:dyDescent="0.2">
      <c r="A64" s="140"/>
      <c r="B64" s="152" t="s">
        <v>421</v>
      </c>
      <c r="C64" s="152" t="s">
        <v>422</v>
      </c>
      <c r="D64" s="245" t="s">
        <v>3</v>
      </c>
      <c r="E64" s="305" t="s">
        <v>29</v>
      </c>
      <c r="F64" s="152" t="s">
        <v>421</v>
      </c>
      <c r="G64" s="152" t="s">
        <v>422</v>
      </c>
      <c r="H64" s="245" t="s">
        <v>3</v>
      </c>
      <c r="I64" s="305" t="s">
        <v>29</v>
      </c>
      <c r="J64" s="152" t="s">
        <v>421</v>
      </c>
      <c r="K64" s="152" t="s">
        <v>422</v>
      </c>
      <c r="L64" s="245" t="s">
        <v>3</v>
      </c>
      <c r="M64" s="162" t="s">
        <v>29</v>
      </c>
    </row>
    <row r="65" spans="1:14" x14ac:dyDescent="0.2">
      <c r="A65" s="708"/>
      <c r="B65" s="156"/>
      <c r="C65" s="156"/>
      <c r="D65" s="246" t="s">
        <v>4</v>
      </c>
      <c r="E65" s="156" t="s">
        <v>30</v>
      </c>
      <c r="F65" s="161"/>
      <c r="G65" s="161"/>
      <c r="H65" s="245" t="s">
        <v>4</v>
      </c>
      <c r="I65" s="156" t="s">
        <v>30</v>
      </c>
      <c r="J65" s="161"/>
      <c r="K65" s="206"/>
      <c r="L65" s="156" t="s">
        <v>4</v>
      </c>
      <c r="M65" s="156" t="s">
        <v>30</v>
      </c>
    </row>
    <row r="66" spans="1:14" ht="15.75" x14ac:dyDescent="0.2">
      <c r="A66" s="14" t="s">
        <v>23</v>
      </c>
      <c r="B66" s="353">
        <v>2310431.9392300001</v>
      </c>
      <c r="C66" s="353">
        <v>1587906.875</v>
      </c>
      <c r="D66" s="350">
        <f t="shared" ref="D66:D111" si="16">IF(B66=0, "    ---- ", IF(ABS(ROUND(100/B66*C66-100,1))&lt;999,ROUND(100/B66*C66-100,1),IF(ROUND(100/B66*C66-100,1)&gt;999,999,-999)))</f>
        <v>-31.3</v>
      </c>
      <c r="E66" s="11">
        <f>IFERROR(100/'Skjema total MA'!C66*C66,0)</f>
        <v>26.801693148651477</v>
      </c>
      <c r="F66" s="352">
        <v>6840881</v>
      </c>
      <c r="G66" s="352">
        <v>6875051.6770000001</v>
      </c>
      <c r="H66" s="350">
        <f t="shared" ref="H66:H111" si="17">IF(F66=0, "    ---- ", IF(ABS(ROUND(100/F66*G66-100,1))&lt;999,ROUND(100/F66*G66-100,1),IF(ROUND(100/F66*G66-100,1)&gt;999,999,-999)))</f>
        <v>0.5</v>
      </c>
      <c r="I66" s="11">
        <f>IFERROR(100/'Skjema total MA'!F66*G66,0)</f>
        <v>26.425803968004509</v>
      </c>
      <c r="J66" s="309">
        <f t="shared" ref="J66:K86" si="18">SUM(B66,F66)</f>
        <v>9151312.9392300006</v>
      </c>
      <c r="K66" s="316">
        <f t="shared" si="18"/>
        <v>8462958.5520000011</v>
      </c>
      <c r="L66" s="428">
        <f t="shared" ref="L66:L111" si="19">IF(J66=0, "    ---- ", IF(ABS(ROUND(100/J66*K66-100,1))&lt;999,ROUND(100/J66*K66-100,1),IF(ROUND(100/J66*K66-100,1)&gt;999,999,-999)))</f>
        <v>-7.5</v>
      </c>
      <c r="M66" s="11">
        <f>IFERROR(100/'Skjema total MA'!I66*K66,0)</f>
        <v>26.495526469992694</v>
      </c>
    </row>
    <row r="67" spans="1:14" x14ac:dyDescent="0.2">
      <c r="A67" s="21" t="s">
        <v>9</v>
      </c>
      <c r="B67" s="44">
        <v>2076560</v>
      </c>
      <c r="C67" s="145">
        <v>1386100</v>
      </c>
      <c r="D67" s="166">
        <f t="shared" si="16"/>
        <v>-33.299999999999997</v>
      </c>
      <c r="E67" s="27">
        <f>IFERROR(100/'Skjema total MA'!C67*C67,0)</f>
        <v>33.272640900412831</v>
      </c>
      <c r="F67" s="234"/>
      <c r="G67" s="145"/>
      <c r="H67" s="166"/>
      <c r="I67" s="27"/>
      <c r="J67" s="287">
        <f t="shared" si="18"/>
        <v>2076560</v>
      </c>
      <c r="K67" s="44">
        <f t="shared" si="18"/>
        <v>1386100</v>
      </c>
      <c r="L67" s="254">
        <f t="shared" si="19"/>
        <v>-33.299999999999997</v>
      </c>
      <c r="M67" s="27">
        <f>IFERROR(100/'Skjema total MA'!I67*K67,0)</f>
        <v>33.272640900412831</v>
      </c>
    </row>
    <row r="68" spans="1:14" x14ac:dyDescent="0.2">
      <c r="A68" s="21" t="s">
        <v>10</v>
      </c>
      <c r="B68" s="292"/>
      <c r="C68" s="293"/>
      <c r="D68" s="166"/>
      <c r="E68" s="27"/>
      <c r="F68" s="292">
        <v>6840881</v>
      </c>
      <c r="G68" s="293">
        <v>6875051.6770000001</v>
      </c>
      <c r="H68" s="166">
        <f t="shared" si="17"/>
        <v>0.5</v>
      </c>
      <c r="I68" s="27">
        <f>IFERROR(100/'Skjema total MA'!F68*G68,0)</f>
        <v>27.51405460764483</v>
      </c>
      <c r="J68" s="287">
        <f t="shared" si="18"/>
        <v>6840881</v>
      </c>
      <c r="K68" s="44">
        <f t="shared" si="18"/>
        <v>6875051.6770000001</v>
      </c>
      <c r="L68" s="254">
        <f t="shared" si="19"/>
        <v>0.5</v>
      </c>
      <c r="M68" s="27">
        <f>IFERROR(100/'Skjema total MA'!I68*K68,0)</f>
        <v>27.384290957064902</v>
      </c>
    </row>
    <row r="69" spans="1:14" ht="15.75" x14ac:dyDescent="0.2">
      <c r="A69" s="296" t="s">
        <v>380</v>
      </c>
      <c r="B69" s="294"/>
      <c r="C69" s="295"/>
      <c r="D69" s="166"/>
      <c r="E69" s="417"/>
      <c r="F69" s="294"/>
      <c r="G69" s="295"/>
      <c r="H69" s="166"/>
      <c r="I69" s="417"/>
      <c r="J69" s="294"/>
      <c r="K69" s="295"/>
      <c r="L69" s="166"/>
      <c r="M69" s="23"/>
    </row>
    <row r="70" spans="1:14" x14ac:dyDescent="0.2">
      <c r="A70" s="296" t="s">
        <v>12</v>
      </c>
      <c r="B70" s="294"/>
      <c r="C70" s="295"/>
      <c r="D70" s="166"/>
      <c r="E70" s="417"/>
      <c r="F70" s="294"/>
      <c r="G70" s="295"/>
      <c r="H70" s="166"/>
      <c r="I70" s="417"/>
      <c r="J70" s="294"/>
      <c r="K70" s="295"/>
      <c r="L70" s="166"/>
      <c r="M70" s="23"/>
    </row>
    <row r="71" spans="1:14" x14ac:dyDescent="0.2">
      <c r="A71" s="296" t="s">
        <v>13</v>
      </c>
      <c r="B71" s="235"/>
      <c r="C71" s="289"/>
      <c r="D71" s="166"/>
      <c r="E71" s="417"/>
      <c r="F71" s="294"/>
      <c r="G71" s="295"/>
      <c r="H71" s="166"/>
      <c r="I71" s="417"/>
      <c r="J71" s="294"/>
      <c r="K71" s="295"/>
      <c r="L71" s="166"/>
      <c r="M71" s="23"/>
    </row>
    <row r="72" spans="1:14" ht="15.75" x14ac:dyDescent="0.2">
      <c r="A72" s="296" t="s">
        <v>381</v>
      </c>
      <c r="B72" s="294"/>
      <c r="C72" s="295"/>
      <c r="D72" s="166"/>
      <c r="E72" s="417"/>
      <c r="F72" s="294"/>
      <c r="G72" s="295"/>
      <c r="H72" s="166"/>
      <c r="I72" s="417"/>
      <c r="J72" s="294"/>
      <c r="K72" s="295"/>
      <c r="L72" s="166"/>
      <c r="M72" s="23"/>
    </row>
    <row r="73" spans="1:14" x14ac:dyDescent="0.2">
      <c r="A73" s="296" t="s">
        <v>12</v>
      </c>
      <c r="B73" s="235"/>
      <c r="C73" s="289"/>
      <c r="D73" s="166"/>
      <c r="E73" s="417"/>
      <c r="F73" s="294"/>
      <c r="G73" s="295"/>
      <c r="H73" s="166"/>
      <c r="I73" s="417"/>
      <c r="J73" s="294"/>
      <c r="K73" s="295"/>
      <c r="L73" s="166"/>
      <c r="M73" s="23"/>
    </row>
    <row r="74" spans="1:14" s="3" customFormat="1" x14ac:dyDescent="0.2">
      <c r="A74" s="296" t="s">
        <v>13</v>
      </c>
      <c r="B74" s="235"/>
      <c r="C74" s="289"/>
      <c r="D74" s="166"/>
      <c r="E74" s="417"/>
      <c r="F74" s="294"/>
      <c r="G74" s="295"/>
      <c r="H74" s="166"/>
      <c r="I74" s="417"/>
      <c r="J74" s="294"/>
      <c r="K74" s="295"/>
      <c r="L74" s="166"/>
      <c r="M74" s="23"/>
      <c r="N74" s="148"/>
    </row>
    <row r="75" spans="1:14" s="3" customFormat="1" x14ac:dyDescent="0.2">
      <c r="A75" s="21" t="s">
        <v>350</v>
      </c>
      <c r="B75" s="234"/>
      <c r="C75" s="145"/>
      <c r="D75" s="166"/>
      <c r="E75" s="27"/>
      <c r="F75" s="234"/>
      <c r="G75" s="145"/>
      <c r="H75" s="166"/>
      <c r="I75" s="27"/>
      <c r="J75" s="287"/>
      <c r="K75" s="44"/>
      <c r="L75" s="254"/>
      <c r="M75" s="27"/>
      <c r="N75" s="148"/>
    </row>
    <row r="76" spans="1:14" s="3" customFormat="1" x14ac:dyDescent="0.2">
      <c r="A76" s="21" t="s">
        <v>349</v>
      </c>
      <c r="B76" s="234">
        <v>233871.93922999999</v>
      </c>
      <c r="C76" s="145">
        <v>201806.875</v>
      </c>
      <c r="D76" s="166">
        <f t="shared" ref="D76" si="20">IF(B76=0, "    ---- ", IF(ABS(ROUND(100/B76*C76-100,1))&lt;999,ROUND(100/B76*C76-100,1),IF(ROUND(100/B76*C76-100,1)&gt;999,999,-999)))</f>
        <v>-13.7</v>
      </c>
      <c r="E76" s="27">
        <f>IFERROR(100/'Skjema total MA'!C77*C76,0)</f>
        <v>4.8672148251920877</v>
      </c>
      <c r="F76" s="234"/>
      <c r="G76" s="145"/>
      <c r="H76" s="166"/>
      <c r="I76" s="27"/>
      <c r="J76" s="287">
        <f t="shared" ref="J76" si="21">SUM(B76,F76)</f>
        <v>233871.93922999999</v>
      </c>
      <c r="K76" s="44">
        <f t="shared" ref="K76" si="22">SUM(C76,G76)</f>
        <v>201806.875</v>
      </c>
      <c r="L76" s="254">
        <f t="shared" ref="L76" si="23">IF(J76=0, "    ---- ", IF(ABS(ROUND(100/J76*K76-100,1))&lt;999,ROUND(100/J76*K76-100,1),IF(ROUND(100/J76*K76-100,1)&gt;999,999,-999)))</f>
        <v>-13.7</v>
      </c>
      <c r="M76" s="27">
        <f>IFERROR(100/'Skjema total MA'!I77*K76,0)</f>
        <v>0.69296402393154322</v>
      </c>
      <c r="N76" s="148"/>
    </row>
    <row r="77" spans="1:14" ht="15.75" x14ac:dyDescent="0.2">
      <c r="A77" s="21" t="s">
        <v>382</v>
      </c>
      <c r="B77" s="234">
        <v>2076363</v>
      </c>
      <c r="C77" s="234">
        <v>1359788.4480000001</v>
      </c>
      <c r="D77" s="166">
        <f t="shared" si="16"/>
        <v>-34.5</v>
      </c>
      <c r="E77" s="27">
        <f>IFERROR(100/'Skjema total MA'!C77*C77,0)</f>
        <v>32.79562449609579</v>
      </c>
      <c r="F77" s="234">
        <v>6840881</v>
      </c>
      <c r="G77" s="145">
        <v>6875051.6770000001</v>
      </c>
      <c r="H77" s="166">
        <f t="shared" si="17"/>
        <v>0.5</v>
      </c>
      <c r="I77" s="27">
        <f>IFERROR(100/'Skjema total MA'!F77*G77,0)</f>
        <v>27.526606455057987</v>
      </c>
      <c r="J77" s="287">
        <f t="shared" si="18"/>
        <v>8917244</v>
      </c>
      <c r="K77" s="44">
        <f t="shared" si="18"/>
        <v>8234840.125</v>
      </c>
      <c r="L77" s="254">
        <f t="shared" si="19"/>
        <v>-7.7</v>
      </c>
      <c r="M77" s="27">
        <f>IFERROR(100/'Skjema total MA'!I77*K77,0)</f>
        <v>28.276776742382697</v>
      </c>
    </row>
    <row r="78" spans="1:14" x14ac:dyDescent="0.2">
      <c r="A78" s="21" t="s">
        <v>9</v>
      </c>
      <c r="B78" s="234">
        <v>2076363</v>
      </c>
      <c r="C78" s="145">
        <v>1359788.4480000001</v>
      </c>
      <c r="D78" s="166">
        <f t="shared" si="16"/>
        <v>-34.5</v>
      </c>
      <c r="E78" s="27">
        <f>IFERROR(100/'Skjema total MA'!C78*C78,0)</f>
        <v>33.74381534480866</v>
      </c>
      <c r="F78" s="234"/>
      <c r="G78" s="145"/>
      <c r="H78" s="166"/>
      <c r="I78" s="27"/>
      <c r="J78" s="287">
        <f t="shared" si="18"/>
        <v>2076363</v>
      </c>
      <c r="K78" s="44">
        <f t="shared" si="18"/>
        <v>1359788.4480000001</v>
      </c>
      <c r="L78" s="254">
        <f t="shared" si="19"/>
        <v>-34.5</v>
      </c>
      <c r="M78" s="27">
        <f>IFERROR(100/'Skjema total MA'!I78*K78,0)</f>
        <v>33.74381534480866</v>
      </c>
    </row>
    <row r="79" spans="1:14" x14ac:dyDescent="0.2">
      <c r="A79" s="21" t="s">
        <v>10</v>
      </c>
      <c r="B79" s="292"/>
      <c r="C79" s="293"/>
      <c r="D79" s="166"/>
      <c r="E79" s="27"/>
      <c r="F79" s="292">
        <v>6840881</v>
      </c>
      <c r="G79" s="293">
        <v>6875051.6770000001</v>
      </c>
      <c r="H79" s="166">
        <f t="shared" si="17"/>
        <v>0.5</v>
      </c>
      <c r="I79" s="27">
        <f>IFERROR(100/'Skjema total MA'!F79*G79,0)</f>
        <v>27.526606455057987</v>
      </c>
      <c r="J79" s="287">
        <f t="shared" si="18"/>
        <v>6840881</v>
      </c>
      <c r="K79" s="44">
        <f t="shared" si="18"/>
        <v>6875051.6770000001</v>
      </c>
      <c r="L79" s="254">
        <f t="shared" si="19"/>
        <v>0.5</v>
      </c>
      <c r="M79" s="27">
        <f>IFERROR(100/'Skjema total MA'!I79*K79,0)</f>
        <v>27.39879634553127</v>
      </c>
    </row>
    <row r="80" spans="1:14" ht="15.75" x14ac:dyDescent="0.2">
      <c r="A80" s="296" t="s">
        <v>380</v>
      </c>
      <c r="B80" s="294"/>
      <c r="C80" s="295"/>
      <c r="D80" s="166"/>
      <c r="E80" s="417"/>
      <c r="F80" s="294"/>
      <c r="G80" s="295"/>
      <c r="H80" s="166"/>
      <c r="I80" s="417"/>
      <c r="J80" s="294"/>
      <c r="K80" s="295"/>
      <c r="L80" s="166"/>
      <c r="M80" s="23"/>
    </row>
    <row r="81" spans="1:13" x14ac:dyDescent="0.2">
      <c r="A81" s="296" t="s">
        <v>12</v>
      </c>
      <c r="B81" s="294"/>
      <c r="C81" s="295"/>
      <c r="D81" s="166"/>
      <c r="E81" s="417"/>
      <c r="F81" s="294"/>
      <c r="G81" s="295"/>
      <c r="H81" s="166"/>
      <c r="I81" s="417"/>
      <c r="J81" s="294"/>
      <c r="K81" s="295"/>
      <c r="L81" s="166"/>
      <c r="M81" s="23"/>
    </row>
    <row r="82" spans="1:13" x14ac:dyDescent="0.2">
      <c r="A82" s="296" t="s">
        <v>13</v>
      </c>
      <c r="B82" s="294"/>
      <c r="C82" s="295"/>
      <c r="D82" s="166"/>
      <c r="E82" s="417"/>
      <c r="F82" s="294"/>
      <c r="G82" s="295"/>
      <c r="H82" s="166"/>
      <c r="I82" s="417"/>
      <c r="J82" s="294"/>
      <c r="K82" s="295"/>
      <c r="L82" s="166"/>
      <c r="M82" s="23"/>
    </row>
    <row r="83" spans="1:13" ht="15.75" x14ac:dyDescent="0.2">
      <c r="A83" s="296" t="s">
        <v>381</v>
      </c>
      <c r="B83" s="294"/>
      <c r="C83" s="295"/>
      <c r="D83" s="166"/>
      <c r="E83" s="417"/>
      <c r="F83" s="294"/>
      <c r="G83" s="295"/>
      <c r="H83" s="166"/>
      <c r="I83" s="417"/>
      <c r="J83" s="294"/>
      <c r="K83" s="295"/>
      <c r="L83" s="166"/>
      <c r="M83" s="23"/>
    </row>
    <row r="84" spans="1:13" x14ac:dyDescent="0.2">
      <c r="A84" s="296" t="s">
        <v>12</v>
      </c>
      <c r="B84" s="294"/>
      <c r="C84" s="295"/>
      <c r="D84" s="166"/>
      <c r="E84" s="417"/>
      <c r="F84" s="294"/>
      <c r="G84" s="295"/>
      <c r="H84" s="166"/>
      <c r="I84" s="417"/>
      <c r="J84" s="294"/>
      <c r="K84" s="295"/>
      <c r="L84" s="166"/>
      <c r="M84" s="23"/>
    </row>
    <row r="85" spans="1:13" x14ac:dyDescent="0.2">
      <c r="A85" s="296" t="s">
        <v>13</v>
      </c>
      <c r="B85" s="294"/>
      <c r="C85" s="295"/>
      <c r="D85" s="166"/>
      <c r="E85" s="417"/>
      <c r="F85" s="294"/>
      <c r="G85" s="295"/>
      <c r="H85" s="166"/>
      <c r="I85" s="417"/>
      <c r="J85" s="294"/>
      <c r="K85" s="295"/>
      <c r="L85" s="166"/>
      <c r="M85" s="23"/>
    </row>
    <row r="86" spans="1:13" ht="15.75" x14ac:dyDescent="0.2">
      <c r="A86" s="21" t="s">
        <v>383</v>
      </c>
      <c r="B86" s="234">
        <v>197</v>
      </c>
      <c r="C86" s="145">
        <v>26311.552</v>
      </c>
      <c r="D86" s="166">
        <f t="shared" si="16"/>
        <v>999</v>
      </c>
      <c r="E86" s="27">
        <f>IFERROR(100/'Skjema total MA'!C86*C86,0)</f>
        <v>19.060631436183122</v>
      </c>
      <c r="F86" s="234"/>
      <c r="G86" s="145"/>
      <c r="H86" s="166"/>
      <c r="I86" s="27"/>
      <c r="J86" s="287">
        <f t="shared" si="18"/>
        <v>197</v>
      </c>
      <c r="K86" s="44">
        <f t="shared" si="18"/>
        <v>26311.552</v>
      </c>
      <c r="L86" s="254">
        <f t="shared" si="19"/>
        <v>999</v>
      </c>
      <c r="M86" s="27">
        <f>IFERROR(100/'Skjema total MA'!I86*K86,0)</f>
        <v>17.60731464180882</v>
      </c>
    </row>
    <row r="87" spans="1:13" ht="15.75" x14ac:dyDescent="0.2">
      <c r="A87" s="13" t="s">
        <v>365</v>
      </c>
      <c r="B87" s="353">
        <v>157375964.16319001</v>
      </c>
      <c r="C87" s="353">
        <v>155890908</v>
      </c>
      <c r="D87" s="171">
        <f t="shared" si="16"/>
        <v>-0.9</v>
      </c>
      <c r="E87" s="11">
        <f>IFERROR(100/'Skjema total MA'!C87*C87,0)</f>
        <v>39.623665339282176</v>
      </c>
      <c r="F87" s="352">
        <v>81425114.349000007</v>
      </c>
      <c r="G87" s="352">
        <v>88572165.280000001</v>
      </c>
      <c r="H87" s="171">
        <f t="shared" si="17"/>
        <v>8.8000000000000007</v>
      </c>
      <c r="I87" s="11">
        <f>IFERROR(100/'Skjema total MA'!F87*G87,0)</f>
        <v>26.183421428105721</v>
      </c>
      <c r="J87" s="309">
        <f t="shared" ref="J87:K111" si="24">SUM(B87,F87)</f>
        <v>238801078.51219001</v>
      </c>
      <c r="K87" s="236">
        <f t="shared" si="24"/>
        <v>244463073.28</v>
      </c>
      <c r="L87" s="428">
        <f t="shared" si="19"/>
        <v>2.4</v>
      </c>
      <c r="M87" s="11">
        <f>IFERROR(100/'Skjema total MA'!I87*K87,0)</f>
        <v>33.41008003478278</v>
      </c>
    </row>
    <row r="88" spans="1:13" x14ac:dyDescent="0.2">
      <c r="A88" s="21" t="s">
        <v>9</v>
      </c>
      <c r="B88" s="234">
        <v>157243726</v>
      </c>
      <c r="C88" s="145">
        <v>155758250</v>
      </c>
      <c r="D88" s="166">
        <f t="shared" si="16"/>
        <v>-0.9</v>
      </c>
      <c r="E88" s="27">
        <f>IFERROR(100/'Skjema total MA'!C88*C88,0)</f>
        <v>40.788157744405702</v>
      </c>
      <c r="F88" s="234"/>
      <c r="G88" s="145"/>
      <c r="H88" s="166"/>
      <c r="I88" s="27"/>
      <c r="J88" s="287">
        <f t="shared" si="24"/>
        <v>157243726</v>
      </c>
      <c r="K88" s="44">
        <f t="shared" si="24"/>
        <v>155758250</v>
      </c>
      <c r="L88" s="254">
        <f t="shared" si="19"/>
        <v>-0.9</v>
      </c>
      <c r="M88" s="27">
        <f>IFERROR(100/'Skjema total MA'!I88*K88,0)</f>
        <v>40.788157744405702</v>
      </c>
    </row>
    <row r="89" spans="1:13" x14ac:dyDescent="0.2">
      <c r="A89" s="21" t="s">
        <v>10</v>
      </c>
      <c r="B89" s="234">
        <v>97763</v>
      </c>
      <c r="C89" s="145">
        <v>95565</v>
      </c>
      <c r="D89" s="166">
        <f t="shared" si="16"/>
        <v>-2.2000000000000002</v>
      </c>
      <c r="E89" s="27">
        <f>IFERROR(100/'Skjema total MA'!C89*C89,0)</f>
        <v>3.0165113467344815</v>
      </c>
      <c r="F89" s="234">
        <v>81425114.349000007</v>
      </c>
      <c r="G89" s="145">
        <v>88572165.280000001</v>
      </c>
      <c r="H89" s="166">
        <f t="shared" si="17"/>
        <v>8.8000000000000007</v>
      </c>
      <c r="I89" s="27">
        <f>IFERROR(100/'Skjema total MA'!F89*G89,0)</f>
        <v>26.384049655305716</v>
      </c>
      <c r="J89" s="287">
        <f t="shared" si="24"/>
        <v>81522877.349000007</v>
      </c>
      <c r="K89" s="44">
        <f t="shared" si="24"/>
        <v>88667730.280000001</v>
      </c>
      <c r="L89" s="254">
        <f t="shared" si="19"/>
        <v>8.8000000000000007</v>
      </c>
      <c r="M89" s="27">
        <f>IFERROR(100/'Skjema total MA'!I89*K89,0)</f>
        <v>26.165589720352077</v>
      </c>
    </row>
    <row r="90" spans="1:13" ht="15.75" x14ac:dyDescent="0.2">
      <c r="A90" s="296" t="s">
        <v>380</v>
      </c>
      <c r="B90" s="294"/>
      <c r="C90" s="295"/>
      <c r="D90" s="166"/>
      <c r="E90" s="417"/>
      <c r="F90" s="294"/>
      <c r="G90" s="295"/>
      <c r="H90" s="166"/>
      <c r="I90" s="417"/>
      <c r="J90" s="294"/>
      <c r="K90" s="295"/>
      <c r="L90" s="166"/>
      <c r="M90" s="23"/>
    </row>
    <row r="91" spans="1:13" x14ac:dyDescent="0.2">
      <c r="A91" s="296" t="s">
        <v>12</v>
      </c>
      <c r="B91" s="294"/>
      <c r="C91" s="295"/>
      <c r="D91" s="166"/>
      <c r="E91" s="417"/>
      <c r="F91" s="294"/>
      <c r="G91" s="295"/>
      <c r="H91" s="166"/>
      <c r="I91" s="417"/>
      <c r="J91" s="294"/>
      <c r="K91" s="295"/>
      <c r="L91" s="166"/>
      <c r="M91" s="23"/>
    </row>
    <row r="92" spans="1:13" x14ac:dyDescent="0.2">
      <c r="A92" s="296" t="s">
        <v>13</v>
      </c>
      <c r="B92" s="294"/>
      <c r="C92" s="295"/>
      <c r="D92" s="166"/>
      <c r="E92" s="417"/>
      <c r="F92" s="294"/>
      <c r="G92" s="295"/>
      <c r="H92" s="166"/>
      <c r="I92" s="417"/>
      <c r="J92" s="294"/>
      <c r="K92" s="295"/>
      <c r="L92" s="166"/>
      <c r="M92" s="23"/>
    </row>
    <row r="93" spans="1:13" ht="15.75" x14ac:dyDescent="0.2">
      <c r="A93" s="296" t="s">
        <v>381</v>
      </c>
      <c r="B93" s="294"/>
      <c r="C93" s="295"/>
      <c r="D93" s="166"/>
      <c r="E93" s="417"/>
      <c r="F93" s="294"/>
      <c r="G93" s="295"/>
      <c r="H93" s="166"/>
      <c r="I93" s="417"/>
      <c r="J93" s="294"/>
      <c r="K93" s="295"/>
      <c r="L93" s="166"/>
      <c r="M93" s="23"/>
    </row>
    <row r="94" spans="1:13" x14ac:dyDescent="0.2">
      <c r="A94" s="296" t="s">
        <v>12</v>
      </c>
      <c r="B94" s="294"/>
      <c r="C94" s="295"/>
      <c r="D94" s="166"/>
      <c r="E94" s="417"/>
      <c r="F94" s="294"/>
      <c r="G94" s="295"/>
      <c r="H94" s="166"/>
      <c r="I94" s="417"/>
      <c r="J94" s="294"/>
      <c r="K94" s="295"/>
      <c r="L94" s="166"/>
      <c r="M94" s="23"/>
    </row>
    <row r="95" spans="1:13" x14ac:dyDescent="0.2">
      <c r="A95" s="296" t="s">
        <v>13</v>
      </c>
      <c r="B95" s="294"/>
      <c r="C95" s="295"/>
      <c r="D95" s="166"/>
      <c r="E95" s="417"/>
      <c r="F95" s="294"/>
      <c r="G95" s="295"/>
      <c r="H95" s="166"/>
      <c r="I95" s="417"/>
      <c r="J95" s="294"/>
      <c r="K95" s="295"/>
      <c r="L95" s="166"/>
      <c r="M95" s="23"/>
    </row>
    <row r="96" spans="1:13" x14ac:dyDescent="0.2">
      <c r="A96" s="21" t="s">
        <v>348</v>
      </c>
      <c r="B96" s="234"/>
      <c r="C96" s="145"/>
      <c r="D96" s="166"/>
      <c r="E96" s="27"/>
      <c r="F96" s="234"/>
      <c r="G96" s="145"/>
      <c r="H96" s="166"/>
      <c r="I96" s="27"/>
      <c r="J96" s="287"/>
      <c r="K96" s="44"/>
      <c r="L96" s="254"/>
      <c r="M96" s="27"/>
    </row>
    <row r="97" spans="1:13" x14ac:dyDescent="0.2">
      <c r="A97" s="21" t="s">
        <v>347</v>
      </c>
      <c r="B97" s="234">
        <v>34475.163189999999</v>
      </c>
      <c r="C97" s="145">
        <v>37093</v>
      </c>
      <c r="D97" s="166">
        <f t="shared" ref="D97" si="25">IF(B97=0, "    ---- ", IF(ABS(ROUND(100/B97*C97-100,1))&lt;999,ROUND(100/B97*C97-100,1),IF(ROUND(100/B97*C97-100,1)&gt;999,999,-999)))</f>
        <v>7.6</v>
      </c>
      <c r="E97" s="27">
        <f>IFERROR(100/'Skjema total MA'!C98*C97,0)</f>
        <v>9.7452783555302767E-3</v>
      </c>
      <c r="F97" s="234"/>
      <c r="G97" s="145"/>
      <c r="H97" s="166"/>
      <c r="I97" s="27"/>
      <c r="J97" s="287">
        <f t="shared" ref="J97" si="26">SUM(B97,F97)</f>
        <v>34475.163189999999</v>
      </c>
      <c r="K97" s="44">
        <f t="shared" ref="K97" si="27">SUM(C97,G97)</f>
        <v>37093</v>
      </c>
      <c r="L97" s="254">
        <f t="shared" ref="L97" si="28">IF(J97=0, "    ---- ", IF(ABS(ROUND(100/J97*K97-100,1))&lt;999,ROUND(100/J97*K97-100,1),IF(ROUND(100/J97*K97-100,1)&gt;999,999,-999)))</f>
        <v>7.6</v>
      </c>
      <c r="M97" s="27">
        <f>IFERROR(100/'Skjema total MA'!I98*K97,0)</f>
        <v>5.1850335002233969E-3</v>
      </c>
    </row>
    <row r="98" spans="1:13" ht="15.75" x14ac:dyDescent="0.2">
      <c r="A98" s="21" t="s">
        <v>382</v>
      </c>
      <c r="B98" s="234">
        <v>155932173</v>
      </c>
      <c r="C98" s="234">
        <v>154721629</v>
      </c>
      <c r="D98" s="166">
        <f t="shared" si="16"/>
        <v>-0.8</v>
      </c>
      <c r="E98" s="27">
        <f>IFERROR(100/'Skjema total MA'!C98*C98,0)</f>
        <v>40.649323112880744</v>
      </c>
      <c r="F98" s="292">
        <v>81315165.719999999</v>
      </c>
      <c r="G98" s="292">
        <v>88472036.280000001</v>
      </c>
      <c r="H98" s="166">
        <f t="shared" si="17"/>
        <v>8.8000000000000007</v>
      </c>
      <c r="I98" s="27">
        <f>IFERROR(100/'Skjema total MA'!F98*G98,0)</f>
        <v>26.428451442257117</v>
      </c>
      <c r="J98" s="287">
        <f t="shared" si="24"/>
        <v>237247338.72</v>
      </c>
      <c r="K98" s="44">
        <f t="shared" si="24"/>
        <v>243193665.28</v>
      </c>
      <c r="L98" s="254">
        <f t="shared" si="19"/>
        <v>2.5</v>
      </c>
      <c r="M98" s="27">
        <f>IFERROR(100/'Skjema total MA'!I98*K98,0)</f>
        <v>33.994751072140716</v>
      </c>
    </row>
    <row r="99" spans="1:13" x14ac:dyDescent="0.2">
      <c r="A99" s="21" t="s">
        <v>9</v>
      </c>
      <c r="B99" s="292">
        <v>155834410</v>
      </c>
      <c r="C99" s="293">
        <v>154626064</v>
      </c>
      <c r="D99" s="166">
        <f t="shared" si="16"/>
        <v>-0.8</v>
      </c>
      <c r="E99" s="27">
        <f>IFERROR(100/'Skjema total MA'!C99*C99,0)</f>
        <v>40.965181747719868</v>
      </c>
      <c r="F99" s="234"/>
      <c r="G99" s="145"/>
      <c r="H99" s="166"/>
      <c r="I99" s="27"/>
      <c r="J99" s="287">
        <f t="shared" si="24"/>
        <v>155834410</v>
      </c>
      <c r="K99" s="44">
        <f t="shared" si="24"/>
        <v>154626064</v>
      </c>
      <c r="L99" s="254">
        <f t="shared" si="19"/>
        <v>-0.8</v>
      </c>
      <c r="M99" s="27">
        <f>IFERROR(100/'Skjema total MA'!I99*K99,0)</f>
        <v>40.965181747719868</v>
      </c>
    </row>
    <row r="100" spans="1:13" x14ac:dyDescent="0.2">
      <c r="A100" s="21" t="s">
        <v>10</v>
      </c>
      <c r="B100" s="292">
        <v>97763</v>
      </c>
      <c r="C100" s="293">
        <v>95565</v>
      </c>
      <c r="D100" s="166">
        <f t="shared" si="16"/>
        <v>-2.2000000000000002</v>
      </c>
      <c r="E100" s="27">
        <f>IFERROR(100/'Skjema total MA'!C100*C100,0)</f>
        <v>3.0165113467344815</v>
      </c>
      <c r="F100" s="234">
        <v>81315165.719999999</v>
      </c>
      <c r="G100" s="234">
        <v>88472036.280000001</v>
      </c>
      <c r="H100" s="166">
        <f t="shared" si="17"/>
        <v>8.8000000000000007</v>
      </c>
      <c r="I100" s="27">
        <f>IFERROR(100/'Skjema total MA'!F100*G100,0)</f>
        <v>26.428451442257117</v>
      </c>
      <c r="J100" s="287">
        <f t="shared" si="24"/>
        <v>81412928.719999999</v>
      </c>
      <c r="K100" s="44">
        <f t="shared" si="24"/>
        <v>88567601.280000001</v>
      </c>
      <c r="L100" s="254">
        <f t="shared" si="19"/>
        <v>8.8000000000000007</v>
      </c>
      <c r="M100" s="27">
        <f>IFERROR(100/'Skjema total MA'!I100*K100,0)</f>
        <v>26.208965704467964</v>
      </c>
    </row>
    <row r="101" spans="1:13" ht="15.75" x14ac:dyDescent="0.2">
      <c r="A101" s="296" t="s">
        <v>380</v>
      </c>
      <c r="B101" s="294"/>
      <c r="C101" s="295"/>
      <c r="D101" s="166"/>
      <c r="E101" s="417"/>
      <c r="F101" s="294"/>
      <c r="G101" s="295"/>
      <c r="H101" s="166"/>
      <c r="I101" s="417"/>
      <c r="J101" s="294"/>
      <c r="K101" s="295"/>
      <c r="L101" s="166"/>
      <c r="M101" s="23"/>
    </row>
    <row r="102" spans="1:13" x14ac:dyDescent="0.2">
      <c r="A102" s="296" t="s">
        <v>12</v>
      </c>
      <c r="B102" s="294"/>
      <c r="C102" s="295"/>
      <c r="D102" s="166"/>
      <c r="E102" s="417"/>
      <c r="F102" s="294"/>
      <c r="G102" s="295"/>
      <c r="H102" s="166"/>
      <c r="I102" s="417"/>
      <c r="J102" s="294"/>
      <c r="K102" s="295"/>
      <c r="L102" s="166"/>
      <c r="M102" s="23"/>
    </row>
    <row r="103" spans="1:13" x14ac:dyDescent="0.2">
      <c r="A103" s="296" t="s">
        <v>13</v>
      </c>
      <c r="B103" s="294"/>
      <c r="C103" s="295"/>
      <c r="D103" s="166"/>
      <c r="E103" s="417"/>
      <c r="F103" s="294"/>
      <c r="G103" s="295"/>
      <c r="H103" s="166"/>
      <c r="I103" s="417"/>
      <c r="J103" s="294"/>
      <c r="K103" s="295"/>
      <c r="L103" s="166"/>
      <c r="M103" s="23"/>
    </row>
    <row r="104" spans="1:13" ht="15.75" x14ac:dyDescent="0.2">
      <c r="A104" s="296" t="s">
        <v>381</v>
      </c>
      <c r="B104" s="294"/>
      <c r="C104" s="295"/>
      <c r="D104" s="166"/>
      <c r="E104" s="417"/>
      <c r="F104" s="294"/>
      <c r="G104" s="295"/>
      <c r="H104" s="166"/>
      <c r="I104" s="417"/>
      <c r="J104" s="294"/>
      <c r="K104" s="295"/>
      <c r="L104" s="166"/>
      <c r="M104" s="23"/>
    </row>
    <row r="105" spans="1:13" x14ac:dyDescent="0.2">
      <c r="A105" s="296" t="s">
        <v>12</v>
      </c>
      <c r="B105" s="294"/>
      <c r="C105" s="295"/>
      <c r="D105" s="166"/>
      <c r="E105" s="417"/>
      <c r="F105" s="294"/>
      <c r="G105" s="295"/>
      <c r="H105" s="166"/>
      <c r="I105" s="417"/>
      <c r="J105" s="294"/>
      <c r="K105" s="295"/>
      <c r="L105" s="166"/>
      <c r="M105" s="23"/>
    </row>
    <row r="106" spans="1:13" x14ac:dyDescent="0.2">
      <c r="A106" s="296" t="s">
        <v>13</v>
      </c>
      <c r="B106" s="294"/>
      <c r="C106" s="295"/>
      <c r="D106" s="166"/>
      <c r="E106" s="417"/>
      <c r="F106" s="294"/>
      <c r="G106" s="295"/>
      <c r="H106" s="166"/>
      <c r="I106" s="417"/>
      <c r="J106" s="294"/>
      <c r="K106" s="295"/>
      <c r="L106" s="166"/>
      <c r="M106" s="23"/>
    </row>
    <row r="107" spans="1:13" ht="15.75" x14ac:dyDescent="0.2">
      <c r="A107" s="21" t="s">
        <v>383</v>
      </c>
      <c r="B107" s="234">
        <v>1409316</v>
      </c>
      <c r="C107" s="145">
        <v>1132186</v>
      </c>
      <c r="D107" s="166">
        <f t="shared" si="16"/>
        <v>-19.7</v>
      </c>
      <c r="E107" s="27">
        <f>IFERROR(100/'Skjema total MA'!C107*C107,0)</f>
        <v>25.650075938405674</v>
      </c>
      <c r="F107" s="234">
        <v>109948.629</v>
      </c>
      <c r="G107" s="145">
        <v>100128.834</v>
      </c>
      <c r="H107" s="166">
        <f t="shared" si="17"/>
        <v>-8.9</v>
      </c>
      <c r="I107" s="27">
        <f>IFERROR(100/'Skjema total MA'!F107*G107,0)</f>
        <v>10.619522590564857</v>
      </c>
      <c r="J107" s="287">
        <f t="shared" si="24"/>
        <v>1519264.629</v>
      </c>
      <c r="K107" s="44">
        <f t="shared" si="24"/>
        <v>1232314.834</v>
      </c>
      <c r="L107" s="254">
        <f t="shared" si="19"/>
        <v>-18.899999999999999</v>
      </c>
      <c r="M107" s="27">
        <f>IFERROR(100/'Skjema total MA'!I107*K107,0)</f>
        <v>23.004499862739088</v>
      </c>
    </row>
    <row r="108" spans="1:13" ht="15.75" x14ac:dyDescent="0.2">
      <c r="A108" s="21" t="s">
        <v>384</v>
      </c>
      <c r="B108" s="234">
        <v>134468545</v>
      </c>
      <c r="C108" s="234">
        <v>136153641</v>
      </c>
      <c r="D108" s="166">
        <f t="shared" si="16"/>
        <v>1.3</v>
      </c>
      <c r="E108" s="27">
        <f>IFERROR(100/'Skjema total MA'!C108*C108,0)</f>
        <v>41.847750626124807</v>
      </c>
      <c r="F108" s="234">
        <v>445624.723</v>
      </c>
      <c r="G108" s="234">
        <v>597223.89800000004</v>
      </c>
      <c r="H108" s="166">
        <f t="shared" si="17"/>
        <v>34</v>
      </c>
      <c r="I108" s="27">
        <f>IFERROR(100/'Skjema total MA'!F108*G108,0)</f>
        <v>3.443512484398052</v>
      </c>
      <c r="J108" s="287">
        <f t="shared" si="24"/>
        <v>134914169.72299999</v>
      </c>
      <c r="K108" s="44">
        <f t="shared" si="24"/>
        <v>136750864.898</v>
      </c>
      <c r="L108" s="254">
        <f t="shared" si="19"/>
        <v>1.4</v>
      </c>
      <c r="M108" s="27">
        <f>IFERROR(100/'Skjema total MA'!I108*K108,0)</f>
        <v>39.904168681897957</v>
      </c>
    </row>
    <row r="109" spans="1:13" ht="15.75" x14ac:dyDescent="0.2">
      <c r="A109" s="21" t="s">
        <v>385</v>
      </c>
      <c r="B109" s="234">
        <v>97763</v>
      </c>
      <c r="C109" s="234">
        <v>95565</v>
      </c>
      <c r="D109" s="166">
        <f t="shared" si="16"/>
        <v>-2.2000000000000002</v>
      </c>
      <c r="E109" s="27">
        <f>IFERROR(100/'Skjema total MA'!C109*C109,0)</f>
        <v>9.128290401574322</v>
      </c>
      <c r="F109" s="234">
        <v>27657096</v>
      </c>
      <c r="G109" s="234">
        <v>32636612</v>
      </c>
      <c r="H109" s="166">
        <f t="shared" si="17"/>
        <v>18</v>
      </c>
      <c r="I109" s="27">
        <f>IFERROR(100/'Skjema total MA'!F109*G109,0)</f>
        <v>27.607570519887496</v>
      </c>
      <c r="J109" s="287">
        <f t="shared" si="24"/>
        <v>27754859</v>
      </c>
      <c r="K109" s="44">
        <f t="shared" si="24"/>
        <v>32732177</v>
      </c>
      <c r="L109" s="254">
        <f t="shared" si="19"/>
        <v>17.899999999999999</v>
      </c>
      <c r="M109" s="27">
        <f>IFERROR(100/'Skjema total MA'!I109*K109,0)</f>
        <v>27.44535647642201</v>
      </c>
    </row>
    <row r="110" spans="1:13" ht="15.75" x14ac:dyDescent="0.2">
      <c r="A110" s="21" t="s">
        <v>386</v>
      </c>
      <c r="B110" s="234"/>
      <c r="C110" s="234"/>
      <c r="D110" s="166"/>
      <c r="E110" s="27"/>
      <c r="F110" s="234"/>
      <c r="G110" s="234"/>
      <c r="H110" s="166"/>
      <c r="I110" s="27"/>
      <c r="J110" s="287"/>
      <c r="K110" s="44"/>
      <c r="L110" s="254"/>
      <c r="M110" s="27"/>
    </row>
    <row r="111" spans="1:13" ht="15.75" x14ac:dyDescent="0.2">
      <c r="A111" s="13" t="s">
        <v>366</v>
      </c>
      <c r="B111" s="308">
        <v>191918.182</v>
      </c>
      <c r="C111" s="159">
        <v>147511</v>
      </c>
      <c r="D111" s="171">
        <f t="shared" si="16"/>
        <v>-23.1</v>
      </c>
      <c r="E111" s="11">
        <f>IFERROR(100/'Skjema total MA'!C111*C111,0)</f>
        <v>22.197003830043766</v>
      </c>
      <c r="F111" s="308">
        <v>2396462.9440000001</v>
      </c>
      <c r="G111" s="159">
        <v>1923750</v>
      </c>
      <c r="H111" s="171">
        <f t="shared" si="17"/>
        <v>-19.7</v>
      </c>
      <c r="I111" s="11">
        <f>IFERROR(100/'Skjema total MA'!F111*G111,0)</f>
        <v>13.04672886093522</v>
      </c>
      <c r="J111" s="309">
        <f t="shared" si="24"/>
        <v>2588381.1260000002</v>
      </c>
      <c r="K111" s="236">
        <f t="shared" si="24"/>
        <v>2071261</v>
      </c>
      <c r="L111" s="428">
        <f t="shared" si="19"/>
        <v>-20</v>
      </c>
      <c r="M111" s="11">
        <f>IFERROR(100/'Skjema total MA'!I111*K111,0)</f>
        <v>13.441342427998892</v>
      </c>
    </row>
    <row r="112" spans="1:13" x14ac:dyDescent="0.2">
      <c r="A112" s="21" t="s">
        <v>9</v>
      </c>
      <c r="B112" s="234">
        <v>191918.182</v>
      </c>
      <c r="C112" s="145">
        <v>147511</v>
      </c>
      <c r="D112" s="166">
        <f t="shared" ref="D112:D124" si="29">IF(B112=0, "    ---- ", IF(ABS(ROUND(100/B112*C112-100,1))&lt;999,ROUND(100/B112*C112-100,1),IF(ROUND(100/B112*C112-100,1)&gt;999,999,-999)))</f>
        <v>-23.1</v>
      </c>
      <c r="E112" s="27">
        <f>IFERROR(100/'Skjema total MA'!C112*C112,0)</f>
        <v>55.964480700387632</v>
      </c>
      <c r="F112" s="234"/>
      <c r="G112" s="145"/>
      <c r="H112" s="166"/>
      <c r="I112" s="27"/>
      <c r="J112" s="287">
        <f t="shared" ref="J112:K125" si="30">SUM(B112,F112)</f>
        <v>191918.182</v>
      </c>
      <c r="K112" s="44">
        <f t="shared" si="30"/>
        <v>147511</v>
      </c>
      <c r="L112" s="254">
        <f t="shared" ref="L112:L125" si="31">IF(J112=0, "    ---- ", IF(ABS(ROUND(100/J112*K112-100,1))&lt;999,ROUND(100/J112*K112-100,1),IF(ROUND(100/J112*K112-100,1)&gt;999,999,-999)))</f>
        <v>-23.1</v>
      </c>
      <c r="M112" s="27">
        <f>IFERROR(100/'Skjema total MA'!I112*K112,0)</f>
        <v>55.089525757659608</v>
      </c>
    </row>
    <row r="113" spans="1:14" x14ac:dyDescent="0.2">
      <c r="A113" s="21" t="s">
        <v>10</v>
      </c>
      <c r="B113" s="234"/>
      <c r="C113" s="145"/>
      <c r="D113" s="166"/>
      <c r="E113" s="27"/>
      <c r="F113" s="234">
        <v>2396462.9440000001</v>
      </c>
      <c r="G113" s="145">
        <v>1923750</v>
      </c>
      <c r="H113" s="166">
        <f t="shared" ref="H113:H125" si="32">IF(F113=0, "    ---- ", IF(ABS(ROUND(100/F113*G113-100,1))&lt;999,ROUND(100/F113*G113-100,1),IF(ROUND(100/F113*G113-100,1)&gt;999,999,-999)))</f>
        <v>-19.7</v>
      </c>
      <c r="I113" s="27">
        <f>IFERROR(100/'Skjema total MA'!F113*G113,0)</f>
        <v>13.111761326451978</v>
      </c>
      <c r="J113" s="287">
        <f t="shared" si="30"/>
        <v>2396462.9440000001</v>
      </c>
      <c r="K113" s="44">
        <f t="shared" si="30"/>
        <v>1923750</v>
      </c>
      <c r="L113" s="254">
        <f t="shared" si="31"/>
        <v>-19.7</v>
      </c>
      <c r="M113" s="27">
        <f>IFERROR(100/'Skjema total MA'!I113*K113,0)</f>
        <v>13.107209155318033</v>
      </c>
    </row>
    <row r="114" spans="1:14" x14ac:dyDescent="0.2">
      <c r="A114" s="21" t="s">
        <v>26</v>
      </c>
      <c r="B114" s="234"/>
      <c r="C114" s="145"/>
      <c r="D114" s="166"/>
      <c r="E114" s="27"/>
      <c r="F114" s="234"/>
      <c r="G114" s="145"/>
      <c r="H114" s="166"/>
      <c r="I114" s="27"/>
      <c r="J114" s="287"/>
      <c r="K114" s="44"/>
      <c r="L114" s="254"/>
      <c r="M114" s="27"/>
    </row>
    <row r="115" spans="1:14" x14ac:dyDescent="0.2">
      <c r="A115" s="296" t="s">
        <v>15</v>
      </c>
      <c r="B115" s="294"/>
      <c r="C115" s="295"/>
      <c r="D115" s="166"/>
      <c r="E115" s="417"/>
      <c r="F115" s="294"/>
      <c r="G115" s="295"/>
      <c r="H115" s="166"/>
      <c r="I115" s="417"/>
      <c r="J115" s="294"/>
      <c r="K115" s="295"/>
      <c r="L115" s="166"/>
      <c r="M115" s="23"/>
    </row>
    <row r="116" spans="1:14" ht="15.75" x14ac:dyDescent="0.2">
      <c r="A116" s="21" t="s">
        <v>387</v>
      </c>
      <c r="B116" s="234">
        <v>81571</v>
      </c>
      <c r="C116" s="234">
        <v>54190</v>
      </c>
      <c r="D116" s="166">
        <f t="shared" si="29"/>
        <v>-33.6</v>
      </c>
      <c r="E116" s="27">
        <f>IFERROR(100/'Skjema total MA'!C116*C116,0)</f>
        <v>85.040443898073107</v>
      </c>
      <c r="F116" s="234"/>
      <c r="G116" s="234"/>
      <c r="H116" s="166"/>
      <c r="I116" s="27"/>
      <c r="J116" s="287">
        <f t="shared" si="30"/>
        <v>81571</v>
      </c>
      <c r="K116" s="44">
        <f t="shared" si="30"/>
        <v>54190</v>
      </c>
      <c r="L116" s="254">
        <f t="shared" si="31"/>
        <v>-33.6</v>
      </c>
      <c r="M116" s="27">
        <f>IFERROR(100/'Skjema total MA'!I116*K116,0)</f>
        <v>79.798077401698876</v>
      </c>
    </row>
    <row r="117" spans="1:14" ht="15.75" x14ac:dyDescent="0.2">
      <c r="A117" s="21" t="s">
        <v>388</v>
      </c>
      <c r="B117" s="234"/>
      <c r="C117" s="234"/>
      <c r="D117" s="166"/>
      <c r="E117" s="27"/>
      <c r="F117" s="234">
        <v>334925.79300000001</v>
      </c>
      <c r="G117" s="234">
        <v>592988.87598999997</v>
      </c>
      <c r="H117" s="166">
        <f t="shared" si="32"/>
        <v>77.099999999999994</v>
      </c>
      <c r="I117" s="27">
        <f>IFERROR(100/'Skjema total MA'!F117*G117,0)</f>
        <v>25.038054052856136</v>
      </c>
      <c r="J117" s="287">
        <f t="shared" si="30"/>
        <v>334925.79300000001</v>
      </c>
      <c r="K117" s="44">
        <f t="shared" si="30"/>
        <v>592988.87598999997</v>
      </c>
      <c r="L117" s="254">
        <f t="shared" si="31"/>
        <v>77.099999999999994</v>
      </c>
      <c r="M117" s="27">
        <f>IFERROR(100/'Skjema total MA'!I117*K117,0)</f>
        <v>25.038054052856136</v>
      </c>
    </row>
    <row r="118" spans="1:14" ht="15.75" x14ac:dyDescent="0.2">
      <c r="A118" s="21" t="s">
        <v>386</v>
      </c>
      <c r="B118" s="234"/>
      <c r="C118" s="234"/>
      <c r="D118" s="166"/>
      <c r="E118" s="27"/>
      <c r="F118" s="234"/>
      <c r="G118" s="234"/>
      <c r="H118" s="166"/>
      <c r="I118" s="27"/>
      <c r="J118" s="287"/>
      <c r="K118" s="44"/>
      <c r="L118" s="254"/>
      <c r="M118" s="27"/>
    </row>
    <row r="119" spans="1:14" ht="15.75" x14ac:dyDescent="0.2">
      <c r="A119" s="13" t="s">
        <v>367</v>
      </c>
      <c r="B119" s="308">
        <v>106667</v>
      </c>
      <c r="C119" s="159">
        <v>360986</v>
      </c>
      <c r="D119" s="171">
        <f t="shared" si="29"/>
        <v>238.4</v>
      </c>
      <c r="E119" s="11">
        <f>IFERROR(100/'Skjema total MA'!C119*C119,0)</f>
        <v>49.105993176181968</v>
      </c>
      <c r="F119" s="308">
        <v>2702187</v>
      </c>
      <c r="G119" s="159">
        <v>5453974</v>
      </c>
      <c r="H119" s="171">
        <f t="shared" si="32"/>
        <v>101.8</v>
      </c>
      <c r="I119" s="11">
        <f>IFERROR(100/'Skjema total MA'!F119*G119,0)</f>
        <v>37.188015408243935</v>
      </c>
      <c r="J119" s="309">
        <f t="shared" si="30"/>
        <v>2808854</v>
      </c>
      <c r="K119" s="236">
        <f t="shared" si="30"/>
        <v>5814960</v>
      </c>
      <c r="L119" s="428">
        <f t="shared" si="31"/>
        <v>107</v>
      </c>
      <c r="M119" s="11">
        <f>IFERROR(100/'Skjema total MA'!I119*K119,0)</f>
        <v>37.756878532367018</v>
      </c>
    </row>
    <row r="120" spans="1:14" x14ac:dyDescent="0.2">
      <c r="A120" s="21" t="s">
        <v>9</v>
      </c>
      <c r="B120" s="234">
        <v>106667</v>
      </c>
      <c r="C120" s="145">
        <v>360986</v>
      </c>
      <c r="D120" s="166">
        <f t="shared" si="29"/>
        <v>238.4</v>
      </c>
      <c r="E120" s="27">
        <f>IFERROR(100/'Skjema total MA'!C120*C120,0)</f>
        <v>64.197734813695192</v>
      </c>
      <c r="F120" s="234"/>
      <c r="G120" s="145"/>
      <c r="H120" s="166"/>
      <c r="I120" s="27"/>
      <c r="J120" s="287">
        <f t="shared" si="30"/>
        <v>106667</v>
      </c>
      <c r="K120" s="44">
        <f t="shared" si="30"/>
        <v>360986</v>
      </c>
      <c r="L120" s="254">
        <f t="shared" si="31"/>
        <v>238.4</v>
      </c>
      <c r="M120" s="27">
        <f>IFERROR(100/'Skjema total MA'!I120*K120,0)</f>
        <v>64.197734813695192</v>
      </c>
    </row>
    <row r="121" spans="1:14" x14ac:dyDescent="0.2">
      <c r="A121" s="21" t="s">
        <v>10</v>
      </c>
      <c r="B121" s="234"/>
      <c r="C121" s="145"/>
      <c r="D121" s="166"/>
      <c r="E121" s="27"/>
      <c r="F121" s="234">
        <v>2702187</v>
      </c>
      <c r="G121" s="145">
        <v>5453974</v>
      </c>
      <c r="H121" s="166">
        <f t="shared" si="32"/>
        <v>101.8</v>
      </c>
      <c r="I121" s="27">
        <f>IFERROR(100/'Skjema total MA'!F121*G121,0)</f>
        <v>37.188015408243935</v>
      </c>
      <c r="J121" s="287">
        <f t="shared" si="30"/>
        <v>2702187</v>
      </c>
      <c r="K121" s="44">
        <f t="shared" si="30"/>
        <v>5453974</v>
      </c>
      <c r="L121" s="254">
        <f t="shared" si="31"/>
        <v>101.8</v>
      </c>
      <c r="M121" s="27">
        <f>IFERROR(100/'Skjema total MA'!I121*K121,0)</f>
        <v>37.174058955473235</v>
      </c>
    </row>
    <row r="122" spans="1:14" x14ac:dyDescent="0.2">
      <c r="A122" s="21" t="s">
        <v>26</v>
      </c>
      <c r="B122" s="234"/>
      <c r="C122" s="145"/>
      <c r="D122" s="166"/>
      <c r="E122" s="27"/>
      <c r="F122" s="234"/>
      <c r="G122" s="145"/>
      <c r="H122" s="166"/>
      <c r="I122" s="27"/>
      <c r="J122" s="287"/>
      <c r="K122" s="44"/>
      <c r="L122" s="254"/>
      <c r="M122" s="27"/>
    </row>
    <row r="123" spans="1:14" x14ac:dyDescent="0.2">
      <c r="A123" s="296" t="s">
        <v>14</v>
      </c>
      <c r="B123" s="294"/>
      <c r="C123" s="295"/>
      <c r="D123" s="166"/>
      <c r="E123" s="417"/>
      <c r="F123" s="294"/>
      <c r="G123" s="295"/>
      <c r="H123" s="166"/>
      <c r="I123" s="417"/>
      <c r="J123" s="294"/>
      <c r="K123" s="295"/>
      <c r="L123" s="166"/>
      <c r="M123" s="23"/>
    </row>
    <row r="124" spans="1:14" ht="15.75" x14ac:dyDescent="0.2">
      <c r="A124" s="21" t="s">
        <v>393</v>
      </c>
      <c r="B124" s="234">
        <v>49601</v>
      </c>
      <c r="C124" s="234">
        <v>43395</v>
      </c>
      <c r="D124" s="166">
        <f t="shared" si="29"/>
        <v>-12.5</v>
      </c>
      <c r="E124" s="27">
        <f>IFERROR(100/'Skjema total MA'!C124*C124,0)</f>
        <v>92.066816980587745</v>
      </c>
      <c r="F124" s="234"/>
      <c r="G124" s="234"/>
      <c r="H124" s="166"/>
      <c r="I124" s="27"/>
      <c r="J124" s="287">
        <f t="shared" si="30"/>
        <v>49601</v>
      </c>
      <c r="K124" s="44">
        <f t="shared" si="30"/>
        <v>43395</v>
      </c>
      <c r="L124" s="254">
        <f t="shared" si="31"/>
        <v>-12.5</v>
      </c>
      <c r="M124" s="27">
        <f>IFERROR(100/'Skjema total MA'!I124*K124,0)</f>
        <v>65.958074740416322</v>
      </c>
    </row>
    <row r="125" spans="1:14" ht="15.75" x14ac:dyDescent="0.2">
      <c r="A125" s="21" t="s">
        <v>385</v>
      </c>
      <c r="B125" s="234"/>
      <c r="C125" s="234"/>
      <c r="D125" s="166"/>
      <c r="E125" s="27"/>
      <c r="F125" s="234">
        <v>557186.48699999996</v>
      </c>
      <c r="G125" s="234">
        <v>716543.28628</v>
      </c>
      <c r="H125" s="166">
        <f t="shared" si="32"/>
        <v>28.6</v>
      </c>
      <c r="I125" s="27">
        <f>IFERROR(100/'Skjema total MA'!F125*G125,0)</f>
        <v>27.337834375188027</v>
      </c>
      <c r="J125" s="287">
        <f t="shared" si="30"/>
        <v>557186.48699999996</v>
      </c>
      <c r="K125" s="44">
        <f t="shared" si="30"/>
        <v>716543.28628</v>
      </c>
      <c r="L125" s="254">
        <f t="shared" si="31"/>
        <v>28.6</v>
      </c>
      <c r="M125" s="27">
        <f>IFERROR(100/'Skjema total MA'!I125*K125,0)</f>
        <v>27.32358346672898</v>
      </c>
    </row>
    <row r="126" spans="1:14" ht="15.75" x14ac:dyDescent="0.2">
      <c r="A126" s="10" t="s">
        <v>386</v>
      </c>
      <c r="B126" s="45"/>
      <c r="C126" s="45"/>
      <c r="D126" s="167"/>
      <c r="E126" s="418"/>
      <c r="F126" s="45"/>
      <c r="G126" s="45"/>
      <c r="H126" s="167"/>
      <c r="I126" s="22"/>
      <c r="J126" s="288"/>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35"/>
      <c r="C130" s="735"/>
      <c r="D130" s="735"/>
      <c r="E130" s="299"/>
      <c r="F130" s="735"/>
      <c r="G130" s="735"/>
      <c r="H130" s="735"/>
      <c r="I130" s="299"/>
      <c r="J130" s="735"/>
      <c r="K130" s="735"/>
      <c r="L130" s="735"/>
      <c r="M130" s="299"/>
    </row>
    <row r="131" spans="1:14" s="3" customFormat="1" x14ac:dyDescent="0.2">
      <c r="A131" s="144"/>
      <c r="B131" s="733" t="s">
        <v>0</v>
      </c>
      <c r="C131" s="734"/>
      <c r="D131" s="734"/>
      <c r="E131" s="301"/>
      <c r="F131" s="733" t="s">
        <v>1</v>
      </c>
      <c r="G131" s="734"/>
      <c r="H131" s="734"/>
      <c r="I131" s="304"/>
      <c r="J131" s="733" t="s">
        <v>2</v>
      </c>
      <c r="K131" s="734"/>
      <c r="L131" s="734"/>
      <c r="M131" s="304"/>
      <c r="N131" s="148"/>
    </row>
    <row r="132" spans="1:14" s="3" customFormat="1" x14ac:dyDescent="0.2">
      <c r="A132" s="140"/>
      <c r="B132" s="152" t="s">
        <v>421</v>
      </c>
      <c r="C132" s="152" t="s">
        <v>422</v>
      </c>
      <c r="D132" s="245" t="s">
        <v>3</v>
      </c>
      <c r="E132" s="305" t="s">
        <v>29</v>
      </c>
      <c r="F132" s="152" t="s">
        <v>421</v>
      </c>
      <c r="G132" s="152" t="s">
        <v>422</v>
      </c>
      <c r="H132" s="206" t="s">
        <v>3</v>
      </c>
      <c r="I132" s="162" t="s">
        <v>29</v>
      </c>
      <c r="J132" s="152" t="s">
        <v>421</v>
      </c>
      <c r="K132" s="152" t="s">
        <v>422</v>
      </c>
      <c r="L132" s="246" t="s">
        <v>3</v>
      </c>
      <c r="M132" s="162" t="s">
        <v>29</v>
      </c>
      <c r="N132" s="148"/>
    </row>
    <row r="133" spans="1:14" s="3" customFormat="1" x14ac:dyDescent="0.2">
      <c r="A133" s="708"/>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389</v>
      </c>
      <c r="B134" s="236"/>
      <c r="C134" s="309"/>
      <c r="D134" s="350"/>
      <c r="E134" s="11"/>
      <c r="F134" s="316"/>
      <c r="G134" s="317"/>
      <c r="H134" s="431"/>
      <c r="I134" s="24"/>
      <c r="J134" s="318"/>
      <c r="K134" s="318"/>
      <c r="L134" s="427"/>
      <c r="M134" s="11"/>
      <c r="N134" s="148"/>
    </row>
    <row r="135" spans="1:14" s="3" customFormat="1" ht="15.75" x14ac:dyDescent="0.2">
      <c r="A135" s="13" t="s">
        <v>394</v>
      </c>
      <c r="B135" s="236"/>
      <c r="C135" s="309"/>
      <c r="D135" s="171"/>
      <c r="E135" s="11"/>
      <c r="F135" s="236"/>
      <c r="G135" s="309"/>
      <c r="H135" s="432"/>
      <c r="I135" s="24"/>
      <c r="J135" s="308"/>
      <c r="K135" s="308"/>
      <c r="L135" s="428"/>
      <c r="M135" s="11"/>
      <c r="N135" s="148"/>
    </row>
    <row r="136" spans="1:14" s="3" customFormat="1" ht="15.75" x14ac:dyDescent="0.2">
      <c r="A136" s="13" t="s">
        <v>391</v>
      </c>
      <c r="B136" s="236"/>
      <c r="C136" s="309"/>
      <c r="D136" s="171"/>
      <c r="E136" s="11"/>
      <c r="F136" s="236"/>
      <c r="G136" s="309"/>
      <c r="H136" s="432"/>
      <c r="I136" s="24"/>
      <c r="J136" s="308"/>
      <c r="K136" s="308"/>
      <c r="L136" s="428"/>
      <c r="M136" s="11"/>
      <c r="N136" s="148"/>
    </row>
    <row r="137" spans="1:14" s="3" customFormat="1" ht="15.75" x14ac:dyDescent="0.2">
      <c r="A137" s="41" t="s">
        <v>392</v>
      </c>
      <c r="B137" s="276"/>
      <c r="C137" s="315"/>
      <c r="D137" s="169"/>
      <c r="E137" s="9"/>
      <c r="F137" s="276"/>
      <c r="G137" s="315"/>
      <c r="H137" s="433"/>
      <c r="I137" s="36"/>
      <c r="J137" s="314"/>
      <c r="K137" s="314"/>
      <c r="L137" s="429"/>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396" priority="132">
      <formula>kvartal &lt; 4</formula>
    </cfRule>
  </conditionalFormatting>
  <conditionalFormatting sqref="A50:A52">
    <cfRule type="expression" dxfId="395" priority="12">
      <formula>kvartal &lt; 4</formula>
    </cfRule>
  </conditionalFormatting>
  <conditionalFormatting sqref="A69:A74">
    <cfRule type="expression" dxfId="394" priority="10">
      <formula>kvartal &lt; 4</formula>
    </cfRule>
  </conditionalFormatting>
  <conditionalFormatting sqref="A80:A85">
    <cfRule type="expression" dxfId="393" priority="9">
      <formula>kvartal &lt; 4</formula>
    </cfRule>
  </conditionalFormatting>
  <conditionalFormatting sqref="A90:A95">
    <cfRule type="expression" dxfId="392" priority="6">
      <formula>kvartal &lt; 4</formula>
    </cfRule>
  </conditionalFormatting>
  <conditionalFormatting sqref="A101:A106">
    <cfRule type="expression" dxfId="391" priority="5">
      <formula>kvartal &lt; 4</formula>
    </cfRule>
  </conditionalFormatting>
  <conditionalFormatting sqref="A115">
    <cfRule type="expression" dxfId="390" priority="4">
      <formula>kvartal &lt; 4</formula>
    </cfRule>
  </conditionalFormatting>
  <conditionalFormatting sqref="A123">
    <cfRule type="expression" dxfId="389" priority="3">
      <formula>kvartal &lt; 4</formula>
    </cfRule>
  </conditionalFormatting>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13"/>
  <dimension ref="A1:N144"/>
  <sheetViews>
    <sheetView showGridLines="0" zoomScaleNormal="100" workbookViewId="0">
      <selection activeCell="A3" sqref="A3"/>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135</v>
      </c>
      <c r="B1" s="709"/>
      <c r="C1" s="248" t="s">
        <v>124</v>
      </c>
      <c r="D1" s="26"/>
      <c r="E1" s="26"/>
      <c r="F1" s="26"/>
      <c r="G1" s="26"/>
      <c r="H1" s="26"/>
      <c r="I1" s="26"/>
      <c r="J1" s="26"/>
      <c r="K1" s="26"/>
      <c r="L1" s="26"/>
      <c r="M1" s="26"/>
    </row>
    <row r="2" spans="1:14" ht="15.75" x14ac:dyDescent="0.25">
      <c r="A2" s="165" t="s">
        <v>28</v>
      </c>
      <c r="B2" s="732"/>
      <c r="C2" s="732"/>
      <c r="D2" s="732"/>
      <c r="E2" s="299"/>
      <c r="F2" s="732"/>
      <c r="G2" s="732"/>
      <c r="H2" s="732"/>
      <c r="I2" s="299"/>
      <c r="J2" s="732"/>
      <c r="K2" s="732"/>
      <c r="L2" s="732"/>
      <c r="M2" s="299"/>
    </row>
    <row r="3" spans="1:14" ht="15.75" x14ac:dyDescent="0.25">
      <c r="A3" s="163"/>
      <c r="B3" s="299"/>
      <c r="C3" s="299"/>
      <c r="D3" s="299"/>
      <c r="E3" s="299"/>
      <c r="F3" s="299"/>
      <c r="G3" s="299"/>
      <c r="H3" s="299"/>
      <c r="I3" s="299"/>
      <c r="J3" s="299"/>
      <c r="K3" s="299"/>
      <c r="L3" s="299"/>
      <c r="M3" s="299"/>
    </row>
    <row r="4" spans="1:14" x14ac:dyDescent="0.2">
      <c r="A4" s="144"/>
      <c r="B4" s="733" t="s">
        <v>0</v>
      </c>
      <c r="C4" s="734"/>
      <c r="D4" s="734"/>
      <c r="E4" s="301"/>
      <c r="F4" s="733" t="s">
        <v>1</v>
      </c>
      <c r="G4" s="734"/>
      <c r="H4" s="734"/>
      <c r="I4" s="304"/>
      <c r="J4" s="733" t="s">
        <v>2</v>
      </c>
      <c r="K4" s="734"/>
      <c r="L4" s="734"/>
      <c r="M4" s="304"/>
    </row>
    <row r="5" spans="1:14" x14ac:dyDescent="0.2">
      <c r="A5" s="158"/>
      <c r="B5" s="152" t="s">
        <v>421</v>
      </c>
      <c r="C5" s="152" t="s">
        <v>422</v>
      </c>
      <c r="D5" s="245" t="s">
        <v>3</v>
      </c>
      <c r="E5" s="305" t="s">
        <v>29</v>
      </c>
      <c r="F5" s="152" t="s">
        <v>421</v>
      </c>
      <c r="G5" s="152" t="s">
        <v>422</v>
      </c>
      <c r="H5" s="245" t="s">
        <v>3</v>
      </c>
      <c r="I5" s="162" t="s">
        <v>29</v>
      </c>
      <c r="J5" s="152" t="s">
        <v>421</v>
      </c>
      <c r="K5" s="152" t="s">
        <v>422</v>
      </c>
      <c r="L5" s="245" t="s">
        <v>3</v>
      </c>
      <c r="M5" s="162" t="s">
        <v>29</v>
      </c>
    </row>
    <row r="6" spans="1:14" x14ac:dyDescent="0.2">
      <c r="A6" s="707"/>
      <c r="B6" s="156"/>
      <c r="C6" s="156"/>
      <c r="D6" s="246" t="s">
        <v>4</v>
      </c>
      <c r="E6" s="156" t="s">
        <v>30</v>
      </c>
      <c r="F6" s="161"/>
      <c r="G6" s="161"/>
      <c r="H6" s="245" t="s">
        <v>4</v>
      </c>
      <c r="I6" s="156" t="s">
        <v>30</v>
      </c>
      <c r="J6" s="161"/>
      <c r="K6" s="161"/>
      <c r="L6" s="245" t="s">
        <v>4</v>
      </c>
      <c r="M6" s="156" t="s">
        <v>30</v>
      </c>
    </row>
    <row r="7" spans="1:14" ht="15.75" x14ac:dyDescent="0.2">
      <c r="A7" s="14" t="s">
        <v>23</v>
      </c>
      <c r="B7" s="306">
        <v>252371</v>
      </c>
      <c r="C7" s="307">
        <v>269700</v>
      </c>
      <c r="D7" s="350">
        <f>IF(B7=0, "    ---- ", IF(ABS(ROUND(100/B7*C7-100,1))&lt;999,ROUND(100/B7*C7-100,1),IF(ROUND(100/B7*C7-100,1)&gt;999,999,-999)))</f>
        <v>6.9</v>
      </c>
      <c r="E7" s="11">
        <f>IFERROR(100/'Skjema total MA'!C7*C7,0)</f>
        <v>7.3088201249990927</v>
      </c>
      <c r="F7" s="306"/>
      <c r="G7" s="307"/>
      <c r="H7" s="350"/>
      <c r="I7" s="160"/>
      <c r="J7" s="308">
        <f t="shared" ref="J7:K9" si="0">SUM(B7,F7)</f>
        <v>252371</v>
      </c>
      <c r="K7" s="309">
        <f t="shared" si="0"/>
        <v>269700</v>
      </c>
      <c r="L7" s="427">
        <f>IF(J7=0, "    ---- ", IF(ABS(ROUND(100/J7*K7-100,1))&lt;999,ROUND(100/J7*K7-100,1),IF(ROUND(100/J7*K7-100,1)&gt;999,999,-999)))</f>
        <v>6.9</v>
      </c>
      <c r="M7" s="11">
        <f>IFERROR(100/'Skjema total MA'!I7*K7,0)</f>
        <v>2.5457867732173742</v>
      </c>
    </row>
    <row r="8" spans="1:14" ht="15.75" x14ac:dyDescent="0.2">
      <c r="A8" s="21" t="s">
        <v>25</v>
      </c>
      <c r="B8" s="281">
        <v>125602</v>
      </c>
      <c r="C8" s="282">
        <v>134606</v>
      </c>
      <c r="D8" s="166">
        <f t="shared" ref="D8:D9" si="1">IF(B8=0, "    ---- ", IF(ABS(ROUND(100/B8*C8-100,1))&lt;999,ROUND(100/B8*C8-100,1),IF(ROUND(100/B8*C8-100,1)&gt;999,999,-999)))</f>
        <v>7.2</v>
      </c>
      <c r="E8" s="27">
        <f>IFERROR(100/'Skjema total MA'!C8*C8,0)</f>
        <v>5.5642389899192501</v>
      </c>
      <c r="F8" s="285"/>
      <c r="G8" s="286"/>
      <c r="H8" s="166"/>
      <c r="I8" s="175"/>
      <c r="J8" s="234">
        <f t="shared" si="0"/>
        <v>125602</v>
      </c>
      <c r="K8" s="287">
        <f t="shared" si="0"/>
        <v>134606</v>
      </c>
      <c r="L8" s="166">
        <f t="shared" ref="L8:L9" si="2">IF(J8=0, "    ---- ", IF(ABS(ROUND(100/J8*K8-100,1))&lt;999,ROUND(100/J8*K8-100,1),IF(ROUND(100/J8*K8-100,1)&gt;999,999,-999)))</f>
        <v>7.2</v>
      </c>
      <c r="M8" s="27">
        <f>IFERROR(100/'Skjema total MA'!I8*K8,0)</f>
        <v>5.5642389899192501</v>
      </c>
    </row>
    <row r="9" spans="1:14" ht="15.75" x14ac:dyDescent="0.2">
      <c r="A9" s="21" t="s">
        <v>24</v>
      </c>
      <c r="B9" s="281">
        <v>126769</v>
      </c>
      <c r="C9" s="282">
        <v>135094</v>
      </c>
      <c r="D9" s="166">
        <f t="shared" si="1"/>
        <v>6.6</v>
      </c>
      <c r="E9" s="27">
        <f>IFERROR(100/'Skjema total MA'!C9*C9,0)</f>
        <v>17.906563805797035</v>
      </c>
      <c r="F9" s="285"/>
      <c r="G9" s="286"/>
      <c r="H9" s="166"/>
      <c r="I9" s="175"/>
      <c r="J9" s="234">
        <f t="shared" si="0"/>
        <v>126769</v>
      </c>
      <c r="K9" s="287">
        <f t="shared" si="0"/>
        <v>135094</v>
      </c>
      <c r="L9" s="166">
        <f t="shared" si="2"/>
        <v>6.6</v>
      </c>
      <c r="M9" s="27">
        <f>IFERROR(100/'Skjema total MA'!I9*K9,0)</f>
        <v>17.906563805797035</v>
      </c>
    </row>
    <row r="10" spans="1:14" ht="15.75" x14ac:dyDescent="0.2">
      <c r="A10" s="13" t="s">
        <v>365</v>
      </c>
      <c r="B10" s="310"/>
      <c r="C10" s="311"/>
      <c r="D10" s="171"/>
      <c r="E10" s="11"/>
      <c r="F10" s="310"/>
      <c r="G10" s="311"/>
      <c r="H10" s="171"/>
      <c r="I10" s="160"/>
      <c r="J10" s="308"/>
      <c r="K10" s="309"/>
      <c r="L10" s="428"/>
      <c r="M10" s="11"/>
    </row>
    <row r="11" spans="1:14" s="43" customFormat="1" ht="15.75" x14ac:dyDescent="0.2">
      <c r="A11" s="13" t="s">
        <v>366</v>
      </c>
      <c r="B11" s="310"/>
      <c r="C11" s="311"/>
      <c r="D11" s="171"/>
      <c r="E11" s="11"/>
      <c r="F11" s="310"/>
      <c r="G11" s="311"/>
      <c r="H11" s="171"/>
      <c r="I11" s="160"/>
      <c r="J11" s="308"/>
      <c r="K11" s="309"/>
      <c r="L11" s="428"/>
      <c r="M11" s="11"/>
      <c r="N11" s="143"/>
    </row>
    <row r="12" spans="1:14" s="43" customFormat="1" ht="15.75" x14ac:dyDescent="0.2">
      <c r="A12" s="41" t="s">
        <v>367</v>
      </c>
      <c r="B12" s="312"/>
      <c r="C12" s="313"/>
      <c r="D12" s="169"/>
      <c r="E12" s="36"/>
      <c r="F12" s="312"/>
      <c r="G12" s="313"/>
      <c r="H12" s="169"/>
      <c r="I12" s="169"/>
      <c r="J12" s="314"/>
      <c r="K12" s="315"/>
      <c r="L12" s="429"/>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275</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272</v>
      </c>
      <c r="B17" s="157"/>
      <c r="C17" s="157"/>
      <c r="D17" s="151"/>
      <c r="E17" s="151"/>
      <c r="F17" s="157"/>
      <c r="G17" s="157"/>
      <c r="H17" s="157"/>
      <c r="I17" s="157"/>
      <c r="J17" s="157"/>
      <c r="K17" s="157"/>
      <c r="L17" s="157"/>
      <c r="M17" s="157"/>
    </row>
    <row r="18" spans="1:14" ht="15.75" x14ac:dyDescent="0.25">
      <c r="B18" s="735"/>
      <c r="C18" s="735"/>
      <c r="D18" s="735"/>
      <c r="E18" s="299"/>
      <c r="F18" s="735"/>
      <c r="G18" s="735"/>
      <c r="H18" s="735"/>
      <c r="I18" s="299"/>
      <c r="J18" s="735"/>
      <c r="K18" s="735"/>
      <c r="L18" s="735"/>
      <c r="M18" s="299"/>
    </row>
    <row r="19" spans="1:14" x14ac:dyDescent="0.2">
      <c r="A19" s="144"/>
      <c r="B19" s="733" t="s">
        <v>0</v>
      </c>
      <c r="C19" s="734"/>
      <c r="D19" s="734"/>
      <c r="E19" s="301"/>
      <c r="F19" s="733" t="s">
        <v>1</v>
      </c>
      <c r="G19" s="734"/>
      <c r="H19" s="734"/>
      <c r="I19" s="304"/>
      <c r="J19" s="733" t="s">
        <v>2</v>
      </c>
      <c r="K19" s="734"/>
      <c r="L19" s="734"/>
      <c r="M19" s="304"/>
    </row>
    <row r="20" spans="1:14" x14ac:dyDescent="0.2">
      <c r="A20" s="140" t="s">
        <v>5</v>
      </c>
      <c r="B20" s="152" t="s">
        <v>421</v>
      </c>
      <c r="C20" s="152" t="s">
        <v>422</v>
      </c>
      <c r="D20" s="162" t="s">
        <v>3</v>
      </c>
      <c r="E20" s="305" t="s">
        <v>29</v>
      </c>
      <c r="F20" s="152" t="s">
        <v>421</v>
      </c>
      <c r="G20" s="152" t="s">
        <v>422</v>
      </c>
      <c r="H20" s="162" t="s">
        <v>3</v>
      </c>
      <c r="I20" s="162" t="s">
        <v>29</v>
      </c>
      <c r="J20" s="152" t="s">
        <v>421</v>
      </c>
      <c r="K20" s="152" t="s">
        <v>422</v>
      </c>
      <c r="L20" s="162" t="s">
        <v>3</v>
      </c>
      <c r="M20" s="162" t="s">
        <v>29</v>
      </c>
    </row>
    <row r="21" spans="1:14" x14ac:dyDescent="0.2">
      <c r="A21" s="708"/>
      <c r="B21" s="156"/>
      <c r="C21" s="156"/>
      <c r="D21" s="246" t="s">
        <v>4</v>
      </c>
      <c r="E21" s="156" t="s">
        <v>30</v>
      </c>
      <c r="F21" s="161"/>
      <c r="G21" s="161"/>
      <c r="H21" s="245" t="s">
        <v>4</v>
      </c>
      <c r="I21" s="156" t="s">
        <v>30</v>
      </c>
      <c r="J21" s="161"/>
      <c r="K21" s="161"/>
      <c r="L21" s="156" t="s">
        <v>4</v>
      </c>
      <c r="M21" s="156" t="s">
        <v>30</v>
      </c>
    </row>
    <row r="22" spans="1:14" ht="15.75" x14ac:dyDescent="0.2">
      <c r="A22" s="14" t="s">
        <v>23</v>
      </c>
      <c r="B22" s="310"/>
      <c r="C22" s="310"/>
      <c r="D22" s="350"/>
      <c r="E22" s="11"/>
      <c r="F22" s="318"/>
      <c r="G22" s="318"/>
      <c r="H22" s="350"/>
      <c r="I22" s="11"/>
      <c r="J22" s="316"/>
      <c r="K22" s="316"/>
      <c r="L22" s="427"/>
      <c r="M22" s="24"/>
    </row>
    <row r="23" spans="1:14" ht="15.75" x14ac:dyDescent="0.2">
      <c r="A23" s="584" t="s">
        <v>368</v>
      </c>
      <c r="B23" s="281"/>
      <c r="C23" s="281"/>
      <c r="D23" s="166"/>
      <c r="E23" s="11"/>
      <c r="F23" s="290"/>
      <c r="G23" s="290"/>
      <c r="H23" s="166"/>
      <c r="I23" s="417"/>
      <c r="J23" s="290"/>
      <c r="K23" s="290"/>
      <c r="L23" s="166"/>
      <c r="M23" s="23"/>
    </row>
    <row r="24" spans="1:14" ht="15.75" x14ac:dyDescent="0.2">
      <c r="A24" s="584" t="s">
        <v>369</v>
      </c>
      <c r="B24" s="281"/>
      <c r="C24" s="281"/>
      <c r="D24" s="166"/>
      <c r="E24" s="11"/>
      <c r="F24" s="290"/>
      <c r="G24" s="290"/>
      <c r="H24" s="166"/>
      <c r="I24" s="417"/>
      <c r="J24" s="290"/>
      <c r="K24" s="290"/>
      <c r="L24" s="166"/>
      <c r="M24" s="23"/>
    </row>
    <row r="25" spans="1:14" ht="15.75" x14ac:dyDescent="0.2">
      <c r="A25" s="584" t="s">
        <v>370</v>
      </c>
      <c r="B25" s="281"/>
      <c r="C25" s="281"/>
      <c r="D25" s="166"/>
      <c r="E25" s="11"/>
      <c r="F25" s="290"/>
      <c r="G25" s="290"/>
      <c r="H25" s="166"/>
      <c r="I25" s="417"/>
      <c r="J25" s="290"/>
      <c r="K25" s="290"/>
      <c r="L25" s="166"/>
      <c r="M25" s="23"/>
    </row>
    <row r="26" spans="1:14" ht="15.75" x14ac:dyDescent="0.2">
      <c r="A26" s="584" t="s">
        <v>371</v>
      </c>
      <c r="B26" s="281"/>
      <c r="C26" s="281"/>
      <c r="D26" s="166"/>
      <c r="E26" s="11"/>
      <c r="F26" s="290"/>
      <c r="G26" s="290"/>
      <c r="H26" s="166"/>
      <c r="I26" s="417"/>
      <c r="J26" s="290"/>
      <c r="K26" s="290"/>
      <c r="L26" s="166"/>
      <c r="M26" s="23"/>
    </row>
    <row r="27" spans="1:14" x14ac:dyDescent="0.2">
      <c r="A27" s="584" t="s">
        <v>11</v>
      </c>
      <c r="B27" s="281"/>
      <c r="C27" s="281"/>
      <c r="D27" s="166"/>
      <c r="E27" s="11"/>
      <c r="F27" s="290"/>
      <c r="G27" s="290"/>
      <c r="H27" s="166"/>
      <c r="I27" s="417"/>
      <c r="J27" s="290"/>
      <c r="K27" s="290"/>
      <c r="L27" s="166"/>
      <c r="M27" s="23"/>
    </row>
    <row r="28" spans="1:14" ht="15.75" x14ac:dyDescent="0.2">
      <c r="A28" s="49" t="s">
        <v>276</v>
      </c>
      <c r="B28" s="44"/>
      <c r="C28" s="287"/>
      <c r="D28" s="166"/>
      <c r="E28" s="11"/>
      <c r="F28" s="234"/>
      <c r="G28" s="287"/>
      <c r="H28" s="166"/>
      <c r="I28" s="27"/>
      <c r="J28" s="44"/>
      <c r="K28" s="44"/>
      <c r="L28" s="254"/>
      <c r="M28" s="23"/>
    </row>
    <row r="29" spans="1:14" s="3" customFormat="1" ht="15.75" x14ac:dyDescent="0.2">
      <c r="A29" s="13" t="s">
        <v>365</v>
      </c>
      <c r="B29" s="236"/>
      <c r="C29" s="236"/>
      <c r="D29" s="171"/>
      <c r="E29" s="11"/>
      <c r="F29" s="308"/>
      <c r="G29" s="308"/>
      <c r="H29" s="171"/>
      <c r="I29" s="11"/>
      <c r="J29" s="236"/>
      <c r="K29" s="236"/>
      <c r="L29" s="428"/>
      <c r="M29" s="24"/>
      <c r="N29" s="148"/>
    </row>
    <row r="30" spans="1:14" s="3" customFormat="1" ht="15.75" x14ac:dyDescent="0.2">
      <c r="A30" s="584" t="s">
        <v>368</v>
      </c>
      <c r="B30" s="281"/>
      <c r="C30" s="281"/>
      <c r="D30" s="166"/>
      <c r="E30" s="11"/>
      <c r="F30" s="290"/>
      <c r="G30" s="290"/>
      <c r="H30" s="166"/>
      <c r="I30" s="417"/>
      <c r="J30" s="290"/>
      <c r="K30" s="290"/>
      <c r="L30" s="166"/>
      <c r="M30" s="23"/>
      <c r="N30" s="148"/>
    </row>
    <row r="31" spans="1:14" s="3" customFormat="1" ht="15.75" x14ac:dyDescent="0.2">
      <c r="A31" s="584" t="s">
        <v>369</v>
      </c>
      <c r="B31" s="281"/>
      <c r="C31" s="281"/>
      <c r="D31" s="166"/>
      <c r="E31" s="11"/>
      <c r="F31" s="290"/>
      <c r="G31" s="290"/>
      <c r="H31" s="166"/>
      <c r="I31" s="417"/>
      <c r="J31" s="290"/>
      <c r="K31" s="290"/>
      <c r="L31" s="166"/>
      <c r="M31" s="23"/>
      <c r="N31" s="148"/>
    </row>
    <row r="32" spans="1:14" ht="15.75" x14ac:dyDescent="0.2">
      <c r="A32" s="584" t="s">
        <v>370</v>
      </c>
      <c r="B32" s="281"/>
      <c r="C32" s="281"/>
      <c r="D32" s="166"/>
      <c r="E32" s="11"/>
      <c r="F32" s="290"/>
      <c r="G32" s="290"/>
      <c r="H32" s="166"/>
      <c r="I32" s="417"/>
      <c r="J32" s="290"/>
      <c r="K32" s="290"/>
      <c r="L32" s="166"/>
      <c r="M32" s="23"/>
    </row>
    <row r="33" spans="1:14" ht="15.75" x14ac:dyDescent="0.2">
      <c r="A33" s="584" t="s">
        <v>371</v>
      </c>
      <c r="B33" s="281"/>
      <c r="C33" s="281"/>
      <c r="D33" s="166"/>
      <c r="E33" s="11"/>
      <c r="F33" s="290"/>
      <c r="G33" s="290"/>
      <c r="H33" s="166"/>
      <c r="I33" s="417"/>
      <c r="J33" s="290"/>
      <c r="K33" s="290"/>
      <c r="L33" s="166"/>
      <c r="M33" s="23"/>
    </row>
    <row r="34" spans="1:14" ht="15.75" x14ac:dyDescent="0.2">
      <c r="A34" s="13" t="s">
        <v>366</v>
      </c>
      <c r="B34" s="236"/>
      <c r="C34" s="309"/>
      <c r="D34" s="171"/>
      <c r="E34" s="11"/>
      <c r="F34" s="308"/>
      <c r="G34" s="309"/>
      <c r="H34" s="171"/>
      <c r="I34" s="11"/>
      <c r="J34" s="236"/>
      <c r="K34" s="236"/>
      <c r="L34" s="428"/>
      <c r="M34" s="24"/>
    </row>
    <row r="35" spans="1:14" ht="15.75" x14ac:dyDescent="0.2">
      <c r="A35" s="13" t="s">
        <v>367</v>
      </c>
      <c r="B35" s="236"/>
      <c r="C35" s="309"/>
      <c r="D35" s="171"/>
      <c r="E35" s="11"/>
      <c r="F35" s="308"/>
      <c r="G35" s="309"/>
      <c r="H35" s="171"/>
      <c r="I35" s="11"/>
      <c r="J35" s="236"/>
      <c r="K35" s="236"/>
      <c r="L35" s="428"/>
      <c r="M35" s="24"/>
    </row>
    <row r="36" spans="1:14" ht="15.75" x14ac:dyDescent="0.2">
      <c r="A36" s="12" t="s">
        <v>284</v>
      </c>
      <c r="B36" s="236"/>
      <c r="C36" s="309"/>
      <c r="D36" s="171"/>
      <c r="E36" s="11"/>
      <c r="F36" s="319"/>
      <c r="G36" s="320"/>
      <c r="H36" s="171"/>
      <c r="I36" s="434"/>
      <c r="J36" s="236"/>
      <c r="K36" s="236"/>
      <c r="L36" s="428"/>
      <c r="M36" s="24"/>
    </row>
    <row r="37" spans="1:14" ht="15.75" x14ac:dyDescent="0.2">
      <c r="A37" s="12" t="s">
        <v>373</v>
      </c>
      <c r="B37" s="236"/>
      <c r="C37" s="309"/>
      <c r="D37" s="171"/>
      <c r="E37" s="11"/>
      <c r="F37" s="319"/>
      <c r="G37" s="321"/>
      <c r="H37" s="171"/>
      <c r="I37" s="434"/>
      <c r="J37" s="236"/>
      <c r="K37" s="236"/>
      <c r="L37" s="428"/>
      <c r="M37" s="24"/>
    </row>
    <row r="38" spans="1:14" ht="15.75" x14ac:dyDescent="0.2">
      <c r="A38" s="12" t="s">
        <v>374</v>
      </c>
      <c r="B38" s="236"/>
      <c r="C38" s="309"/>
      <c r="D38" s="171"/>
      <c r="E38" s="24"/>
      <c r="F38" s="319"/>
      <c r="G38" s="320"/>
      <c r="H38" s="171"/>
      <c r="I38" s="434"/>
      <c r="J38" s="236"/>
      <c r="K38" s="236"/>
      <c r="L38" s="428"/>
      <c r="M38" s="24"/>
    </row>
    <row r="39" spans="1:14" ht="15.75" x14ac:dyDescent="0.2">
      <c r="A39" s="18" t="s">
        <v>375</v>
      </c>
      <c r="B39" s="276"/>
      <c r="C39" s="315"/>
      <c r="D39" s="169"/>
      <c r="E39" s="36"/>
      <c r="F39" s="322"/>
      <c r="G39" s="323"/>
      <c r="H39" s="169"/>
      <c r="I39" s="36"/>
      <c r="J39" s="236"/>
      <c r="K39" s="236"/>
      <c r="L39" s="429"/>
      <c r="M39" s="36"/>
    </row>
    <row r="40" spans="1:14" ht="15.75" x14ac:dyDescent="0.25">
      <c r="A40" s="47"/>
      <c r="B40" s="253"/>
      <c r="C40" s="253"/>
      <c r="D40" s="736"/>
      <c r="E40" s="736"/>
      <c r="F40" s="736"/>
      <c r="G40" s="736"/>
      <c r="H40" s="736"/>
      <c r="I40" s="736"/>
      <c r="J40" s="736"/>
      <c r="K40" s="736"/>
      <c r="L40" s="736"/>
      <c r="M40" s="302"/>
    </row>
    <row r="41" spans="1:14" x14ac:dyDescent="0.2">
      <c r="A41" s="155"/>
    </row>
    <row r="42" spans="1:14" ht="15.75" x14ac:dyDescent="0.25">
      <c r="A42" s="147" t="s">
        <v>273</v>
      </c>
      <c r="B42" s="732"/>
      <c r="C42" s="732"/>
      <c r="D42" s="732"/>
      <c r="E42" s="299"/>
      <c r="F42" s="737"/>
      <c r="G42" s="737"/>
      <c r="H42" s="737"/>
      <c r="I42" s="302"/>
      <c r="J42" s="737"/>
      <c r="K42" s="737"/>
      <c r="L42" s="737"/>
      <c r="M42" s="302"/>
    </row>
    <row r="43" spans="1:14" ht="15.75" x14ac:dyDescent="0.25">
      <c r="A43" s="163"/>
      <c r="B43" s="303"/>
      <c r="C43" s="303"/>
      <c r="D43" s="303"/>
      <c r="E43" s="303"/>
      <c r="F43" s="302"/>
      <c r="G43" s="302"/>
      <c r="H43" s="302"/>
      <c r="I43" s="302"/>
      <c r="J43" s="302"/>
      <c r="K43" s="302"/>
      <c r="L43" s="302"/>
      <c r="M43" s="302"/>
    </row>
    <row r="44" spans="1:14" ht="15.75" x14ac:dyDescent="0.25">
      <c r="A44" s="247"/>
      <c r="B44" s="733" t="s">
        <v>0</v>
      </c>
      <c r="C44" s="734"/>
      <c r="D44" s="734"/>
      <c r="E44" s="243"/>
      <c r="F44" s="302"/>
      <c r="G44" s="302"/>
      <c r="H44" s="302"/>
      <c r="I44" s="302"/>
      <c r="J44" s="302"/>
      <c r="K44" s="302"/>
      <c r="L44" s="302"/>
      <c r="M44" s="302"/>
    </row>
    <row r="45" spans="1:14" s="3" customFormat="1" x14ac:dyDescent="0.2">
      <c r="A45" s="140"/>
      <c r="B45" s="152" t="s">
        <v>421</v>
      </c>
      <c r="C45" s="152" t="s">
        <v>422</v>
      </c>
      <c r="D45" s="162" t="s">
        <v>3</v>
      </c>
      <c r="E45" s="162" t="s">
        <v>29</v>
      </c>
      <c r="F45" s="174"/>
      <c r="G45" s="174"/>
      <c r="H45" s="173"/>
      <c r="I45" s="173"/>
      <c r="J45" s="174"/>
      <c r="K45" s="174"/>
      <c r="L45" s="173"/>
      <c r="M45" s="173"/>
      <c r="N45" s="148"/>
    </row>
    <row r="46" spans="1:14" s="3" customFormat="1" x14ac:dyDescent="0.2">
      <c r="A46" s="708"/>
      <c r="B46" s="244"/>
      <c r="C46" s="244"/>
      <c r="D46" s="245" t="s">
        <v>4</v>
      </c>
      <c r="E46" s="156" t="s">
        <v>30</v>
      </c>
      <c r="F46" s="173"/>
      <c r="G46" s="173"/>
      <c r="H46" s="173"/>
      <c r="I46" s="173"/>
      <c r="J46" s="173"/>
      <c r="K46" s="173"/>
      <c r="L46" s="173"/>
      <c r="M46" s="173"/>
      <c r="N46" s="148"/>
    </row>
    <row r="47" spans="1:14" s="3" customFormat="1" ht="15.75" x14ac:dyDescent="0.2">
      <c r="A47" s="14" t="s">
        <v>23</v>
      </c>
      <c r="B47" s="310"/>
      <c r="C47" s="311"/>
      <c r="D47" s="427"/>
      <c r="E47" s="11"/>
      <c r="F47" s="145"/>
      <c r="G47" s="33"/>
      <c r="H47" s="159"/>
      <c r="I47" s="159"/>
      <c r="J47" s="37"/>
      <c r="K47" s="37"/>
      <c r="L47" s="159"/>
      <c r="M47" s="159"/>
      <c r="N47" s="148"/>
    </row>
    <row r="48" spans="1:14" s="3" customFormat="1" ht="15.75" x14ac:dyDescent="0.2">
      <c r="A48" s="38" t="s">
        <v>376</v>
      </c>
      <c r="B48" s="281"/>
      <c r="C48" s="282"/>
      <c r="D48" s="254"/>
      <c r="E48" s="27"/>
      <c r="F48" s="145"/>
      <c r="G48" s="33"/>
      <c r="H48" s="145"/>
      <c r="I48" s="145"/>
      <c r="J48" s="33"/>
      <c r="K48" s="33"/>
      <c r="L48" s="159"/>
      <c r="M48" s="159"/>
      <c r="N48" s="148"/>
    </row>
    <row r="49" spans="1:14" s="3" customFormat="1" ht="15.75" x14ac:dyDescent="0.2">
      <c r="A49" s="38" t="s">
        <v>377</v>
      </c>
      <c r="B49" s="44"/>
      <c r="C49" s="287"/>
      <c r="D49" s="254"/>
      <c r="E49" s="27"/>
      <c r="F49" s="145"/>
      <c r="G49" s="33"/>
      <c r="H49" s="145"/>
      <c r="I49" s="145"/>
      <c r="J49" s="37"/>
      <c r="K49" s="37"/>
      <c r="L49" s="159"/>
      <c r="M49" s="159"/>
      <c r="N49" s="148"/>
    </row>
    <row r="50" spans="1:14" s="3" customFormat="1" x14ac:dyDescent="0.2">
      <c r="A50" s="296" t="s">
        <v>6</v>
      </c>
      <c r="B50" s="290"/>
      <c r="C50" s="291"/>
      <c r="D50" s="254"/>
      <c r="E50" s="23"/>
      <c r="F50" s="145"/>
      <c r="G50" s="33"/>
      <c r="H50" s="145"/>
      <c r="I50" s="145"/>
      <c r="J50" s="33"/>
      <c r="K50" s="33"/>
      <c r="L50" s="159"/>
      <c r="M50" s="159"/>
      <c r="N50" s="148"/>
    </row>
    <row r="51" spans="1:14" s="3" customFormat="1" x14ac:dyDescent="0.2">
      <c r="A51" s="296" t="s">
        <v>7</v>
      </c>
      <c r="B51" s="290"/>
      <c r="C51" s="291"/>
      <c r="D51" s="254"/>
      <c r="E51" s="23"/>
      <c r="F51" s="145"/>
      <c r="G51" s="33"/>
      <c r="H51" s="145"/>
      <c r="I51" s="145"/>
      <c r="J51" s="33"/>
      <c r="K51" s="33"/>
      <c r="L51" s="159"/>
      <c r="M51" s="159"/>
      <c r="N51" s="148"/>
    </row>
    <row r="52" spans="1:14" s="3" customFormat="1" x14ac:dyDescent="0.2">
      <c r="A52" s="296" t="s">
        <v>8</v>
      </c>
      <c r="B52" s="290"/>
      <c r="C52" s="291"/>
      <c r="D52" s="254"/>
      <c r="E52" s="23"/>
      <c r="F52" s="145"/>
      <c r="G52" s="33"/>
      <c r="H52" s="145"/>
      <c r="I52" s="145"/>
      <c r="J52" s="33"/>
      <c r="K52" s="33"/>
      <c r="L52" s="159"/>
      <c r="M52" s="159"/>
      <c r="N52" s="148"/>
    </row>
    <row r="53" spans="1:14" s="3" customFormat="1" ht="15.75" x14ac:dyDescent="0.2">
      <c r="A53" s="39" t="s">
        <v>378</v>
      </c>
      <c r="B53" s="310"/>
      <c r="C53" s="311"/>
      <c r="D53" s="428"/>
      <c r="E53" s="11"/>
      <c r="F53" s="145"/>
      <c r="G53" s="33"/>
      <c r="H53" s="145"/>
      <c r="I53" s="145"/>
      <c r="J53" s="33"/>
      <c r="K53" s="33"/>
      <c r="L53" s="159"/>
      <c r="M53" s="159"/>
      <c r="N53" s="148"/>
    </row>
    <row r="54" spans="1:14" s="3" customFormat="1" ht="15.75" x14ac:dyDescent="0.2">
      <c r="A54" s="38" t="s">
        <v>376</v>
      </c>
      <c r="B54" s="281"/>
      <c r="C54" s="282"/>
      <c r="D54" s="254"/>
      <c r="E54" s="27"/>
      <c r="F54" s="145"/>
      <c r="G54" s="33"/>
      <c r="H54" s="145"/>
      <c r="I54" s="145"/>
      <c r="J54" s="33"/>
      <c r="K54" s="33"/>
      <c r="L54" s="159"/>
      <c r="M54" s="159"/>
      <c r="N54" s="148"/>
    </row>
    <row r="55" spans="1:14" s="3" customFormat="1" ht="15.75" x14ac:dyDescent="0.2">
      <c r="A55" s="38" t="s">
        <v>377</v>
      </c>
      <c r="B55" s="281"/>
      <c r="C55" s="282"/>
      <c r="D55" s="254"/>
      <c r="E55" s="27"/>
      <c r="F55" s="145"/>
      <c r="G55" s="33"/>
      <c r="H55" s="145"/>
      <c r="I55" s="145"/>
      <c r="J55" s="33"/>
      <c r="K55" s="33"/>
      <c r="L55" s="159"/>
      <c r="M55" s="159"/>
      <c r="N55" s="148"/>
    </row>
    <row r="56" spans="1:14" s="3" customFormat="1" ht="15.75" x14ac:dyDescent="0.2">
      <c r="A56" s="39" t="s">
        <v>379</v>
      </c>
      <c r="B56" s="310"/>
      <c r="C56" s="311"/>
      <c r="D56" s="428"/>
      <c r="E56" s="11"/>
      <c r="F56" s="145"/>
      <c r="G56" s="33"/>
      <c r="H56" s="145"/>
      <c r="I56" s="145"/>
      <c r="J56" s="33"/>
      <c r="K56" s="33"/>
      <c r="L56" s="159"/>
      <c r="M56" s="159"/>
      <c r="N56" s="148"/>
    </row>
    <row r="57" spans="1:14" s="3" customFormat="1" ht="15.75" x14ac:dyDescent="0.2">
      <c r="A57" s="38" t="s">
        <v>376</v>
      </c>
      <c r="B57" s="281"/>
      <c r="C57" s="282"/>
      <c r="D57" s="254"/>
      <c r="E57" s="27"/>
      <c r="F57" s="145"/>
      <c r="G57" s="33"/>
      <c r="H57" s="145"/>
      <c r="I57" s="145"/>
      <c r="J57" s="33"/>
      <c r="K57" s="33"/>
      <c r="L57" s="159"/>
      <c r="M57" s="159"/>
      <c r="N57" s="148"/>
    </row>
    <row r="58" spans="1:14" s="3" customFormat="1" ht="15.75" x14ac:dyDescent="0.2">
      <c r="A58" s="46" t="s">
        <v>377</v>
      </c>
      <c r="B58" s="283"/>
      <c r="C58" s="284"/>
      <c r="D58" s="255"/>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274</v>
      </c>
      <c r="C61" s="26"/>
      <c r="D61" s="26"/>
      <c r="E61" s="26"/>
      <c r="F61" s="26"/>
      <c r="G61" s="26"/>
      <c r="H61" s="26"/>
      <c r="I61" s="26"/>
      <c r="J61" s="26"/>
      <c r="K61" s="26"/>
      <c r="L61" s="26"/>
      <c r="M61" s="26"/>
    </row>
    <row r="62" spans="1:14" ht="15.75" x14ac:dyDescent="0.25">
      <c r="B62" s="735"/>
      <c r="C62" s="735"/>
      <c r="D62" s="735"/>
      <c r="E62" s="299"/>
      <c r="F62" s="735"/>
      <c r="G62" s="735"/>
      <c r="H62" s="735"/>
      <c r="I62" s="299"/>
      <c r="J62" s="735"/>
      <c r="K62" s="735"/>
      <c r="L62" s="735"/>
      <c r="M62" s="299"/>
    </row>
    <row r="63" spans="1:14" x14ac:dyDescent="0.2">
      <c r="A63" s="144"/>
      <c r="B63" s="733" t="s">
        <v>0</v>
      </c>
      <c r="C63" s="734"/>
      <c r="D63" s="738"/>
      <c r="E63" s="300"/>
      <c r="F63" s="734" t="s">
        <v>1</v>
      </c>
      <c r="G63" s="734"/>
      <c r="H63" s="734"/>
      <c r="I63" s="304"/>
      <c r="J63" s="733" t="s">
        <v>2</v>
      </c>
      <c r="K63" s="734"/>
      <c r="L63" s="734"/>
      <c r="M63" s="304"/>
    </row>
    <row r="64" spans="1:14" x14ac:dyDescent="0.2">
      <c r="A64" s="140"/>
      <c r="B64" s="152" t="s">
        <v>421</v>
      </c>
      <c r="C64" s="152" t="s">
        <v>422</v>
      </c>
      <c r="D64" s="245" t="s">
        <v>3</v>
      </c>
      <c r="E64" s="305" t="s">
        <v>29</v>
      </c>
      <c r="F64" s="152" t="s">
        <v>421</v>
      </c>
      <c r="G64" s="152" t="s">
        <v>422</v>
      </c>
      <c r="H64" s="245" t="s">
        <v>3</v>
      </c>
      <c r="I64" s="305" t="s">
        <v>29</v>
      </c>
      <c r="J64" s="152" t="s">
        <v>421</v>
      </c>
      <c r="K64" s="152" t="s">
        <v>422</v>
      </c>
      <c r="L64" s="245" t="s">
        <v>3</v>
      </c>
      <c r="M64" s="162" t="s">
        <v>29</v>
      </c>
    </row>
    <row r="65" spans="1:14" x14ac:dyDescent="0.2">
      <c r="A65" s="708"/>
      <c r="B65" s="156"/>
      <c r="C65" s="156"/>
      <c r="D65" s="246" t="s">
        <v>4</v>
      </c>
      <c r="E65" s="156" t="s">
        <v>30</v>
      </c>
      <c r="F65" s="161"/>
      <c r="G65" s="161"/>
      <c r="H65" s="245" t="s">
        <v>4</v>
      </c>
      <c r="I65" s="156" t="s">
        <v>30</v>
      </c>
      <c r="J65" s="161"/>
      <c r="K65" s="206"/>
      <c r="L65" s="156" t="s">
        <v>4</v>
      </c>
      <c r="M65" s="156" t="s">
        <v>30</v>
      </c>
    </row>
    <row r="66" spans="1:14" ht="15.75" x14ac:dyDescent="0.2">
      <c r="A66" s="14" t="s">
        <v>23</v>
      </c>
      <c r="B66" s="353"/>
      <c r="C66" s="353"/>
      <c r="D66" s="350"/>
      <c r="E66" s="11"/>
      <c r="F66" s="352"/>
      <c r="G66" s="352"/>
      <c r="H66" s="350"/>
      <c r="I66" s="11"/>
      <c r="J66" s="309"/>
      <c r="K66" s="316"/>
      <c r="L66" s="428"/>
      <c r="M66" s="11"/>
    </row>
    <row r="67" spans="1:14" x14ac:dyDescent="0.2">
      <c r="A67" s="419" t="s">
        <v>9</v>
      </c>
      <c r="B67" s="44"/>
      <c r="C67" s="145"/>
      <c r="D67" s="166"/>
      <c r="E67" s="27"/>
      <c r="F67" s="234"/>
      <c r="G67" s="145"/>
      <c r="H67" s="166"/>
      <c r="I67" s="27"/>
      <c r="J67" s="287"/>
      <c r="K67" s="44"/>
      <c r="L67" s="254"/>
      <c r="M67" s="27"/>
    </row>
    <row r="68" spans="1:14" x14ac:dyDescent="0.2">
      <c r="A68" s="21" t="s">
        <v>10</v>
      </c>
      <c r="B68" s="292"/>
      <c r="C68" s="293"/>
      <c r="D68" s="166"/>
      <c r="E68" s="27"/>
      <c r="F68" s="292"/>
      <c r="G68" s="293"/>
      <c r="H68" s="166"/>
      <c r="I68" s="27"/>
      <c r="J68" s="287"/>
      <c r="K68" s="44"/>
      <c r="L68" s="254"/>
      <c r="M68" s="27"/>
    </row>
    <row r="69" spans="1:14" ht="15.75" x14ac:dyDescent="0.2">
      <c r="A69" s="296" t="s">
        <v>380</v>
      </c>
      <c r="B69" s="294"/>
      <c r="C69" s="295"/>
      <c r="D69" s="166"/>
      <c r="E69" s="417"/>
      <c r="F69" s="294"/>
      <c r="G69" s="295"/>
      <c r="H69" s="166"/>
      <c r="I69" s="417"/>
      <c r="J69" s="294"/>
      <c r="K69" s="295"/>
      <c r="L69" s="166"/>
      <c r="M69" s="23"/>
    </row>
    <row r="70" spans="1:14" x14ac:dyDescent="0.2">
      <c r="A70" s="296" t="s">
        <v>12</v>
      </c>
      <c r="B70" s="294"/>
      <c r="C70" s="295"/>
      <c r="D70" s="166"/>
      <c r="E70" s="417"/>
      <c r="F70" s="294"/>
      <c r="G70" s="295"/>
      <c r="H70" s="166"/>
      <c r="I70" s="417"/>
      <c r="J70" s="294"/>
      <c r="K70" s="295"/>
      <c r="L70" s="166"/>
      <c r="M70" s="23"/>
    </row>
    <row r="71" spans="1:14" x14ac:dyDescent="0.2">
      <c r="A71" s="296" t="s">
        <v>13</v>
      </c>
      <c r="B71" s="235"/>
      <c r="C71" s="289"/>
      <c r="D71" s="166"/>
      <c r="E71" s="417"/>
      <c r="F71" s="294"/>
      <c r="G71" s="295"/>
      <c r="H71" s="166"/>
      <c r="I71" s="417"/>
      <c r="J71" s="294"/>
      <c r="K71" s="295"/>
      <c r="L71" s="166"/>
      <c r="M71" s="23"/>
    </row>
    <row r="72" spans="1:14" ht="15.75" x14ac:dyDescent="0.2">
      <c r="A72" s="296" t="s">
        <v>381</v>
      </c>
      <c r="B72" s="294"/>
      <c r="C72" s="295"/>
      <c r="D72" s="166"/>
      <c r="E72" s="417"/>
      <c r="F72" s="294"/>
      <c r="G72" s="295"/>
      <c r="H72" s="166"/>
      <c r="I72" s="417"/>
      <c r="J72" s="294"/>
      <c r="K72" s="295"/>
      <c r="L72" s="166"/>
      <c r="M72" s="23"/>
    </row>
    <row r="73" spans="1:14" x14ac:dyDescent="0.2">
      <c r="A73" s="296" t="s">
        <v>12</v>
      </c>
      <c r="B73" s="235"/>
      <c r="C73" s="289"/>
      <c r="D73" s="166"/>
      <c r="E73" s="417"/>
      <c r="F73" s="294"/>
      <c r="G73" s="295"/>
      <c r="H73" s="166"/>
      <c r="I73" s="417"/>
      <c r="J73" s="294"/>
      <c r="K73" s="295"/>
      <c r="L73" s="166"/>
      <c r="M73" s="23"/>
    </row>
    <row r="74" spans="1:14" s="3" customFormat="1" x14ac:dyDescent="0.2">
      <c r="A74" s="296" t="s">
        <v>13</v>
      </c>
      <c r="B74" s="235"/>
      <c r="C74" s="289"/>
      <c r="D74" s="166"/>
      <c r="E74" s="417"/>
      <c r="F74" s="294"/>
      <c r="G74" s="295"/>
      <c r="H74" s="166"/>
      <c r="I74" s="417"/>
      <c r="J74" s="294"/>
      <c r="K74" s="295"/>
      <c r="L74" s="166"/>
      <c r="M74" s="23"/>
      <c r="N74" s="148"/>
    </row>
    <row r="75" spans="1:14" s="3" customFormat="1" x14ac:dyDescent="0.2">
      <c r="A75" s="21" t="s">
        <v>350</v>
      </c>
      <c r="B75" s="234"/>
      <c r="C75" s="145"/>
      <c r="D75" s="166"/>
      <c r="E75" s="27"/>
      <c r="F75" s="234"/>
      <c r="G75" s="145"/>
      <c r="H75" s="166"/>
      <c r="I75" s="27"/>
      <c r="J75" s="287"/>
      <c r="K75" s="44"/>
      <c r="L75" s="254"/>
      <c r="M75" s="27"/>
      <c r="N75" s="148"/>
    </row>
    <row r="76" spans="1:14" s="3" customFormat="1" x14ac:dyDescent="0.2">
      <c r="A76" s="21" t="s">
        <v>349</v>
      </c>
      <c r="B76" s="234"/>
      <c r="C76" s="145"/>
      <c r="D76" s="166"/>
      <c r="E76" s="27"/>
      <c r="F76" s="234"/>
      <c r="G76" s="145"/>
      <c r="H76" s="166"/>
      <c r="I76" s="27"/>
      <c r="J76" s="287"/>
      <c r="K76" s="44"/>
      <c r="L76" s="254"/>
      <c r="M76" s="27"/>
      <c r="N76" s="148"/>
    </row>
    <row r="77" spans="1:14" ht="15.75" x14ac:dyDescent="0.2">
      <c r="A77" s="21" t="s">
        <v>382</v>
      </c>
      <c r="B77" s="234"/>
      <c r="C77" s="234"/>
      <c r="D77" s="166"/>
      <c r="E77" s="27"/>
      <c r="F77" s="234"/>
      <c r="G77" s="145"/>
      <c r="H77" s="166"/>
      <c r="I77" s="27"/>
      <c r="J77" s="287"/>
      <c r="K77" s="44"/>
      <c r="L77" s="254"/>
      <c r="M77" s="27"/>
    </row>
    <row r="78" spans="1:14" x14ac:dyDescent="0.2">
      <c r="A78" s="21" t="s">
        <v>9</v>
      </c>
      <c r="B78" s="234"/>
      <c r="C78" s="145"/>
      <c r="D78" s="166"/>
      <c r="E78" s="27"/>
      <c r="F78" s="234"/>
      <c r="G78" s="145"/>
      <c r="H78" s="166"/>
      <c r="I78" s="27"/>
      <c r="J78" s="287"/>
      <c r="K78" s="44"/>
      <c r="L78" s="254"/>
      <c r="M78" s="27"/>
    </row>
    <row r="79" spans="1:14" x14ac:dyDescent="0.2">
      <c r="A79" s="21" t="s">
        <v>10</v>
      </c>
      <c r="B79" s="292"/>
      <c r="C79" s="293"/>
      <c r="D79" s="166"/>
      <c r="E79" s="27"/>
      <c r="F79" s="292"/>
      <c r="G79" s="293"/>
      <c r="H79" s="166"/>
      <c r="I79" s="27"/>
      <c r="J79" s="287"/>
      <c r="K79" s="44"/>
      <c r="L79" s="254"/>
      <c r="M79" s="27"/>
    </row>
    <row r="80" spans="1:14" ht="15.75" x14ac:dyDescent="0.2">
      <c r="A80" s="296" t="s">
        <v>380</v>
      </c>
      <c r="B80" s="294"/>
      <c r="C80" s="295"/>
      <c r="D80" s="166"/>
      <c r="E80" s="417"/>
      <c r="F80" s="294"/>
      <c r="G80" s="295"/>
      <c r="H80" s="166"/>
      <c r="I80" s="417"/>
      <c r="J80" s="294"/>
      <c r="K80" s="295"/>
      <c r="L80" s="166"/>
      <c r="M80" s="23"/>
    </row>
    <row r="81" spans="1:13" x14ac:dyDescent="0.2">
      <c r="A81" s="296" t="s">
        <v>12</v>
      </c>
      <c r="B81" s="294"/>
      <c r="C81" s="295"/>
      <c r="D81" s="166"/>
      <c r="E81" s="417"/>
      <c r="F81" s="294"/>
      <c r="G81" s="295"/>
      <c r="H81" s="166"/>
      <c r="I81" s="417"/>
      <c r="J81" s="294"/>
      <c r="K81" s="295"/>
      <c r="L81" s="166"/>
      <c r="M81" s="23"/>
    </row>
    <row r="82" spans="1:13" x14ac:dyDescent="0.2">
      <c r="A82" s="296" t="s">
        <v>13</v>
      </c>
      <c r="B82" s="294"/>
      <c r="C82" s="295"/>
      <c r="D82" s="166"/>
      <c r="E82" s="417"/>
      <c r="F82" s="294"/>
      <c r="G82" s="295"/>
      <c r="H82" s="166"/>
      <c r="I82" s="417"/>
      <c r="J82" s="294"/>
      <c r="K82" s="295"/>
      <c r="L82" s="166"/>
      <c r="M82" s="23"/>
    </row>
    <row r="83" spans="1:13" ht="15.75" x14ac:dyDescent="0.2">
      <c r="A83" s="296" t="s">
        <v>381</v>
      </c>
      <c r="B83" s="294"/>
      <c r="C83" s="295"/>
      <c r="D83" s="166"/>
      <c r="E83" s="417"/>
      <c r="F83" s="294"/>
      <c r="G83" s="295"/>
      <c r="H83" s="166"/>
      <c r="I83" s="417"/>
      <c r="J83" s="294"/>
      <c r="K83" s="295"/>
      <c r="L83" s="166"/>
      <c r="M83" s="23"/>
    </row>
    <row r="84" spans="1:13" x14ac:dyDescent="0.2">
      <c r="A84" s="296" t="s">
        <v>12</v>
      </c>
      <c r="B84" s="294"/>
      <c r="C84" s="295"/>
      <c r="D84" s="166"/>
      <c r="E84" s="417"/>
      <c r="F84" s="294"/>
      <c r="G84" s="295"/>
      <c r="H84" s="166"/>
      <c r="I84" s="417"/>
      <c r="J84" s="294"/>
      <c r="K84" s="295"/>
      <c r="L84" s="166"/>
      <c r="M84" s="23"/>
    </row>
    <row r="85" spans="1:13" x14ac:dyDescent="0.2">
      <c r="A85" s="296" t="s">
        <v>13</v>
      </c>
      <c r="B85" s="294"/>
      <c r="C85" s="295"/>
      <c r="D85" s="166"/>
      <c r="E85" s="417"/>
      <c r="F85" s="294"/>
      <c r="G85" s="295"/>
      <c r="H85" s="166"/>
      <c r="I85" s="417"/>
      <c r="J85" s="294"/>
      <c r="K85" s="295"/>
      <c r="L85" s="166"/>
      <c r="M85" s="23"/>
    </row>
    <row r="86" spans="1:13" ht="15.75" x14ac:dyDescent="0.2">
      <c r="A86" s="21" t="s">
        <v>383</v>
      </c>
      <c r="B86" s="234"/>
      <c r="C86" s="145"/>
      <c r="D86" s="166"/>
      <c r="E86" s="27"/>
      <c r="F86" s="234"/>
      <c r="G86" s="145"/>
      <c r="H86" s="166"/>
      <c r="I86" s="27"/>
      <c r="J86" s="287"/>
      <c r="K86" s="44"/>
      <c r="L86" s="254"/>
      <c r="M86" s="27"/>
    </row>
    <row r="87" spans="1:13" ht="15.75" x14ac:dyDescent="0.2">
      <c r="A87" s="13" t="s">
        <v>365</v>
      </c>
      <c r="B87" s="353"/>
      <c r="C87" s="353"/>
      <c r="D87" s="171"/>
      <c r="E87" s="11"/>
      <c r="F87" s="352"/>
      <c r="G87" s="352"/>
      <c r="H87" s="171"/>
      <c r="I87" s="11"/>
      <c r="J87" s="309"/>
      <c r="K87" s="236"/>
      <c r="L87" s="428"/>
      <c r="M87" s="11"/>
    </row>
    <row r="88" spans="1:13" x14ac:dyDescent="0.2">
      <c r="A88" s="21" t="s">
        <v>9</v>
      </c>
      <c r="B88" s="234"/>
      <c r="C88" s="145"/>
      <c r="D88" s="166"/>
      <c r="E88" s="27"/>
      <c r="F88" s="234"/>
      <c r="G88" s="145"/>
      <c r="H88" s="166"/>
      <c r="I88" s="27"/>
      <c r="J88" s="287"/>
      <c r="K88" s="44"/>
      <c r="L88" s="254"/>
      <c r="M88" s="27"/>
    </row>
    <row r="89" spans="1:13" x14ac:dyDescent="0.2">
      <c r="A89" s="21" t="s">
        <v>10</v>
      </c>
      <c r="B89" s="234"/>
      <c r="C89" s="145"/>
      <c r="D89" s="166"/>
      <c r="E89" s="27"/>
      <c r="F89" s="234"/>
      <c r="G89" s="145"/>
      <c r="H89" s="166"/>
      <c r="I89" s="27"/>
      <c r="J89" s="287"/>
      <c r="K89" s="44"/>
      <c r="L89" s="254"/>
      <c r="M89" s="27"/>
    </row>
    <row r="90" spans="1:13" ht="15.75" x14ac:dyDescent="0.2">
      <c r="A90" s="296" t="s">
        <v>380</v>
      </c>
      <c r="B90" s="294"/>
      <c r="C90" s="295"/>
      <c r="D90" s="166"/>
      <c r="E90" s="417"/>
      <c r="F90" s="294"/>
      <c r="G90" s="295"/>
      <c r="H90" s="166"/>
      <c r="I90" s="417"/>
      <c r="J90" s="294"/>
      <c r="K90" s="295"/>
      <c r="L90" s="166"/>
      <c r="M90" s="23"/>
    </row>
    <row r="91" spans="1:13" x14ac:dyDescent="0.2">
      <c r="A91" s="296" t="s">
        <v>12</v>
      </c>
      <c r="B91" s="294"/>
      <c r="C91" s="295"/>
      <c r="D91" s="166"/>
      <c r="E91" s="417"/>
      <c r="F91" s="294"/>
      <c r="G91" s="295"/>
      <c r="H91" s="166"/>
      <c r="I91" s="417"/>
      <c r="J91" s="294"/>
      <c r="K91" s="295"/>
      <c r="L91" s="166"/>
      <c r="M91" s="23"/>
    </row>
    <row r="92" spans="1:13" x14ac:dyDescent="0.2">
      <c r="A92" s="296" t="s">
        <v>13</v>
      </c>
      <c r="B92" s="294"/>
      <c r="C92" s="295"/>
      <c r="D92" s="166"/>
      <c r="E92" s="417"/>
      <c r="F92" s="294"/>
      <c r="G92" s="295"/>
      <c r="H92" s="166"/>
      <c r="I92" s="417"/>
      <c r="J92" s="294"/>
      <c r="K92" s="295"/>
      <c r="L92" s="166"/>
      <c r="M92" s="23"/>
    </row>
    <row r="93" spans="1:13" ht="15.75" x14ac:dyDescent="0.2">
      <c r="A93" s="296" t="s">
        <v>381</v>
      </c>
      <c r="B93" s="294"/>
      <c r="C93" s="295"/>
      <c r="D93" s="166"/>
      <c r="E93" s="417"/>
      <c r="F93" s="294"/>
      <c r="G93" s="295"/>
      <c r="H93" s="166"/>
      <c r="I93" s="417"/>
      <c r="J93" s="294"/>
      <c r="K93" s="295"/>
      <c r="L93" s="166"/>
      <c r="M93" s="23"/>
    </row>
    <row r="94" spans="1:13" x14ac:dyDescent="0.2">
      <c r="A94" s="296" t="s">
        <v>12</v>
      </c>
      <c r="B94" s="294"/>
      <c r="C94" s="295"/>
      <c r="D94" s="166"/>
      <c r="E94" s="417"/>
      <c r="F94" s="294"/>
      <c r="G94" s="295"/>
      <c r="H94" s="166"/>
      <c r="I94" s="417"/>
      <c r="J94" s="294"/>
      <c r="K94" s="295"/>
      <c r="L94" s="166"/>
      <c r="M94" s="23"/>
    </row>
    <row r="95" spans="1:13" x14ac:dyDescent="0.2">
      <c r="A95" s="296" t="s">
        <v>13</v>
      </c>
      <c r="B95" s="294"/>
      <c r="C95" s="295"/>
      <c r="D95" s="166"/>
      <c r="E95" s="417"/>
      <c r="F95" s="294"/>
      <c r="G95" s="295"/>
      <c r="H95" s="166"/>
      <c r="I95" s="417"/>
      <c r="J95" s="294"/>
      <c r="K95" s="295"/>
      <c r="L95" s="166"/>
      <c r="M95" s="23"/>
    </row>
    <row r="96" spans="1:13" x14ac:dyDescent="0.2">
      <c r="A96" s="21" t="s">
        <v>348</v>
      </c>
      <c r="B96" s="234"/>
      <c r="C96" s="145"/>
      <c r="D96" s="166"/>
      <c r="E96" s="27"/>
      <c r="F96" s="234"/>
      <c r="G96" s="145"/>
      <c r="H96" s="166"/>
      <c r="I96" s="27"/>
      <c r="J96" s="287"/>
      <c r="K96" s="44"/>
      <c r="L96" s="254"/>
      <c r="M96" s="27"/>
    </row>
    <row r="97" spans="1:13" x14ac:dyDescent="0.2">
      <c r="A97" s="21" t="s">
        <v>347</v>
      </c>
      <c r="B97" s="234"/>
      <c r="C97" s="145"/>
      <c r="D97" s="166"/>
      <c r="E97" s="27"/>
      <c r="F97" s="234"/>
      <c r="G97" s="145"/>
      <c r="H97" s="166"/>
      <c r="I97" s="27"/>
      <c r="J97" s="287"/>
      <c r="K97" s="44"/>
      <c r="L97" s="254"/>
      <c r="M97" s="27"/>
    </row>
    <row r="98" spans="1:13" ht="15.75" x14ac:dyDescent="0.2">
      <c r="A98" s="21" t="s">
        <v>382</v>
      </c>
      <c r="B98" s="234"/>
      <c r="C98" s="234"/>
      <c r="D98" s="166"/>
      <c r="E98" s="27"/>
      <c r="F98" s="292"/>
      <c r="G98" s="292"/>
      <c r="H98" s="166"/>
      <c r="I98" s="27"/>
      <c r="J98" s="287"/>
      <c r="K98" s="44"/>
      <c r="L98" s="254"/>
      <c r="M98" s="27"/>
    </row>
    <row r="99" spans="1:13" x14ac:dyDescent="0.2">
      <c r="A99" s="21" t="s">
        <v>9</v>
      </c>
      <c r="B99" s="292"/>
      <c r="C99" s="293"/>
      <c r="D99" s="166"/>
      <c r="E99" s="27"/>
      <c r="F99" s="234"/>
      <c r="G99" s="145"/>
      <c r="H99" s="166"/>
      <c r="I99" s="27"/>
      <c r="J99" s="287"/>
      <c r="K99" s="44"/>
      <c r="L99" s="254"/>
      <c r="M99" s="27"/>
    </row>
    <row r="100" spans="1:13" x14ac:dyDescent="0.2">
      <c r="A100" s="21" t="s">
        <v>10</v>
      </c>
      <c r="B100" s="292"/>
      <c r="C100" s="293"/>
      <c r="D100" s="166"/>
      <c r="E100" s="27"/>
      <c r="F100" s="234"/>
      <c r="G100" s="234"/>
      <c r="H100" s="166"/>
      <c r="I100" s="27"/>
      <c r="J100" s="287"/>
      <c r="K100" s="44"/>
      <c r="L100" s="254"/>
      <c r="M100" s="27"/>
    </row>
    <row r="101" spans="1:13" ht="15.75" x14ac:dyDescent="0.2">
      <c r="A101" s="296" t="s">
        <v>380</v>
      </c>
      <c r="B101" s="294"/>
      <c r="C101" s="295"/>
      <c r="D101" s="166"/>
      <c r="E101" s="417"/>
      <c r="F101" s="294"/>
      <c r="G101" s="295"/>
      <c r="H101" s="166"/>
      <c r="I101" s="417"/>
      <c r="J101" s="294"/>
      <c r="K101" s="295"/>
      <c r="L101" s="166"/>
      <c r="M101" s="23"/>
    </row>
    <row r="102" spans="1:13" x14ac:dyDescent="0.2">
      <c r="A102" s="296" t="s">
        <v>12</v>
      </c>
      <c r="B102" s="294"/>
      <c r="C102" s="295"/>
      <c r="D102" s="166"/>
      <c r="E102" s="417"/>
      <c r="F102" s="294"/>
      <c r="G102" s="295"/>
      <c r="H102" s="166"/>
      <c r="I102" s="417"/>
      <c r="J102" s="294"/>
      <c r="K102" s="295"/>
      <c r="L102" s="166"/>
      <c r="M102" s="23"/>
    </row>
    <row r="103" spans="1:13" x14ac:dyDescent="0.2">
      <c r="A103" s="296" t="s">
        <v>13</v>
      </c>
      <c r="B103" s="294"/>
      <c r="C103" s="295"/>
      <c r="D103" s="166"/>
      <c r="E103" s="417"/>
      <c r="F103" s="294"/>
      <c r="G103" s="295"/>
      <c r="H103" s="166"/>
      <c r="I103" s="417"/>
      <c r="J103" s="294"/>
      <c r="K103" s="295"/>
      <c r="L103" s="166"/>
      <c r="M103" s="23"/>
    </row>
    <row r="104" spans="1:13" ht="15.75" x14ac:dyDescent="0.2">
      <c r="A104" s="296" t="s">
        <v>381</v>
      </c>
      <c r="B104" s="294"/>
      <c r="C104" s="295"/>
      <c r="D104" s="166"/>
      <c r="E104" s="417"/>
      <c r="F104" s="294"/>
      <c r="G104" s="295"/>
      <c r="H104" s="166"/>
      <c r="I104" s="417"/>
      <c r="J104" s="294"/>
      <c r="K104" s="295"/>
      <c r="L104" s="166"/>
      <c r="M104" s="23"/>
    </row>
    <row r="105" spans="1:13" x14ac:dyDescent="0.2">
      <c r="A105" s="296" t="s">
        <v>12</v>
      </c>
      <c r="B105" s="294"/>
      <c r="C105" s="295"/>
      <c r="D105" s="166"/>
      <c r="E105" s="417"/>
      <c r="F105" s="294"/>
      <c r="G105" s="295"/>
      <c r="H105" s="166"/>
      <c r="I105" s="417"/>
      <c r="J105" s="294"/>
      <c r="K105" s="295"/>
      <c r="L105" s="166"/>
      <c r="M105" s="23"/>
    </row>
    <row r="106" spans="1:13" x14ac:dyDescent="0.2">
      <c r="A106" s="296" t="s">
        <v>13</v>
      </c>
      <c r="B106" s="294"/>
      <c r="C106" s="295"/>
      <c r="D106" s="166"/>
      <c r="E106" s="417"/>
      <c r="F106" s="294"/>
      <c r="G106" s="295"/>
      <c r="H106" s="166"/>
      <c r="I106" s="417"/>
      <c r="J106" s="294"/>
      <c r="K106" s="295"/>
      <c r="L106" s="166"/>
      <c r="M106" s="23"/>
    </row>
    <row r="107" spans="1:13" ht="15.75" x14ac:dyDescent="0.2">
      <c r="A107" s="21" t="s">
        <v>383</v>
      </c>
      <c r="B107" s="234"/>
      <c r="C107" s="145"/>
      <c r="D107" s="166"/>
      <c r="E107" s="27"/>
      <c r="F107" s="234"/>
      <c r="G107" s="145"/>
      <c r="H107" s="166"/>
      <c r="I107" s="27"/>
      <c r="J107" s="287"/>
      <c r="K107" s="44"/>
      <c r="L107" s="254"/>
      <c r="M107" s="27"/>
    </row>
    <row r="108" spans="1:13" ht="15.75" x14ac:dyDescent="0.2">
      <c r="A108" s="21" t="s">
        <v>384</v>
      </c>
      <c r="B108" s="234"/>
      <c r="C108" s="234"/>
      <c r="D108" s="166"/>
      <c r="E108" s="27"/>
      <c r="F108" s="234"/>
      <c r="G108" s="234"/>
      <c r="H108" s="166"/>
      <c r="I108" s="27"/>
      <c r="J108" s="287"/>
      <c r="K108" s="44"/>
      <c r="L108" s="254"/>
      <c r="M108" s="27"/>
    </row>
    <row r="109" spans="1:13" ht="15.75" x14ac:dyDescent="0.2">
      <c r="A109" s="21" t="s">
        <v>385</v>
      </c>
      <c r="B109" s="234"/>
      <c r="C109" s="234"/>
      <c r="D109" s="166"/>
      <c r="E109" s="27"/>
      <c r="F109" s="234"/>
      <c r="G109" s="234"/>
      <c r="H109" s="166"/>
      <c r="I109" s="27"/>
      <c r="J109" s="287"/>
      <c r="K109" s="44"/>
      <c r="L109" s="254"/>
      <c r="M109" s="27"/>
    </row>
    <row r="110" spans="1:13" ht="15.75" x14ac:dyDescent="0.2">
      <c r="A110" s="21" t="s">
        <v>386</v>
      </c>
      <c r="B110" s="234"/>
      <c r="C110" s="234"/>
      <c r="D110" s="166"/>
      <c r="E110" s="27"/>
      <c r="F110" s="234"/>
      <c r="G110" s="234"/>
      <c r="H110" s="166"/>
      <c r="I110" s="27"/>
      <c r="J110" s="287"/>
      <c r="K110" s="44"/>
      <c r="L110" s="254"/>
      <c r="M110" s="27"/>
    </row>
    <row r="111" spans="1:13" ht="15.75" x14ac:dyDescent="0.2">
      <c r="A111" s="13" t="s">
        <v>366</v>
      </c>
      <c r="B111" s="308"/>
      <c r="C111" s="159"/>
      <c r="D111" s="171"/>
      <c r="E111" s="11"/>
      <c r="F111" s="308"/>
      <c r="G111" s="159"/>
      <c r="H111" s="171"/>
      <c r="I111" s="11"/>
      <c r="J111" s="309"/>
      <c r="K111" s="236"/>
      <c r="L111" s="428"/>
      <c r="M111" s="11"/>
    </row>
    <row r="112" spans="1:13" x14ac:dyDescent="0.2">
      <c r="A112" s="21" t="s">
        <v>9</v>
      </c>
      <c r="B112" s="234"/>
      <c r="C112" s="145"/>
      <c r="D112" s="166"/>
      <c r="E112" s="27"/>
      <c r="F112" s="234"/>
      <c r="G112" s="145"/>
      <c r="H112" s="166"/>
      <c r="I112" s="27"/>
      <c r="J112" s="287"/>
      <c r="K112" s="44"/>
      <c r="L112" s="254"/>
      <c r="M112" s="27"/>
    </row>
    <row r="113" spans="1:14" x14ac:dyDescent="0.2">
      <c r="A113" s="21" t="s">
        <v>10</v>
      </c>
      <c r="B113" s="234"/>
      <c r="C113" s="145"/>
      <c r="D113" s="166"/>
      <c r="E113" s="27"/>
      <c r="F113" s="234"/>
      <c r="G113" s="145"/>
      <c r="H113" s="166"/>
      <c r="I113" s="27"/>
      <c r="J113" s="287"/>
      <c r="K113" s="44"/>
      <c r="L113" s="254"/>
      <c r="M113" s="27"/>
    </row>
    <row r="114" spans="1:14" x14ac:dyDescent="0.2">
      <c r="A114" s="21" t="s">
        <v>26</v>
      </c>
      <c r="B114" s="234"/>
      <c r="C114" s="145"/>
      <c r="D114" s="166"/>
      <c r="E114" s="27"/>
      <c r="F114" s="234"/>
      <c r="G114" s="145"/>
      <c r="H114" s="166"/>
      <c r="I114" s="27"/>
      <c r="J114" s="287"/>
      <c r="K114" s="44"/>
      <c r="L114" s="254"/>
      <c r="M114" s="27"/>
    </row>
    <row r="115" spans="1:14" x14ac:dyDescent="0.2">
      <c r="A115" s="296" t="s">
        <v>15</v>
      </c>
      <c r="B115" s="294"/>
      <c r="C115" s="295"/>
      <c r="D115" s="166"/>
      <c r="E115" s="417"/>
      <c r="F115" s="294"/>
      <c r="G115" s="295"/>
      <c r="H115" s="166"/>
      <c r="I115" s="417"/>
      <c r="J115" s="294"/>
      <c r="K115" s="295"/>
      <c r="L115" s="166"/>
      <c r="M115" s="23"/>
    </row>
    <row r="116" spans="1:14" ht="15.75" x14ac:dyDescent="0.2">
      <c r="A116" s="21" t="s">
        <v>387</v>
      </c>
      <c r="B116" s="234"/>
      <c r="C116" s="234"/>
      <c r="D116" s="166"/>
      <c r="E116" s="27"/>
      <c r="F116" s="234"/>
      <c r="G116" s="234"/>
      <c r="H116" s="166"/>
      <c r="I116" s="27"/>
      <c r="J116" s="287"/>
      <c r="K116" s="44"/>
      <c r="L116" s="254"/>
      <c r="M116" s="27"/>
    </row>
    <row r="117" spans="1:14" ht="15.75" x14ac:dyDescent="0.2">
      <c r="A117" s="21" t="s">
        <v>388</v>
      </c>
      <c r="B117" s="234"/>
      <c r="C117" s="234"/>
      <c r="D117" s="166"/>
      <c r="E117" s="27"/>
      <c r="F117" s="234"/>
      <c r="G117" s="234"/>
      <c r="H117" s="166"/>
      <c r="I117" s="27"/>
      <c r="J117" s="287"/>
      <c r="K117" s="44"/>
      <c r="L117" s="254"/>
      <c r="M117" s="27"/>
    </row>
    <row r="118" spans="1:14" ht="15.75" x14ac:dyDescent="0.2">
      <c r="A118" s="21" t="s">
        <v>386</v>
      </c>
      <c r="B118" s="234"/>
      <c r="C118" s="234"/>
      <c r="D118" s="166"/>
      <c r="E118" s="27"/>
      <c r="F118" s="234"/>
      <c r="G118" s="234"/>
      <c r="H118" s="166"/>
      <c r="I118" s="27"/>
      <c r="J118" s="287"/>
      <c r="K118" s="44"/>
      <c r="L118" s="254"/>
      <c r="M118" s="27"/>
    </row>
    <row r="119" spans="1:14" ht="15.75" x14ac:dyDescent="0.2">
      <c r="A119" s="13" t="s">
        <v>367</v>
      </c>
      <c r="B119" s="308"/>
      <c r="C119" s="159"/>
      <c r="D119" s="171"/>
      <c r="E119" s="11"/>
      <c r="F119" s="308"/>
      <c r="G119" s="159"/>
      <c r="H119" s="171"/>
      <c r="I119" s="11"/>
      <c r="J119" s="309"/>
      <c r="K119" s="236"/>
      <c r="L119" s="428"/>
      <c r="M119" s="11"/>
    </row>
    <row r="120" spans="1:14" x14ac:dyDescent="0.2">
      <c r="A120" s="21" t="s">
        <v>9</v>
      </c>
      <c r="B120" s="234"/>
      <c r="C120" s="145"/>
      <c r="D120" s="166"/>
      <c r="E120" s="27"/>
      <c r="F120" s="234"/>
      <c r="G120" s="145"/>
      <c r="H120" s="166"/>
      <c r="I120" s="27"/>
      <c r="J120" s="287"/>
      <c r="K120" s="44"/>
      <c r="L120" s="254"/>
      <c r="M120" s="27"/>
    </row>
    <row r="121" spans="1:14" x14ac:dyDescent="0.2">
      <c r="A121" s="21" t="s">
        <v>10</v>
      </c>
      <c r="B121" s="234"/>
      <c r="C121" s="145"/>
      <c r="D121" s="166"/>
      <c r="E121" s="27"/>
      <c r="F121" s="234"/>
      <c r="G121" s="145"/>
      <c r="H121" s="166"/>
      <c r="I121" s="27"/>
      <c r="J121" s="287"/>
      <c r="K121" s="44"/>
      <c r="L121" s="254"/>
      <c r="M121" s="27"/>
    </row>
    <row r="122" spans="1:14" x14ac:dyDescent="0.2">
      <c r="A122" s="21" t="s">
        <v>26</v>
      </c>
      <c r="B122" s="234"/>
      <c r="C122" s="145"/>
      <c r="D122" s="166"/>
      <c r="E122" s="27"/>
      <c r="F122" s="234"/>
      <c r="G122" s="145"/>
      <c r="H122" s="166"/>
      <c r="I122" s="27"/>
      <c r="J122" s="287"/>
      <c r="K122" s="44"/>
      <c r="L122" s="254"/>
      <c r="M122" s="27"/>
    </row>
    <row r="123" spans="1:14" x14ac:dyDescent="0.2">
      <c r="A123" s="296" t="s">
        <v>14</v>
      </c>
      <c r="B123" s="294"/>
      <c r="C123" s="295"/>
      <c r="D123" s="166"/>
      <c r="E123" s="417"/>
      <c r="F123" s="294"/>
      <c r="G123" s="295"/>
      <c r="H123" s="166"/>
      <c r="I123" s="417"/>
      <c r="J123" s="294"/>
      <c r="K123" s="295"/>
      <c r="L123" s="166"/>
      <c r="M123" s="23"/>
    </row>
    <row r="124" spans="1:14" ht="15.75" x14ac:dyDescent="0.2">
      <c r="A124" s="21" t="s">
        <v>393</v>
      </c>
      <c r="B124" s="234"/>
      <c r="C124" s="234"/>
      <c r="D124" s="166"/>
      <c r="E124" s="27"/>
      <c r="F124" s="234"/>
      <c r="G124" s="234"/>
      <c r="H124" s="166"/>
      <c r="I124" s="27"/>
      <c r="J124" s="287"/>
      <c r="K124" s="44"/>
      <c r="L124" s="254"/>
      <c r="M124" s="27"/>
    </row>
    <row r="125" spans="1:14" ht="15.75" x14ac:dyDescent="0.2">
      <c r="A125" s="21" t="s">
        <v>385</v>
      </c>
      <c r="B125" s="234"/>
      <c r="C125" s="234"/>
      <c r="D125" s="166"/>
      <c r="E125" s="27"/>
      <c r="F125" s="234"/>
      <c r="G125" s="234"/>
      <c r="H125" s="166"/>
      <c r="I125" s="27"/>
      <c r="J125" s="287"/>
      <c r="K125" s="44"/>
      <c r="L125" s="254"/>
      <c r="M125" s="27"/>
    </row>
    <row r="126" spans="1:14" ht="15.75" x14ac:dyDescent="0.2">
      <c r="A126" s="10" t="s">
        <v>386</v>
      </c>
      <c r="B126" s="45"/>
      <c r="C126" s="45"/>
      <c r="D126" s="167"/>
      <c r="E126" s="418"/>
      <c r="F126" s="45"/>
      <c r="G126" s="45"/>
      <c r="H126" s="167"/>
      <c r="I126" s="22"/>
      <c r="J126" s="288"/>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35"/>
      <c r="C130" s="735"/>
      <c r="D130" s="735"/>
      <c r="E130" s="299"/>
      <c r="F130" s="735"/>
      <c r="G130" s="735"/>
      <c r="H130" s="735"/>
      <c r="I130" s="299"/>
      <c r="J130" s="735"/>
      <c r="K130" s="735"/>
      <c r="L130" s="735"/>
      <c r="M130" s="299"/>
    </row>
    <row r="131" spans="1:14" s="3" customFormat="1" x14ac:dyDescent="0.2">
      <c r="A131" s="144"/>
      <c r="B131" s="733" t="s">
        <v>0</v>
      </c>
      <c r="C131" s="734"/>
      <c r="D131" s="734"/>
      <c r="E131" s="301"/>
      <c r="F131" s="733" t="s">
        <v>1</v>
      </c>
      <c r="G131" s="734"/>
      <c r="H131" s="734"/>
      <c r="I131" s="304"/>
      <c r="J131" s="733" t="s">
        <v>2</v>
      </c>
      <c r="K131" s="734"/>
      <c r="L131" s="734"/>
      <c r="M131" s="304"/>
      <c r="N131" s="148"/>
    </row>
    <row r="132" spans="1:14" s="3" customFormat="1" x14ac:dyDescent="0.2">
      <c r="A132" s="140"/>
      <c r="B132" s="152" t="s">
        <v>421</v>
      </c>
      <c r="C132" s="152" t="s">
        <v>422</v>
      </c>
      <c r="D132" s="245" t="s">
        <v>3</v>
      </c>
      <c r="E132" s="305" t="s">
        <v>29</v>
      </c>
      <c r="F132" s="152" t="s">
        <v>421</v>
      </c>
      <c r="G132" s="152" t="s">
        <v>422</v>
      </c>
      <c r="H132" s="206" t="s">
        <v>3</v>
      </c>
      <c r="I132" s="162" t="s">
        <v>29</v>
      </c>
      <c r="J132" s="152" t="s">
        <v>421</v>
      </c>
      <c r="K132" s="152" t="s">
        <v>422</v>
      </c>
      <c r="L132" s="246" t="s">
        <v>3</v>
      </c>
      <c r="M132" s="162" t="s">
        <v>29</v>
      </c>
      <c r="N132" s="148"/>
    </row>
    <row r="133" spans="1:14" s="3" customFormat="1" x14ac:dyDescent="0.2">
      <c r="A133" s="708"/>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389</v>
      </c>
      <c r="B134" s="236"/>
      <c r="C134" s="309"/>
      <c r="D134" s="350"/>
      <c r="E134" s="11"/>
      <c r="F134" s="316"/>
      <c r="G134" s="317"/>
      <c r="H134" s="431"/>
      <c r="I134" s="24"/>
      <c r="J134" s="318"/>
      <c r="K134" s="318"/>
      <c r="L134" s="427"/>
      <c r="M134" s="11"/>
      <c r="N134" s="148"/>
    </row>
    <row r="135" spans="1:14" s="3" customFormat="1" ht="15.75" x14ac:dyDescent="0.2">
      <c r="A135" s="13" t="s">
        <v>394</v>
      </c>
      <c r="B135" s="236"/>
      <c r="C135" s="309"/>
      <c r="D135" s="171"/>
      <c r="E135" s="11"/>
      <c r="F135" s="236"/>
      <c r="G135" s="309"/>
      <c r="H135" s="432"/>
      <c r="I135" s="24"/>
      <c r="J135" s="308"/>
      <c r="K135" s="308"/>
      <c r="L135" s="428"/>
      <c r="M135" s="11"/>
      <c r="N135" s="148"/>
    </row>
    <row r="136" spans="1:14" s="3" customFormat="1" ht="15.75" x14ac:dyDescent="0.2">
      <c r="A136" s="13" t="s">
        <v>391</v>
      </c>
      <c r="B136" s="236"/>
      <c r="C136" s="309"/>
      <c r="D136" s="171"/>
      <c r="E136" s="11"/>
      <c r="F136" s="236"/>
      <c r="G136" s="309"/>
      <c r="H136" s="432"/>
      <c r="I136" s="24"/>
      <c r="J136" s="308"/>
      <c r="K136" s="308"/>
      <c r="L136" s="428"/>
      <c r="M136" s="11"/>
      <c r="N136" s="148"/>
    </row>
    <row r="137" spans="1:14" s="3" customFormat="1" ht="15.75" x14ac:dyDescent="0.2">
      <c r="A137" s="41" t="s">
        <v>392</v>
      </c>
      <c r="B137" s="276"/>
      <c r="C137" s="315"/>
      <c r="D137" s="169"/>
      <c r="E137" s="9"/>
      <c r="F137" s="276"/>
      <c r="G137" s="315"/>
      <c r="H137" s="433"/>
      <c r="I137" s="36"/>
      <c r="J137" s="314"/>
      <c r="K137" s="314"/>
      <c r="L137" s="429"/>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388" priority="132">
      <formula>kvartal &lt; 4</formula>
    </cfRule>
  </conditionalFormatting>
  <conditionalFormatting sqref="A50:A52">
    <cfRule type="expression" dxfId="387" priority="12">
      <formula>kvartal &lt; 4</formula>
    </cfRule>
  </conditionalFormatting>
  <conditionalFormatting sqref="A69:A74">
    <cfRule type="expression" dxfId="386" priority="10">
      <formula>kvartal &lt; 4</formula>
    </cfRule>
  </conditionalFormatting>
  <conditionalFormatting sqref="A80:A85">
    <cfRule type="expression" dxfId="385" priority="9">
      <formula>kvartal &lt; 4</formula>
    </cfRule>
  </conditionalFormatting>
  <conditionalFormatting sqref="A90:A95">
    <cfRule type="expression" dxfId="384" priority="6">
      <formula>kvartal &lt; 4</formula>
    </cfRule>
  </conditionalFormatting>
  <conditionalFormatting sqref="A101:A106">
    <cfRule type="expression" dxfId="383" priority="5">
      <formula>kvartal &lt; 4</formula>
    </cfRule>
  </conditionalFormatting>
  <conditionalFormatting sqref="A115">
    <cfRule type="expression" dxfId="382" priority="4">
      <formula>kvartal &lt; 4</formula>
    </cfRule>
  </conditionalFormatting>
  <conditionalFormatting sqref="A123">
    <cfRule type="expression" dxfId="381" priority="3">
      <formula>kvartal &lt; 4</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12"/>
  <dimension ref="A1:N144"/>
  <sheetViews>
    <sheetView showGridLines="0" zoomScaleNormal="100" workbookViewId="0">
      <pane xSplit="1" topLeftCell="B1" activePane="topRight" state="frozen"/>
      <selection activeCell="C123" sqref="B123:C123"/>
      <selection pane="topRight" activeCell="A3" sqref="A3"/>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135</v>
      </c>
      <c r="B1" s="709"/>
      <c r="C1" s="248" t="s">
        <v>402</v>
      </c>
      <c r="D1" s="26"/>
      <c r="E1" s="26"/>
      <c r="F1" s="26"/>
      <c r="G1" s="26"/>
      <c r="H1" s="26"/>
      <c r="I1" s="26"/>
      <c r="J1" s="26"/>
      <c r="K1" s="26"/>
      <c r="L1" s="26"/>
      <c r="M1" s="26"/>
    </row>
    <row r="2" spans="1:14" ht="15.75" x14ac:dyDescent="0.25">
      <c r="A2" s="165" t="s">
        <v>28</v>
      </c>
      <c r="B2" s="359"/>
      <c r="C2" s="359"/>
      <c r="D2" s="359"/>
      <c r="E2" s="359"/>
      <c r="F2" s="359"/>
      <c r="G2" s="359"/>
      <c r="H2" s="359"/>
      <c r="I2" s="359"/>
      <c r="J2" s="359"/>
      <c r="K2" s="359"/>
      <c r="L2" s="359"/>
      <c r="M2" s="359"/>
    </row>
    <row r="3" spans="1:14" ht="15.75" x14ac:dyDescent="0.25">
      <c r="A3" s="163"/>
      <c r="B3" s="359"/>
      <c r="C3" s="359"/>
      <c r="D3" s="359"/>
      <c r="E3" s="359"/>
      <c r="F3" s="359"/>
      <c r="G3" s="359"/>
      <c r="H3" s="359"/>
      <c r="I3" s="359"/>
      <c r="J3" s="359"/>
      <c r="K3" s="359"/>
      <c r="L3" s="359"/>
      <c r="M3" s="359"/>
    </row>
    <row r="4" spans="1:14" x14ac:dyDescent="0.2">
      <c r="A4" s="144"/>
      <c r="B4" s="733" t="s">
        <v>0</v>
      </c>
      <c r="C4" s="734"/>
      <c r="D4" s="734"/>
      <c r="E4" s="356"/>
      <c r="F4" s="733" t="s">
        <v>1</v>
      </c>
      <c r="G4" s="734"/>
      <c r="H4" s="734"/>
      <c r="I4" s="357"/>
      <c r="J4" s="733" t="s">
        <v>2</v>
      </c>
      <c r="K4" s="734"/>
      <c r="L4" s="734"/>
      <c r="M4" s="357"/>
    </row>
    <row r="5" spans="1:14" x14ac:dyDescent="0.2">
      <c r="A5" s="158"/>
      <c r="B5" s="152" t="s">
        <v>421</v>
      </c>
      <c r="C5" s="152" t="s">
        <v>422</v>
      </c>
      <c r="D5" s="245" t="s">
        <v>3</v>
      </c>
      <c r="E5" s="305" t="s">
        <v>29</v>
      </c>
      <c r="F5" s="152" t="s">
        <v>421</v>
      </c>
      <c r="G5" s="152" t="s">
        <v>422</v>
      </c>
      <c r="H5" s="245" t="s">
        <v>3</v>
      </c>
      <c r="I5" s="305" t="s">
        <v>29</v>
      </c>
      <c r="J5" s="152" t="s">
        <v>421</v>
      </c>
      <c r="K5" s="152" t="s">
        <v>422</v>
      </c>
      <c r="L5" s="245" t="s">
        <v>3</v>
      </c>
      <c r="M5" s="162" t="s">
        <v>29</v>
      </c>
    </row>
    <row r="6" spans="1:14" x14ac:dyDescent="0.2">
      <c r="A6" s="707"/>
      <c r="B6" s="156"/>
      <c r="C6" s="156"/>
      <c r="D6" s="246" t="s">
        <v>4</v>
      </c>
      <c r="E6" s="156" t="s">
        <v>30</v>
      </c>
      <c r="F6" s="161"/>
      <c r="G6" s="161"/>
      <c r="H6" s="245" t="s">
        <v>4</v>
      </c>
      <c r="I6" s="156" t="s">
        <v>30</v>
      </c>
      <c r="J6" s="161"/>
      <c r="K6" s="161"/>
      <c r="L6" s="245" t="s">
        <v>4</v>
      </c>
      <c r="M6" s="156" t="s">
        <v>30</v>
      </c>
    </row>
    <row r="7" spans="1:14" ht="15.75" x14ac:dyDescent="0.2">
      <c r="A7" s="14" t="s">
        <v>23</v>
      </c>
      <c r="B7" s="362"/>
      <c r="C7" s="363">
        <v>902772</v>
      </c>
      <c r="D7" s="371" t="str">
        <f t="shared" ref="D7:D10" si="0">IF(AND(_xlfn.NUMBERVALUE(B7)=0,_xlfn.NUMBERVALUE(C7)=0),,IF(B7=0, "    ---- ", IF(ABS(ROUND(100/B7*C7-100,1))&lt;999,IF(ROUND(100/B7*C7-100,1)=0,"    ---- ",ROUND(100/B7*C7-100,1)),IF(ROUND(100/B7*C7-100,1)&gt;999,999,-999))))</f>
        <v xml:space="preserve">    ---- </v>
      </c>
      <c r="E7" s="372">
        <f>IFERROR(100/'Skjema total MA'!C7*C7,0)</f>
        <v>24.464954252449687</v>
      </c>
      <c r="F7" s="362"/>
      <c r="G7" s="363"/>
      <c r="H7" s="371"/>
      <c r="I7" s="372"/>
      <c r="J7" s="373">
        <f t="shared" ref="J7:K10" si="1">SUM(B7,F7)</f>
        <v>0</v>
      </c>
      <c r="K7" s="368">
        <f t="shared" si="1"/>
        <v>902772</v>
      </c>
      <c r="L7" s="371" t="str">
        <f t="shared" ref="L7:L10" si="2">IF(AND(_xlfn.NUMBERVALUE(J7)=0,_xlfn.NUMBERVALUE(K7)=0),,IF(J7=0, "    ---- ", IF(ABS(ROUND(100/J7*K7-100,1))&lt;999,IF(ROUND(100/J7*K7-100,1)=0,"    ---- ",ROUND(100/J7*K7-100,1)),IF(ROUND(100/J7*K7-100,1)&gt;999,999,-999))))</f>
        <v xml:space="preserve">    ---- </v>
      </c>
      <c r="M7" s="372">
        <f>IFERROR(100/'Skjema total MA'!I7*K7,0)</f>
        <v>8.5215610561030601</v>
      </c>
    </row>
    <row r="8" spans="1:14" ht="15.75" x14ac:dyDescent="0.2">
      <c r="A8" s="21" t="s">
        <v>25</v>
      </c>
      <c r="B8" s="365"/>
      <c r="C8" s="366">
        <v>831963</v>
      </c>
      <c r="D8" s="374" t="str">
        <f t="shared" si="0"/>
        <v xml:space="preserve">    ---- </v>
      </c>
      <c r="E8" s="372">
        <f>IFERROR(100/'Skjema total MA'!C8*C8,0)</f>
        <v>34.391044699123285</v>
      </c>
      <c r="F8" s="375"/>
      <c r="G8" s="376"/>
      <c r="H8" s="374"/>
      <c r="I8" s="372"/>
      <c r="J8" s="377">
        <f t="shared" si="1"/>
        <v>0</v>
      </c>
      <c r="K8" s="366">
        <f t="shared" si="1"/>
        <v>831963</v>
      </c>
      <c r="L8" s="374" t="str">
        <f t="shared" si="2"/>
        <v xml:space="preserve">    ---- </v>
      </c>
      <c r="M8" s="372">
        <f>IFERROR(100/'Skjema total MA'!I8*K8,0)</f>
        <v>34.391044699123285</v>
      </c>
    </row>
    <row r="9" spans="1:14" ht="15.75" x14ac:dyDescent="0.2">
      <c r="A9" s="21" t="s">
        <v>24</v>
      </c>
      <c r="B9" s="365"/>
      <c r="C9" s="366">
        <v>70809</v>
      </c>
      <c r="D9" s="374" t="str">
        <f t="shared" si="0"/>
        <v xml:space="preserve">    ---- </v>
      </c>
      <c r="E9" s="372">
        <f>IFERROR(100/'Skjema total MA'!C9*C9,0)</f>
        <v>9.3856564801151947</v>
      </c>
      <c r="F9" s="375"/>
      <c r="G9" s="376"/>
      <c r="H9" s="374"/>
      <c r="I9" s="372"/>
      <c r="J9" s="377">
        <f t="shared" si="1"/>
        <v>0</v>
      </c>
      <c r="K9" s="366">
        <f t="shared" si="1"/>
        <v>70809</v>
      </c>
      <c r="L9" s="374" t="str">
        <f t="shared" si="2"/>
        <v xml:space="preserve">    ---- </v>
      </c>
      <c r="M9" s="372">
        <f>IFERROR(100/'Skjema total MA'!I9*K9,0)</f>
        <v>9.3856564801151947</v>
      </c>
    </row>
    <row r="10" spans="1:14" ht="15.75" x14ac:dyDescent="0.2">
      <c r="A10" s="13" t="s">
        <v>365</v>
      </c>
      <c r="B10" s="367"/>
      <c r="C10" s="368">
        <v>537719</v>
      </c>
      <c r="D10" s="374" t="str">
        <f t="shared" si="0"/>
        <v xml:space="preserve">    ---- </v>
      </c>
      <c r="E10" s="372">
        <f>IFERROR(100/'Skjema total MA'!C10*C10,0)</f>
        <v>2.9823395675434821</v>
      </c>
      <c r="F10" s="367"/>
      <c r="G10" s="368"/>
      <c r="H10" s="374"/>
      <c r="I10" s="372"/>
      <c r="J10" s="373">
        <f t="shared" si="1"/>
        <v>0</v>
      </c>
      <c r="K10" s="368">
        <f t="shared" si="1"/>
        <v>537719</v>
      </c>
      <c r="L10" s="374" t="str">
        <f t="shared" si="2"/>
        <v xml:space="preserve">    ---- </v>
      </c>
      <c r="M10" s="372">
        <f>IFERROR(100/'Skjema total MA'!I10*K10,0)</f>
        <v>0.73233733511731669</v>
      </c>
    </row>
    <row r="11" spans="1:14" s="43" customFormat="1" ht="15.75" x14ac:dyDescent="0.2">
      <c r="A11" s="13" t="s">
        <v>366</v>
      </c>
      <c r="B11" s="367"/>
      <c r="C11" s="368"/>
      <c r="D11" s="374"/>
      <c r="E11" s="372"/>
      <c r="F11" s="367"/>
      <c r="G11" s="368"/>
      <c r="H11" s="374"/>
      <c r="I11" s="372"/>
      <c r="J11" s="373"/>
      <c r="K11" s="368"/>
      <c r="L11" s="374"/>
      <c r="M11" s="372"/>
      <c r="N11" s="143"/>
    </row>
    <row r="12" spans="1:14" s="43" customFormat="1" ht="15.75" x14ac:dyDescent="0.2">
      <c r="A12" s="41" t="s">
        <v>367</v>
      </c>
      <c r="B12" s="369"/>
      <c r="C12" s="370"/>
      <c r="D12" s="378"/>
      <c r="E12" s="378"/>
      <c r="F12" s="369"/>
      <c r="G12" s="370"/>
      <c r="H12" s="378"/>
      <c r="I12" s="378"/>
      <c r="J12" s="379"/>
      <c r="K12" s="370"/>
      <c r="L12" s="378"/>
      <c r="M12" s="378"/>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275</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272</v>
      </c>
      <c r="B17" s="157"/>
      <c r="C17" s="157"/>
      <c r="D17" s="151"/>
      <c r="E17" s="151"/>
      <c r="F17" s="157"/>
      <c r="G17" s="157"/>
      <c r="H17" s="157"/>
      <c r="I17" s="157"/>
      <c r="J17" s="157"/>
      <c r="K17" s="157"/>
      <c r="L17" s="157"/>
      <c r="M17" s="157"/>
    </row>
    <row r="18" spans="1:14" ht="15.75" x14ac:dyDescent="0.25">
      <c r="B18" s="358"/>
      <c r="C18" s="358"/>
      <c r="D18" s="358"/>
      <c r="E18" s="359"/>
      <c r="F18" s="358"/>
      <c r="G18" s="358"/>
      <c r="H18" s="358"/>
      <c r="I18" s="359"/>
      <c r="J18" s="358"/>
      <c r="K18" s="358"/>
      <c r="L18" s="358"/>
      <c r="M18" s="359"/>
    </row>
    <row r="19" spans="1:14" x14ac:dyDescent="0.2">
      <c r="A19" s="144"/>
      <c r="B19" s="733" t="s">
        <v>0</v>
      </c>
      <c r="C19" s="734"/>
      <c r="D19" s="734"/>
      <c r="E19" s="356"/>
      <c r="F19" s="733" t="s">
        <v>1</v>
      </c>
      <c r="G19" s="734"/>
      <c r="H19" s="734"/>
      <c r="I19" s="357"/>
      <c r="J19" s="733" t="s">
        <v>2</v>
      </c>
      <c r="K19" s="734"/>
      <c r="L19" s="734"/>
      <c r="M19" s="357"/>
    </row>
    <row r="20" spans="1:14" x14ac:dyDescent="0.2">
      <c r="A20" s="140" t="s">
        <v>5</v>
      </c>
      <c r="B20" s="152" t="s">
        <v>421</v>
      </c>
      <c r="C20" s="152" t="s">
        <v>422</v>
      </c>
      <c r="D20" s="162" t="s">
        <v>3</v>
      </c>
      <c r="E20" s="305" t="s">
        <v>29</v>
      </c>
      <c r="F20" s="152" t="s">
        <v>421</v>
      </c>
      <c r="G20" s="152" t="s">
        <v>422</v>
      </c>
      <c r="H20" s="162" t="s">
        <v>3</v>
      </c>
      <c r="I20" s="305" t="s">
        <v>29</v>
      </c>
      <c r="J20" s="152" t="s">
        <v>421</v>
      </c>
      <c r="K20" s="152" t="s">
        <v>422</v>
      </c>
      <c r="L20" s="162" t="s">
        <v>3</v>
      </c>
      <c r="M20" s="162" t="s">
        <v>29</v>
      </c>
    </row>
    <row r="21" spans="1:14" x14ac:dyDescent="0.2">
      <c r="A21" s="708"/>
      <c r="B21" s="156"/>
      <c r="C21" s="156"/>
      <c r="D21" s="246" t="s">
        <v>4</v>
      </c>
      <c r="E21" s="156" t="s">
        <v>30</v>
      </c>
      <c r="F21" s="161"/>
      <c r="G21" s="161"/>
      <c r="H21" s="245" t="s">
        <v>4</v>
      </c>
      <c r="I21" s="156" t="s">
        <v>30</v>
      </c>
      <c r="J21" s="161"/>
      <c r="K21" s="161"/>
      <c r="L21" s="156" t="s">
        <v>4</v>
      </c>
      <c r="M21" s="156" t="s">
        <v>30</v>
      </c>
    </row>
    <row r="22" spans="1:14" ht="15.75" x14ac:dyDescent="0.2">
      <c r="A22" s="14" t="s">
        <v>23</v>
      </c>
      <c r="B22" s="603"/>
      <c r="C22" s="603">
        <v>441164</v>
      </c>
      <c r="D22" s="371" t="str">
        <f t="shared" ref="D22:D29" si="3">IF(AND(_xlfn.NUMBERVALUE(B22)=0,_xlfn.NUMBERVALUE(C22)=0),,IF(B22=0, "    ---- ", IF(ABS(ROUND(100/B22*C22-100,1))&lt;999,IF(ROUND(100/B22*C22-100,1)=0,"    ---- ",ROUND(100/B22*C22-100,1)),IF(ROUND(100/B22*C22-100,1)&gt;999,999,-999))))</f>
        <v xml:space="preserve">    ---- </v>
      </c>
      <c r="E22" s="372">
        <f>IFERROR(100/'Skjema total MA'!C22*C22,0)</f>
        <v>32.959120258646799</v>
      </c>
      <c r="F22" s="380"/>
      <c r="G22" s="380"/>
      <c r="H22" s="371"/>
      <c r="I22" s="372"/>
      <c r="J22" s="362">
        <f t="shared" ref="J22:K29" si="4">SUM(B22,F22)</f>
        <v>0</v>
      </c>
      <c r="K22" s="362">
        <f t="shared" si="4"/>
        <v>441164</v>
      </c>
      <c r="L22" s="371" t="str">
        <f t="shared" ref="L22:L29" si="5">IF(AND(_xlfn.NUMBERVALUE(J22)=0,_xlfn.NUMBERVALUE(K22)=0),,IF(J22=0, "    ---- ", IF(ABS(ROUND(100/J22*K22-100,1))&lt;999,IF(ROUND(100/J22*K22-100,1)=0,"    ---- ",ROUND(100/J22*K22-100,1)),IF(ROUND(100/J22*K22-100,1)&gt;999,999,-999))))</f>
        <v xml:space="preserve">    ---- </v>
      </c>
      <c r="M22" s="372">
        <f>IFERROR(100/'Skjema total MA'!I22*K22,0)</f>
        <v>19.50154531135664</v>
      </c>
    </row>
    <row r="23" spans="1:14" ht="15.75" x14ac:dyDescent="0.2">
      <c r="A23" s="584" t="s">
        <v>368</v>
      </c>
      <c r="B23" s="364"/>
      <c r="C23" s="364"/>
      <c r="D23" s="374"/>
      <c r="E23" s="372"/>
      <c r="F23" s="364"/>
      <c r="G23" s="364"/>
      <c r="H23" s="374"/>
      <c r="I23" s="372"/>
      <c r="J23" s="364"/>
      <c r="K23" s="364"/>
      <c r="L23" s="374"/>
      <c r="M23" s="372"/>
    </row>
    <row r="24" spans="1:14" ht="15.75" x14ac:dyDescent="0.2">
      <c r="A24" s="584" t="s">
        <v>369</v>
      </c>
      <c r="B24" s="364"/>
      <c r="C24" s="364"/>
      <c r="D24" s="374"/>
      <c r="E24" s="372"/>
      <c r="F24" s="364"/>
      <c r="G24" s="364"/>
      <c r="H24" s="374"/>
      <c r="I24" s="372"/>
      <c r="J24" s="364"/>
      <c r="K24" s="364"/>
      <c r="L24" s="374"/>
      <c r="M24" s="372"/>
    </row>
    <row r="25" spans="1:14" ht="15.75" x14ac:dyDescent="0.2">
      <c r="A25" s="584" t="s">
        <v>370</v>
      </c>
      <c r="B25" s="364"/>
      <c r="C25" s="364"/>
      <c r="D25" s="374"/>
      <c r="E25" s="372"/>
      <c r="F25" s="364"/>
      <c r="G25" s="364"/>
      <c r="H25" s="374"/>
      <c r="I25" s="372"/>
      <c r="J25" s="364"/>
      <c r="K25" s="364"/>
      <c r="L25" s="374"/>
      <c r="M25" s="372"/>
    </row>
    <row r="26" spans="1:14" ht="15.75" x14ac:dyDescent="0.2">
      <c r="A26" s="584" t="s">
        <v>371</v>
      </c>
      <c r="B26" s="364"/>
      <c r="C26" s="364"/>
      <c r="D26" s="374"/>
      <c r="E26" s="372"/>
      <c r="F26" s="364"/>
      <c r="G26" s="364"/>
      <c r="H26" s="374"/>
      <c r="I26" s="372"/>
      <c r="J26" s="364"/>
      <c r="K26" s="364"/>
      <c r="L26" s="374"/>
      <c r="M26" s="372"/>
    </row>
    <row r="27" spans="1:14" x14ac:dyDescent="0.2">
      <c r="A27" s="584" t="s">
        <v>11</v>
      </c>
      <c r="B27" s="364"/>
      <c r="C27" s="364"/>
      <c r="D27" s="374"/>
      <c r="E27" s="372"/>
      <c r="F27" s="364"/>
      <c r="G27" s="364"/>
      <c r="H27" s="374"/>
      <c r="I27" s="372"/>
      <c r="J27" s="364"/>
      <c r="K27" s="364"/>
      <c r="L27" s="374"/>
      <c r="M27" s="372"/>
    </row>
    <row r="28" spans="1:14" ht="15.75" x14ac:dyDescent="0.2">
      <c r="A28" s="49" t="s">
        <v>276</v>
      </c>
      <c r="B28" s="364"/>
      <c r="C28" s="364">
        <v>441164</v>
      </c>
      <c r="D28" s="374" t="str">
        <f t="shared" si="3"/>
        <v xml:space="preserve">    ---- </v>
      </c>
      <c r="E28" s="372">
        <f>IFERROR(100/'Skjema total MA'!C28*C28,0)</f>
        <v>29.786219651495852</v>
      </c>
      <c r="F28" s="377"/>
      <c r="G28" s="366"/>
      <c r="H28" s="374"/>
      <c r="I28" s="372"/>
      <c r="J28" s="365">
        <f t="shared" si="4"/>
        <v>0</v>
      </c>
      <c r="K28" s="365">
        <f t="shared" si="4"/>
        <v>441164</v>
      </c>
      <c r="L28" s="374" t="str">
        <f t="shared" si="5"/>
        <v xml:space="preserve">    ---- </v>
      </c>
      <c r="M28" s="372">
        <f>IFERROR(100/'Skjema total MA'!I28*K28,0)</f>
        <v>29.786219651495852</v>
      </c>
    </row>
    <row r="29" spans="1:14" s="3" customFormat="1" ht="15.75" x14ac:dyDescent="0.2">
      <c r="A29" s="13" t="s">
        <v>365</v>
      </c>
      <c r="B29" s="367"/>
      <c r="C29" s="367">
        <v>3137561</v>
      </c>
      <c r="D29" s="374" t="str">
        <f t="shared" si="3"/>
        <v xml:space="preserve">    ---- </v>
      </c>
      <c r="E29" s="372">
        <f>IFERROR(100/'Skjema total MA'!C29*C29,0)</f>
        <v>6.826015574113935</v>
      </c>
      <c r="F29" s="373"/>
      <c r="G29" s="373"/>
      <c r="H29" s="374"/>
      <c r="I29" s="372"/>
      <c r="J29" s="367">
        <f t="shared" si="4"/>
        <v>0</v>
      </c>
      <c r="K29" s="367">
        <f t="shared" si="4"/>
        <v>3137561</v>
      </c>
      <c r="L29" s="374" t="str">
        <f t="shared" si="5"/>
        <v xml:space="preserve">    ---- </v>
      </c>
      <c r="M29" s="372">
        <f>IFERROR(100/'Skjema total MA'!I29*K29,0)</f>
        <v>4.5581720792596103</v>
      </c>
      <c r="N29" s="148"/>
    </row>
    <row r="30" spans="1:14" s="3" customFormat="1" ht="15.75" x14ac:dyDescent="0.2">
      <c r="A30" s="584" t="s">
        <v>368</v>
      </c>
      <c r="B30" s="364"/>
      <c r="C30" s="364"/>
      <c r="D30" s="374"/>
      <c r="E30" s="372"/>
      <c r="F30" s="364"/>
      <c r="G30" s="364"/>
      <c r="H30" s="374"/>
      <c r="I30" s="372"/>
      <c r="J30" s="364"/>
      <c r="K30" s="364"/>
      <c r="L30" s="374"/>
      <c r="M30" s="372"/>
      <c r="N30" s="148"/>
    </row>
    <row r="31" spans="1:14" s="3" customFormat="1" ht="15.75" x14ac:dyDescent="0.2">
      <c r="A31" s="584" t="s">
        <v>369</v>
      </c>
      <c r="B31" s="364"/>
      <c r="C31" s="364"/>
      <c r="D31" s="374"/>
      <c r="E31" s="372"/>
      <c r="F31" s="364"/>
      <c r="G31" s="364"/>
      <c r="H31" s="374"/>
      <c r="I31" s="372"/>
      <c r="J31" s="364"/>
      <c r="K31" s="364"/>
      <c r="L31" s="374"/>
      <c r="M31" s="372"/>
      <c r="N31" s="148"/>
    </row>
    <row r="32" spans="1:14" ht="15.75" x14ac:dyDescent="0.2">
      <c r="A32" s="584" t="s">
        <v>370</v>
      </c>
      <c r="B32" s="364"/>
      <c r="C32" s="364"/>
      <c r="D32" s="374"/>
      <c r="E32" s="372"/>
      <c r="F32" s="364"/>
      <c r="G32" s="364"/>
      <c r="H32" s="374"/>
      <c r="I32" s="372"/>
      <c r="J32" s="364"/>
      <c r="K32" s="364"/>
      <c r="L32" s="374"/>
      <c r="M32" s="372"/>
    </row>
    <row r="33" spans="1:14" ht="15.75" x14ac:dyDescent="0.2">
      <c r="A33" s="584" t="s">
        <v>371</v>
      </c>
      <c r="B33" s="364"/>
      <c r="C33" s="364"/>
      <c r="D33" s="374"/>
      <c r="E33" s="372"/>
      <c r="F33" s="364"/>
      <c r="G33" s="364"/>
      <c r="H33" s="374"/>
      <c r="I33" s="372"/>
      <c r="J33" s="364"/>
      <c r="K33" s="364"/>
      <c r="L33" s="374"/>
      <c r="M33" s="372"/>
    </row>
    <row r="34" spans="1:14" ht="15.75" x14ac:dyDescent="0.2">
      <c r="A34" s="13" t="s">
        <v>366</v>
      </c>
      <c r="B34" s="367"/>
      <c r="C34" s="368"/>
      <c r="D34" s="374"/>
      <c r="E34" s="372"/>
      <c r="F34" s="373"/>
      <c r="G34" s="368"/>
      <c r="H34" s="374"/>
      <c r="I34" s="372"/>
      <c r="J34" s="367"/>
      <c r="K34" s="367"/>
      <c r="L34" s="374"/>
      <c r="M34" s="372"/>
    </row>
    <row r="35" spans="1:14" ht="15.75" x14ac:dyDescent="0.2">
      <c r="A35" s="13" t="s">
        <v>367</v>
      </c>
      <c r="B35" s="367"/>
      <c r="C35" s="368"/>
      <c r="D35" s="374"/>
      <c r="E35" s="372"/>
      <c r="F35" s="373"/>
      <c r="G35" s="368"/>
      <c r="H35" s="374"/>
      <c r="I35" s="372"/>
      <c r="J35" s="367"/>
      <c r="K35" s="367"/>
      <c r="L35" s="374"/>
      <c r="M35" s="372"/>
    </row>
    <row r="36" spans="1:14" ht="15.75" x14ac:dyDescent="0.2">
      <c r="A36" s="12" t="s">
        <v>284</v>
      </c>
      <c r="B36" s="367"/>
      <c r="C36" s="368"/>
      <c r="D36" s="374"/>
      <c r="E36" s="372"/>
      <c r="F36" s="381"/>
      <c r="G36" s="382"/>
      <c r="H36" s="374"/>
      <c r="I36" s="372"/>
      <c r="J36" s="367"/>
      <c r="K36" s="367"/>
      <c r="L36" s="374"/>
      <c r="M36" s="372"/>
    </row>
    <row r="37" spans="1:14" ht="15.75" x14ac:dyDescent="0.2">
      <c r="A37" s="12" t="s">
        <v>373</v>
      </c>
      <c r="B37" s="367"/>
      <c r="C37" s="368"/>
      <c r="D37" s="374"/>
      <c r="E37" s="372"/>
      <c r="F37" s="381"/>
      <c r="G37" s="383"/>
      <c r="H37" s="374"/>
      <c r="I37" s="372"/>
      <c r="J37" s="367"/>
      <c r="K37" s="367"/>
      <c r="L37" s="374"/>
      <c r="M37" s="372"/>
    </row>
    <row r="38" spans="1:14" ht="15.75" x14ac:dyDescent="0.2">
      <c r="A38" s="12" t="s">
        <v>374</v>
      </c>
      <c r="B38" s="367"/>
      <c r="C38" s="368"/>
      <c r="D38" s="374"/>
      <c r="E38" s="166"/>
      <c r="F38" s="381"/>
      <c r="G38" s="382"/>
      <c r="H38" s="374"/>
      <c r="I38" s="372"/>
      <c r="J38" s="367"/>
      <c r="K38" s="367"/>
      <c r="L38" s="374"/>
      <c r="M38" s="372"/>
    </row>
    <row r="39" spans="1:14" ht="15.75" x14ac:dyDescent="0.2">
      <c r="A39" s="18" t="s">
        <v>375</v>
      </c>
      <c r="B39" s="369"/>
      <c r="C39" s="370"/>
      <c r="D39" s="378"/>
      <c r="E39" s="167"/>
      <c r="F39" s="384"/>
      <c r="G39" s="385"/>
      <c r="H39" s="378"/>
      <c r="I39" s="372"/>
      <c r="J39" s="367"/>
      <c r="K39" s="367"/>
      <c r="L39" s="378"/>
      <c r="M39" s="378"/>
    </row>
    <row r="40" spans="1:14" ht="15.75" x14ac:dyDescent="0.25">
      <c r="A40" s="47"/>
      <c r="B40" s="253"/>
      <c r="C40" s="253"/>
      <c r="D40" s="361"/>
      <c r="E40" s="361"/>
      <c r="F40" s="361"/>
      <c r="G40" s="361"/>
      <c r="H40" s="361"/>
      <c r="I40" s="361"/>
      <c r="J40" s="361"/>
      <c r="K40" s="361"/>
      <c r="L40" s="361"/>
      <c r="M40" s="360"/>
    </row>
    <row r="41" spans="1:14" x14ac:dyDescent="0.2">
      <c r="A41" s="155"/>
    </row>
    <row r="42" spans="1:14" ht="15.75" x14ac:dyDescent="0.25">
      <c r="A42" s="147" t="s">
        <v>273</v>
      </c>
      <c r="B42" s="359"/>
      <c r="C42" s="359"/>
      <c r="D42" s="359"/>
      <c r="E42" s="359"/>
      <c r="F42" s="360"/>
      <c r="G42" s="360"/>
      <c r="H42" s="360"/>
      <c r="I42" s="360"/>
      <c r="J42" s="360"/>
      <c r="K42" s="360"/>
      <c r="L42" s="360"/>
      <c r="M42" s="360"/>
    </row>
    <row r="43" spans="1:14" ht="15.75" x14ac:dyDescent="0.25">
      <c r="A43" s="163"/>
      <c r="B43" s="358"/>
      <c r="C43" s="358"/>
      <c r="D43" s="358"/>
      <c r="E43" s="358"/>
      <c r="F43" s="360"/>
      <c r="G43" s="360"/>
      <c r="H43" s="360"/>
      <c r="I43" s="360"/>
      <c r="J43" s="360"/>
      <c r="K43" s="360"/>
      <c r="L43" s="360"/>
      <c r="M43" s="360"/>
    </row>
    <row r="44" spans="1:14" ht="15.75" x14ac:dyDescent="0.25">
      <c r="A44" s="247"/>
      <c r="B44" s="733" t="s">
        <v>0</v>
      </c>
      <c r="C44" s="734"/>
      <c r="D44" s="734"/>
      <c r="E44" s="243"/>
      <c r="F44" s="360"/>
      <c r="G44" s="360"/>
      <c r="H44" s="360"/>
      <c r="I44" s="360"/>
      <c r="J44" s="360"/>
      <c r="K44" s="360"/>
      <c r="L44" s="360"/>
      <c r="M44" s="360"/>
    </row>
    <row r="45" spans="1:14" s="3" customFormat="1" x14ac:dyDescent="0.2">
      <c r="A45" s="140"/>
      <c r="B45" s="152" t="s">
        <v>421</v>
      </c>
      <c r="C45" s="152" t="s">
        <v>422</v>
      </c>
      <c r="D45" s="162" t="s">
        <v>3</v>
      </c>
      <c r="E45" s="162" t="s">
        <v>29</v>
      </c>
      <c r="F45" s="174"/>
      <c r="G45" s="174"/>
      <c r="H45" s="173"/>
      <c r="I45" s="173"/>
      <c r="J45" s="174"/>
      <c r="K45" s="174"/>
      <c r="L45" s="173"/>
      <c r="M45" s="173"/>
      <c r="N45" s="148"/>
    </row>
    <row r="46" spans="1:14" s="3" customFormat="1" x14ac:dyDescent="0.2">
      <c r="A46" s="708"/>
      <c r="B46" s="244"/>
      <c r="C46" s="244"/>
      <c r="D46" s="245" t="s">
        <v>4</v>
      </c>
      <c r="E46" s="156" t="s">
        <v>30</v>
      </c>
      <c r="F46" s="173"/>
      <c r="G46" s="173"/>
      <c r="H46" s="173"/>
      <c r="I46" s="173"/>
      <c r="J46" s="173"/>
      <c r="K46" s="173"/>
      <c r="L46" s="173"/>
      <c r="M46" s="173"/>
      <c r="N46" s="148"/>
    </row>
    <row r="47" spans="1:14" s="420" customFormat="1" ht="15.75" x14ac:dyDescent="0.2">
      <c r="A47" s="14" t="s">
        <v>23</v>
      </c>
      <c r="B47" s="367"/>
      <c r="C47" s="368">
        <v>861214</v>
      </c>
      <c r="D47" s="424" t="str">
        <f>IF(AND(_xlfn.NUMBERVALUE(B47)=0,_xlfn.NUMBERVALUE(C47)=0),,IF(B47=0, "    ---- ", IF(ABS(ROUND(100/B47*C47-100,1))&lt;999,IF(ROUND(100/B47*C47-100,1)=0,"    ---- ",ROUND(100/B47*C47-100,1)),IF(ROUND(100/B47*C47-100,1)&gt;999,999,-999))))</f>
        <v xml:space="preserve">    ---- </v>
      </c>
      <c r="E47" s="425">
        <f>IFERROR(100/'Skjema total MA'!C47*C47,0)</f>
        <v>20.378531856557025</v>
      </c>
      <c r="F47" s="159"/>
      <c r="G47" s="173"/>
      <c r="H47" s="159"/>
      <c r="I47" s="159"/>
      <c r="J47" s="423"/>
      <c r="K47" s="423"/>
      <c r="L47" s="159"/>
      <c r="M47" s="159"/>
      <c r="N47" s="426"/>
    </row>
    <row r="48" spans="1:14" s="3" customFormat="1" ht="15.75" x14ac:dyDescent="0.2">
      <c r="A48" s="38" t="s">
        <v>376</v>
      </c>
      <c r="B48" s="365"/>
      <c r="C48" s="366">
        <v>96450</v>
      </c>
      <c r="D48" s="374" t="str">
        <f t="shared" ref="D48:D57" si="6">IF(AND(_xlfn.NUMBERVALUE(B48)=0,_xlfn.NUMBERVALUE(C48)=0),,IF(B48=0, "    ---- ", IF(ABS(ROUND(100/B48*C48-100,1))&lt;999,IF(ROUND(100/B48*C48-100,1)=0,"    ---- ",ROUND(100/B48*C48-100,1)),IF(ROUND(100/B48*C48-100,1)&gt;999,999,-999))))</f>
        <v xml:space="preserve">    ---- </v>
      </c>
      <c r="E48" s="413">
        <f>IFERROR(100/'Skjema total MA'!C48*C48,0)</f>
        <v>4.0544381054856791</v>
      </c>
      <c r="F48" s="145"/>
      <c r="G48" s="33"/>
      <c r="H48" s="145"/>
      <c r="I48" s="145"/>
      <c r="J48" s="33"/>
      <c r="K48" s="33"/>
      <c r="L48" s="159"/>
      <c r="M48" s="159"/>
      <c r="N48" s="148"/>
    </row>
    <row r="49" spans="1:14" s="3" customFormat="1" ht="15.75" x14ac:dyDescent="0.2">
      <c r="A49" s="38" t="s">
        <v>377</v>
      </c>
      <c r="B49" s="365"/>
      <c r="C49" s="366">
        <v>764764</v>
      </c>
      <c r="D49" s="374" t="str">
        <f t="shared" si="6"/>
        <v xml:space="preserve">    ---- </v>
      </c>
      <c r="E49" s="413">
        <f>IFERROR(100/'Skjema total MA'!C49*C49,0)</f>
        <v>41.401032400590324</v>
      </c>
      <c r="F49" s="145"/>
      <c r="G49" s="33"/>
      <c r="H49" s="145"/>
      <c r="I49" s="145"/>
      <c r="J49" s="37"/>
      <c r="K49" s="37"/>
      <c r="L49" s="159"/>
      <c r="M49" s="159"/>
      <c r="N49" s="148"/>
    </row>
    <row r="50" spans="1:14" s="3" customFormat="1" x14ac:dyDescent="0.2">
      <c r="A50" s="296" t="s">
        <v>6</v>
      </c>
      <c r="B50" s="364"/>
      <c r="C50" s="386"/>
      <c r="D50" s="374"/>
      <c r="E50" s="414"/>
      <c r="F50" s="145"/>
      <c r="G50" s="33"/>
      <c r="H50" s="145"/>
      <c r="I50" s="145"/>
      <c r="J50" s="33"/>
      <c r="K50" s="33"/>
      <c r="L50" s="159"/>
      <c r="M50" s="159"/>
      <c r="N50" s="148"/>
    </row>
    <row r="51" spans="1:14" s="3" customFormat="1" x14ac:dyDescent="0.2">
      <c r="A51" s="296" t="s">
        <v>7</v>
      </c>
      <c r="B51" s="364"/>
      <c r="C51" s="386"/>
      <c r="D51" s="374"/>
      <c r="E51" s="414"/>
      <c r="F51" s="145"/>
      <c r="G51" s="33"/>
      <c r="H51" s="145"/>
      <c r="I51" s="145"/>
      <c r="J51" s="33"/>
      <c r="K51" s="33"/>
      <c r="L51" s="159"/>
      <c r="M51" s="159"/>
      <c r="N51" s="148"/>
    </row>
    <row r="52" spans="1:14" s="3" customFormat="1" x14ac:dyDescent="0.2">
      <c r="A52" s="296" t="s">
        <v>8</v>
      </c>
      <c r="B52" s="364"/>
      <c r="C52" s="386"/>
      <c r="D52" s="374"/>
      <c r="E52" s="414"/>
      <c r="F52" s="145"/>
      <c r="G52" s="33"/>
      <c r="H52" s="145"/>
      <c r="I52" s="145"/>
      <c r="J52" s="33"/>
      <c r="K52" s="33"/>
      <c r="L52" s="159"/>
      <c r="M52" s="159"/>
      <c r="N52" s="148"/>
    </row>
    <row r="53" spans="1:14" s="3" customFormat="1" ht="15.75" x14ac:dyDescent="0.2">
      <c r="A53" s="39" t="s">
        <v>378</v>
      </c>
      <c r="B53" s="367"/>
      <c r="C53" s="368">
        <v>2037</v>
      </c>
      <c r="D53" s="374" t="str">
        <f t="shared" si="6"/>
        <v xml:space="preserve">    ---- </v>
      </c>
      <c r="E53" s="413">
        <f>IFERROR(100/'Skjema total MA'!C53*C53,0)</f>
        <v>1.3102823976971447</v>
      </c>
      <c r="F53" s="145"/>
      <c r="G53" s="33"/>
      <c r="H53" s="145"/>
      <c r="I53" s="145"/>
      <c r="J53" s="33"/>
      <c r="K53" s="33"/>
      <c r="L53" s="159"/>
      <c r="M53" s="159"/>
      <c r="N53" s="148"/>
    </row>
    <row r="54" spans="1:14" s="3" customFormat="1" ht="15.75" x14ac:dyDescent="0.2">
      <c r="A54" s="38" t="s">
        <v>376</v>
      </c>
      <c r="B54" s="365"/>
      <c r="C54" s="366">
        <v>2037</v>
      </c>
      <c r="D54" s="374" t="str">
        <f t="shared" si="6"/>
        <v xml:space="preserve">    ---- </v>
      </c>
      <c r="E54" s="413">
        <f>IFERROR(100/'Skjema total MA'!C54*C54,0)</f>
        <v>1.3102823976971447</v>
      </c>
      <c r="F54" s="145"/>
      <c r="G54" s="33"/>
      <c r="H54" s="145"/>
      <c r="I54" s="145"/>
      <c r="J54" s="33"/>
      <c r="K54" s="33"/>
      <c r="L54" s="159"/>
      <c r="M54" s="159"/>
      <c r="N54" s="148"/>
    </row>
    <row r="55" spans="1:14" s="3" customFormat="1" ht="15.75" x14ac:dyDescent="0.2">
      <c r="A55" s="38" t="s">
        <v>377</v>
      </c>
      <c r="B55" s="365"/>
      <c r="C55" s="366"/>
      <c r="D55" s="374"/>
      <c r="E55" s="413"/>
      <c r="F55" s="145"/>
      <c r="G55" s="33"/>
      <c r="H55" s="145"/>
      <c r="I55" s="145"/>
      <c r="J55" s="33"/>
      <c r="K55" s="33"/>
      <c r="L55" s="159"/>
      <c r="M55" s="159"/>
      <c r="N55" s="148"/>
    </row>
    <row r="56" spans="1:14" s="3" customFormat="1" ht="15.75" x14ac:dyDescent="0.2">
      <c r="A56" s="39" t="s">
        <v>379</v>
      </c>
      <c r="B56" s="367"/>
      <c r="C56" s="368">
        <v>1940</v>
      </c>
      <c r="D56" s="374" t="str">
        <f t="shared" si="6"/>
        <v xml:space="preserve">    ---- </v>
      </c>
      <c r="E56" s="413">
        <f>IFERROR(100/'Skjema total MA'!C56*C56,0)</f>
        <v>1.6341182598581259</v>
      </c>
      <c r="F56" s="145"/>
      <c r="G56" s="33"/>
      <c r="H56" s="145"/>
      <c r="I56" s="145"/>
      <c r="J56" s="33"/>
      <c r="K56" s="33"/>
      <c r="L56" s="159"/>
      <c r="M56" s="159"/>
      <c r="N56" s="148"/>
    </row>
    <row r="57" spans="1:14" s="3" customFormat="1" ht="15.75" x14ac:dyDescent="0.2">
      <c r="A57" s="38" t="s">
        <v>376</v>
      </c>
      <c r="B57" s="365"/>
      <c r="C57" s="366">
        <v>1940</v>
      </c>
      <c r="D57" s="374" t="str">
        <f t="shared" si="6"/>
        <v xml:space="preserve">    ---- </v>
      </c>
      <c r="E57" s="413">
        <f>IFERROR(100/'Skjema total MA'!C57*C57,0)</f>
        <v>1.6341182598581259</v>
      </c>
      <c r="F57" s="145"/>
      <c r="G57" s="33"/>
      <c r="H57" s="145"/>
      <c r="I57" s="145"/>
      <c r="J57" s="33"/>
      <c r="K57" s="33"/>
      <c r="L57" s="159"/>
      <c r="M57" s="159"/>
      <c r="N57" s="148"/>
    </row>
    <row r="58" spans="1:14" s="3" customFormat="1" ht="15.75" x14ac:dyDescent="0.2">
      <c r="A58" s="46" t="s">
        <v>377</v>
      </c>
      <c r="B58" s="387"/>
      <c r="C58" s="388"/>
      <c r="D58" s="378"/>
      <c r="E58" s="415"/>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274</v>
      </c>
      <c r="C61" s="26"/>
      <c r="D61" s="26"/>
      <c r="E61" s="26"/>
      <c r="F61" s="26"/>
      <c r="G61" s="26"/>
      <c r="H61" s="26"/>
      <c r="I61" s="26"/>
      <c r="J61" s="26"/>
      <c r="K61" s="26"/>
      <c r="L61" s="26"/>
      <c r="M61" s="26"/>
    </row>
    <row r="62" spans="1:14" ht="15.75" x14ac:dyDescent="0.25">
      <c r="B62" s="358"/>
      <c r="C62" s="358"/>
      <c r="D62" s="358"/>
      <c r="E62" s="359"/>
      <c r="F62" s="358"/>
      <c r="G62" s="358"/>
      <c r="H62" s="358"/>
      <c r="I62" s="359"/>
      <c r="J62" s="358"/>
      <c r="K62" s="358"/>
      <c r="L62" s="358"/>
      <c r="M62" s="359"/>
    </row>
    <row r="63" spans="1:14" x14ac:dyDescent="0.2">
      <c r="A63" s="144"/>
      <c r="B63" s="733" t="s">
        <v>0</v>
      </c>
      <c r="C63" s="734"/>
      <c r="D63" s="738"/>
      <c r="E63" s="355"/>
      <c r="F63" s="734" t="s">
        <v>1</v>
      </c>
      <c r="G63" s="734"/>
      <c r="H63" s="734"/>
      <c r="I63" s="357"/>
      <c r="J63" s="733" t="s">
        <v>2</v>
      </c>
      <c r="K63" s="734"/>
      <c r="L63" s="734"/>
      <c r="M63" s="357"/>
    </row>
    <row r="64" spans="1:14" x14ac:dyDescent="0.2">
      <c r="A64" s="140"/>
      <c r="B64" s="152" t="s">
        <v>421</v>
      </c>
      <c r="C64" s="152" t="s">
        <v>422</v>
      </c>
      <c r="D64" s="245" t="s">
        <v>3</v>
      </c>
      <c r="E64" s="305" t="s">
        <v>29</v>
      </c>
      <c r="F64" s="152" t="s">
        <v>421</v>
      </c>
      <c r="G64" s="152" t="s">
        <v>422</v>
      </c>
      <c r="H64" s="245" t="s">
        <v>3</v>
      </c>
      <c r="I64" s="305" t="s">
        <v>29</v>
      </c>
      <c r="J64" s="152" t="s">
        <v>421</v>
      </c>
      <c r="K64" s="152" t="s">
        <v>422</v>
      </c>
      <c r="L64" s="245" t="s">
        <v>3</v>
      </c>
      <c r="M64" s="162" t="s">
        <v>29</v>
      </c>
    </row>
    <row r="65" spans="1:14" x14ac:dyDescent="0.2">
      <c r="A65" s="708"/>
      <c r="B65" s="156"/>
      <c r="C65" s="156"/>
      <c r="D65" s="246" t="s">
        <v>4</v>
      </c>
      <c r="E65" s="156" t="s">
        <v>30</v>
      </c>
      <c r="F65" s="161"/>
      <c r="G65" s="161"/>
      <c r="H65" s="245" t="s">
        <v>4</v>
      </c>
      <c r="I65" s="156" t="s">
        <v>30</v>
      </c>
      <c r="J65" s="161"/>
      <c r="K65" s="206"/>
      <c r="L65" s="156" t="s">
        <v>4</v>
      </c>
      <c r="M65" s="156" t="s">
        <v>30</v>
      </c>
    </row>
    <row r="66" spans="1:14" ht="15.75" x14ac:dyDescent="0.2">
      <c r="A66" s="14" t="s">
        <v>23</v>
      </c>
      <c r="B66" s="389"/>
      <c r="C66" s="389"/>
      <c r="D66" s="371"/>
      <c r="E66" s="372"/>
      <c r="F66" s="389"/>
      <c r="G66" s="389"/>
      <c r="H66" s="371"/>
      <c r="I66" s="372"/>
      <c r="J66" s="368"/>
      <c r="K66" s="362"/>
      <c r="L66" s="374"/>
      <c r="M66" s="372"/>
    </row>
    <row r="67" spans="1:14" x14ac:dyDescent="0.2">
      <c r="A67" s="21" t="s">
        <v>9</v>
      </c>
      <c r="B67" s="365"/>
      <c r="C67" s="390"/>
      <c r="D67" s="374"/>
      <c r="E67" s="372"/>
      <c r="F67" s="377"/>
      <c r="G67" s="390"/>
      <c r="H67" s="374"/>
      <c r="I67" s="372"/>
      <c r="J67" s="366"/>
      <c r="K67" s="365"/>
      <c r="L67" s="374"/>
      <c r="M67" s="372"/>
    </row>
    <row r="68" spans="1:14" x14ac:dyDescent="0.2">
      <c r="A68" s="21" t="s">
        <v>10</v>
      </c>
      <c r="B68" s="391"/>
      <c r="C68" s="392"/>
      <c r="D68" s="374"/>
      <c r="E68" s="372"/>
      <c r="F68" s="391"/>
      <c r="G68" s="392"/>
      <c r="H68" s="374"/>
      <c r="I68" s="372"/>
      <c r="J68" s="366"/>
      <c r="K68" s="365"/>
      <c r="L68" s="374"/>
      <c r="M68" s="372"/>
    </row>
    <row r="69" spans="1:14" ht="15.75" x14ac:dyDescent="0.2">
      <c r="A69" s="296" t="s">
        <v>380</v>
      </c>
      <c r="B69" s="393"/>
      <c r="C69" s="394"/>
      <c r="D69" s="374"/>
      <c r="E69" s="399"/>
      <c r="F69" s="393"/>
      <c r="G69" s="394"/>
      <c r="H69" s="374"/>
      <c r="I69" s="372"/>
      <c r="J69" s="393"/>
      <c r="K69" s="394"/>
      <c r="L69" s="374"/>
      <c r="M69" s="372"/>
    </row>
    <row r="70" spans="1:14" x14ac:dyDescent="0.2">
      <c r="A70" s="296" t="s">
        <v>12</v>
      </c>
      <c r="B70" s="393"/>
      <c r="C70" s="394"/>
      <c r="D70" s="374"/>
      <c r="E70" s="399"/>
      <c r="F70" s="393"/>
      <c r="G70" s="394"/>
      <c r="H70" s="374"/>
      <c r="I70" s="372"/>
      <c r="J70" s="393"/>
      <c r="K70" s="394"/>
      <c r="L70" s="374"/>
      <c r="M70" s="372"/>
    </row>
    <row r="71" spans="1:14" x14ac:dyDescent="0.2">
      <c r="A71" s="296" t="s">
        <v>13</v>
      </c>
      <c r="B71" s="395"/>
      <c r="C71" s="396"/>
      <c r="D71" s="374"/>
      <c r="E71" s="399"/>
      <c r="F71" s="393"/>
      <c r="G71" s="394"/>
      <c r="H71" s="374"/>
      <c r="I71" s="372"/>
      <c r="J71" s="393"/>
      <c r="K71" s="394"/>
      <c r="L71" s="374"/>
      <c r="M71" s="372"/>
    </row>
    <row r="72" spans="1:14" ht="15.75" x14ac:dyDescent="0.2">
      <c r="A72" s="296" t="s">
        <v>381</v>
      </c>
      <c r="B72" s="393"/>
      <c r="C72" s="394"/>
      <c r="D72" s="374"/>
      <c r="E72" s="399"/>
      <c r="F72" s="393"/>
      <c r="G72" s="394"/>
      <c r="H72" s="374"/>
      <c r="I72" s="372"/>
      <c r="J72" s="393"/>
      <c r="K72" s="394"/>
      <c r="L72" s="374"/>
      <c r="M72" s="372"/>
    </row>
    <row r="73" spans="1:14" x14ac:dyDescent="0.2">
      <c r="A73" s="296" t="s">
        <v>12</v>
      </c>
      <c r="B73" s="395"/>
      <c r="C73" s="396"/>
      <c r="D73" s="374"/>
      <c r="E73" s="399"/>
      <c r="F73" s="393"/>
      <c r="G73" s="394"/>
      <c r="H73" s="374"/>
      <c r="I73" s="372"/>
      <c r="J73" s="393"/>
      <c r="K73" s="394"/>
      <c r="L73" s="374"/>
      <c r="M73" s="372"/>
    </row>
    <row r="74" spans="1:14" s="3" customFormat="1" x14ac:dyDescent="0.2">
      <c r="A74" s="296" t="s">
        <v>13</v>
      </c>
      <c r="B74" s="395"/>
      <c r="C74" s="396"/>
      <c r="D74" s="374"/>
      <c r="E74" s="399"/>
      <c r="F74" s="393"/>
      <c r="G74" s="394"/>
      <c r="H74" s="374"/>
      <c r="I74" s="372"/>
      <c r="J74" s="393"/>
      <c r="K74" s="394"/>
      <c r="L74" s="374"/>
      <c r="M74" s="372"/>
      <c r="N74" s="148"/>
    </row>
    <row r="75" spans="1:14" s="3" customFormat="1" x14ac:dyDescent="0.2">
      <c r="A75" s="21" t="s">
        <v>350</v>
      </c>
      <c r="B75" s="377"/>
      <c r="C75" s="390"/>
      <c r="D75" s="374"/>
      <c r="E75" s="372"/>
      <c r="F75" s="377"/>
      <c r="G75" s="390"/>
      <c r="H75" s="374"/>
      <c r="I75" s="372"/>
      <c r="J75" s="366"/>
      <c r="K75" s="365"/>
      <c r="L75" s="374"/>
      <c r="M75" s="372"/>
      <c r="N75" s="148"/>
    </row>
    <row r="76" spans="1:14" s="3" customFormat="1" x14ac:dyDescent="0.2">
      <c r="A76" s="21" t="s">
        <v>349</v>
      </c>
      <c r="B76" s="377"/>
      <c r="C76" s="390"/>
      <c r="D76" s="374"/>
      <c r="E76" s="372"/>
      <c r="F76" s="377"/>
      <c r="G76" s="390"/>
      <c r="H76" s="374"/>
      <c r="I76" s="372"/>
      <c r="J76" s="366"/>
      <c r="K76" s="365"/>
      <c r="L76" s="374"/>
      <c r="M76" s="372"/>
      <c r="N76" s="148"/>
    </row>
    <row r="77" spans="1:14" ht="15.75" x14ac:dyDescent="0.2">
      <c r="A77" s="21" t="s">
        <v>382</v>
      </c>
      <c r="B77" s="377"/>
      <c r="C77" s="377"/>
      <c r="D77" s="374"/>
      <c r="E77" s="372"/>
      <c r="F77" s="377"/>
      <c r="G77" s="390"/>
      <c r="H77" s="374"/>
      <c r="I77" s="372"/>
      <c r="J77" s="366"/>
      <c r="K77" s="365"/>
      <c r="L77" s="374"/>
      <c r="M77" s="372"/>
    </row>
    <row r="78" spans="1:14" x14ac:dyDescent="0.2">
      <c r="A78" s="21" t="s">
        <v>9</v>
      </c>
      <c r="B78" s="377"/>
      <c r="C78" s="390"/>
      <c r="D78" s="374"/>
      <c r="E78" s="372"/>
      <c r="F78" s="377"/>
      <c r="G78" s="390"/>
      <c r="H78" s="374"/>
      <c r="I78" s="372"/>
      <c r="J78" s="366"/>
      <c r="K78" s="365"/>
      <c r="L78" s="374"/>
      <c r="M78" s="372"/>
    </row>
    <row r="79" spans="1:14" x14ac:dyDescent="0.2">
      <c r="A79" s="21" t="s">
        <v>10</v>
      </c>
      <c r="B79" s="391"/>
      <c r="C79" s="392"/>
      <c r="D79" s="374"/>
      <c r="E79" s="372"/>
      <c r="F79" s="391"/>
      <c r="G79" s="392"/>
      <c r="H79" s="374"/>
      <c r="I79" s="372"/>
      <c r="J79" s="366"/>
      <c r="K79" s="365"/>
      <c r="L79" s="374"/>
      <c r="M79" s="372"/>
    </row>
    <row r="80" spans="1:14" ht="15.75" x14ac:dyDescent="0.2">
      <c r="A80" s="296" t="s">
        <v>380</v>
      </c>
      <c r="B80" s="393"/>
      <c r="C80" s="394"/>
      <c r="D80" s="374"/>
      <c r="E80" s="399"/>
      <c r="F80" s="393"/>
      <c r="G80" s="394"/>
      <c r="H80" s="374"/>
      <c r="I80" s="372"/>
      <c r="J80" s="393"/>
      <c r="K80" s="394"/>
      <c r="L80" s="374"/>
      <c r="M80" s="372"/>
    </row>
    <row r="81" spans="1:13" x14ac:dyDescent="0.2">
      <c r="A81" s="296" t="s">
        <v>12</v>
      </c>
      <c r="B81" s="393"/>
      <c r="C81" s="394"/>
      <c r="D81" s="374"/>
      <c r="E81" s="399"/>
      <c r="F81" s="393"/>
      <c r="G81" s="394"/>
      <c r="H81" s="374"/>
      <c r="I81" s="372"/>
      <c r="J81" s="393"/>
      <c r="K81" s="394"/>
      <c r="L81" s="374"/>
      <c r="M81" s="372"/>
    </row>
    <row r="82" spans="1:13" x14ac:dyDescent="0.2">
      <c r="A82" s="296" t="s">
        <v>13</v>
      </c>
      <c r="B82" s="393"/>
      <c r="C82" s="394"/>
      <c r="D82" s="374"/>
      <c r="E82" s="399"/>
      <c r="F82" s="393"/>
      <c r="G82" s="394"/>
      <c r="H82" s="374"/>
      <c r="I82" s="372"/>
      <c r="J82" s="393"/>
      <c r="K82" s="394"/>
      <c r="L82" s="374"/>
      <c r="M82" s="372"/>
    </row>
    <row r="83" spans="1:13" ht="15.75" x14ac:dyDescent="0.2">
      <c r="A83" s="296" t="s">
        <v>381</v>
      </c>
      <c r="B83" s="393"/>
      <c r="C83" s="394"/>
      <c r="D83" s="374"/>
      <c r="E83" s="399"/>
      <c r="F83" s="393"/>
      <c r="G83" s="394"/>
      <c r="H83" s="374"/>
      <c r="I83" s="372"/>
      <c r="J83" s="393"/>
      <c r="K83" s="394"/>
      <c r="L83" s="374"/>
      <c r="M83" s="372"/>
    </row>
    <row r="84" spans="1:13" x14ac:dyDescent="0.2">
      <c r="A84" s="296" t="s">
        <v>12</v>
      </c>
      <c r="B84" s="393"/>
      <c r="C84" s="394"/>
      <c r="D84" s="374"/>
      <c r="E84" s="399"/>
      <c r="F84" s="393"/>
      <c r="G84" s="394"/>
      <c r="H84" s="374"/>
      <c r="I84" s="372"/>
      <c r="J84" s="393"/>
      <c r="K84" s="394"/>
      <c r="L84" s="374"/>
      <c r="M84" s="372"/>
    </row>
    <row r="85" spans="1:13" x14ac:dyDescent="0.2">
      <c r="A85" s="296" t="s">
        <v>13</v>
      </c>
      <c r="B85" s="393"/>
      <c r="C85" s="394"/>
      <c r="D85" s="374"/>
      <c r="E85" s="399"/>
      <c r="F85" s="393"/>
      <c r="G85" s="394"/>
      <c r="H85" s="374"/>
      <c r="I85" s="372"/>
      <c r="J85" s="393"/>
      <c r="K85" s="394"/>
      <c r="L85" s="374"/>
      <c r="M85" s="372"/>
    </row>
    <row r="86" spans="1:13" ht="15.75" x14ac:dyDescent="0.2">
      <c r="A86" s="21" t="s">
        <v>383</v>
      </c>
      <c r="B86" s="377"/>
      <c r="C86" s="390"/>
      <c r="D86" s="374"/>
      <c r="E86" s="372"/>
      <c r="F86" s="377"/>
      <c r="G86" s="390"/>
      <c r="H86" s="374"/>
      <c r="I86" s="372"/>
      <c r="J86" s="366"/>
      <c r="K86" s="365"/>
      <c r="L86" s="374"/>
      <c r="M86" s="372"/>
    </row>
    <row r="87" spans="1:13" ht="15.75" x14ac:dyDescent="0.2">
      <c r="A87" s="13" t="s">
        <v>365</v>
      </c>
      <c r="B87" s="389"/>
      <c r="C87" s="389"/>
      <c r="D87" s="374"/>
      <c r="E87" s="372"/>
      <c r="F87" s="389"/>
      <c r="G87" s="389"/>
      <c r="H87" s="374"/>
      <c r="I87" s="372"/>
      <c r="J87" s="368"/>
      <c r="K87" s="367"/>
      <c r="L87" s="374"/>
      <c r="M87" s="372"/>
    </row>
    <row r="88" spans="1:13" x14ac:dyDescent="0.2">
      <c r="A88" s="21" t="s">
        <v>9</v>
      </c>
      <c r="B88" s="377"/>
      <c r="C88" s="390"/>
      <c r="D88" s="374"/>
      <c r="E88" s="372"/>
      <c r="F88" s="377"/>
      <c r="G88" s="390"/>
      <c r="H88" s="374"/>
      <c r="I88" s="372"/>
      <c r="J88" s="366"/>
      <c r="K88" s="365"/>
      <c r="L88" s="374"/>
      <c r="M88" s="372"/>
    </row>
    <row r="89" spans="1:13" x14ac:dyDescent="0.2">
      <c r="A89" s="21" t="s">
        <v>10</v>
      </c>
      <c r="B89" s="377"/>
      <c r="C89" s="390"/>
      <c r="D89" s="374"/>
      <c r="E89" s="372"/>
      <c r="F89" s="377"/>
      <c r="G89" s="390"/>
      <c r="H89" s="374"/>
      <c r="I89" s="372"/>
      <c r="J89" s="366"/>
      <c r="K89" s="365"/>
      <c r="L89" s="374"/>
      <c r="M89" s="372"/>
    </row>
    <row r="90" spans="1:13" ht="15.75" x14ac:dyDescent="0.2">
      <c r="A90" s="296" t="s">
        <v>380</v>
      </c>
      <c r="B90" s="393"/>
      <c r="C90" s="394"/>
      <c r="D90" s="374"/>
      <c r="E90" s="399"/>
      <c r="F90" s="393"/>
      <c r="G90" s="394"/>
      <c r="H90" s="374"/>
      <c r="I90" s="372"/>
      <c r="J90" s="393"/>
      <c r="K90" s="394"/>
      <c r="L90" s="374"/>
      <c r="M90" s="372"/>
    </row>
    <row r="91" spans="1:13" x14ac:dyDescent="0.2">
      <c r="A91" s="296" t="s">
        <v>12</v>
      </c>
      <c r="B91" s="393"/>
      <c r="C91" s="394"/>
      <c r="D91" s="374"/>
      <c r="E91" s="399"/>
      <c r="F91" s="393"/>
      <c r="G91" s="394"/>
      <c r="H91" s="374"/>
      <c r="I91" s="372"/>
      <c r="J91" s="393"/>
      <c r="K91" s="394"/>
      <c r="L91" s="374"/>
      <c r="M91" s="372"/>
    </row>
    <row r="92" spans="1:13" x14ac:dyDescent="0.2">
      <c r="A92" s="296" t="s">
        <v>13</v>
      </c>
      <c r="B92" s="393"/>
      <c r="C92" s="394"/>
      <c r="D92" s="374"/>
      <c r="E92" s="399"/>
      <c r="F92" s="393"/>
      <c r="G92" s="394"/>
      <c r="H92" s="374"/>
      <c r="I92" s="372"/>
      <c r="J92" s="393"/>
      <c r="K92" s="394"/>
      <c r="L92" s="374"/>
      <c r="M92" s="372"/>
    </row>
    <row r="93" spans="1:13" ht="15.75" x14ac:dyDescent="0.2">
      <c r="A93" s="296" t="s">
        <v>381</v>
      </c>
      <c r="B93" s="393"/>
      <c r="C93" s="394"/>
      <c r="D93" s="374"/>
      <c r="E93" s="399"/>
      <c r="F93" s="393"/>
      <c r="G93" s="394"/>
      <c r="H93" s="374"/>
      <c r="I93" s="372"/>
      <c r="J93" s="393"/>
      <c r="K93" s="394"/>
      <c r="L93" s="374"/>
      <c r="M93" s="372"/>
    </row>
    <row r="94" spans="1:13" x14ac:dyDescent="0.2">
      <c r="A94" s="296" t="s">
        <v>12</v>
      </c>
      <c r="B94" s="393"/>
      <c r="C94" s="394"/>
      <c r="D94" s="374"/>
      <c r="E94" s="399"/>
      <c r="F94" s="393"/>
      <c r="G94" s="394"/>
      <c r="H94" s="374"/>
      <c r="I94" s="372"/>
      <c r="J94" s="393"/>
      <c r="K94" s="394"/>
      <c r="L94" s="374"/>
      <c r="M94" s="372"/>
    </row>
    <row r="95" spans="1:13" x14ac:dyDescent="0.2">
      <c r="A95" s="296" t="s">
        <v>13</v>
      </c>
      <c r="B95" s="393"/>
      <c r="C95" s="394"/>
      <c r="D95" s="374"/>
      <c r="E95" s="399"/>
      <c r="F95" s="393"/>
      <c r="G95" s="394"/>
      <c r="H95" s="374"/>
      <c r="I95" s="372"/>
      <c r="J95" s="393"/>
      <c r="K95" s="394"/>
      <c r="L95" s="374"/>
      <c r="M95" s="372"/>
    </row>
    <row r="96" spans="1:13" x14ac:dyDescent="0.2">
      <c r="A96" s="21" t="s">
        <v>348</v>
      </c>
      <c r="B96" s="377"/>
      <c r="C96" s="390"/>
      <c r="D96" s="374"/>
      <c r="E96" s="372"/>
      <c r="F96" s="377"/>
      <c r="G96" s="390"/>
      <c r="H96" s="374"/>
      <c r="I96" s="372"/>
      <c r="J96" s="366"/>
      <c r="K96" s="365"/>
      <c r="L96" s="374"/>
      <c r="M96" s="372"/>
    </row>
    <row r="97" spans="1:13" x14ac:dyDescent="0.2">
      <c r="A97" s="21" t="s">
        <v>347</v>
      </c>
      <c r="B97" s="377"/>
      <c r="C97" s="390"/>
      <c r="D97" s="374"/>
      <c r="E97" s="372"/>
      <c r="F97" s="377"/>
      <c r="G97" s="390"/>
      <c r="H97" s="374"/>
      <c r="I97" s="372"/>
      <c r="J97" s="366"/>
      <c r="K97" s="365"/>
      <c r="L97" s="374"/>
      <c r="M97" s="372"/>
    </row>
    <row r="98" spans="1:13" ht="15.75" x14ac:dyDescent="0.2">
      <c r="A98" s="21" t="s">
        <v>382</v>
      </c>
      <c r="B98" s="377"/>
      <c r="C98" s="377"/>
      <c r="D98" s="374"/>
      <c r="E98" s="372"/>
      <c r="F98" s="391"/>
      <c r="G98" s="391"/>
      <c r="H98" s="374"/>
      <c r="I98" s="372"/>
      <c r="J98" s="366"/>
      <c r="K98" s="365"/>
      <c r="L98" s="374"/>
      <c r="M98" s="372"/>
    </row>
    <row r="99" spans="1:13" x14ac:dyDescent="0.2">
      <c r="A99" s="21" t="s">
        <v>9</v>
      </c>
      <c r="B99" s="391"/>
      <c r="C99" s="392"/>
      <c r="D99" s="374"/>
      <c r="E99" s="372"/>
      <c r="F99" s="377"/>
      <c r="G99" s="390"/>
      <c r="H99" s="374"/>
      <c r="I99" s="372"/>
      <c r="J99" s="366"/>
      <c r="K99" s="365"/>
      <c r="L99" s="374"/>
      <c r="M99" s="372"/>
    </row>
    <row r="100" spans="1:13" x14ac:dyDescent="0.2">
      <c r="A100" s="21" t="s">
        <v>10</v>
      </c>
      <c r="B100" s="391"/>
      <c r="C100" s="392"/>
      <c r="D100" s="374"/>
      <c r="E100" s="372"/>
      <c r="F100" s="377"/>
      <c r="G100" s="377"/>
      <c r="H100" s="374"/>
      <c r="I100" s="372"/>
      <c r="J100" s="366"/>
      <c r="K100" s="365"/>
      <c r="L100" s="374"/>
      <c r="M100" s="372"/>
    </row>
    <row r="101" spans="1:13" ht="15.75" x14ac:dyDescent="0.2">
      <c r="A101" s="296" t="s">
        <v>380</v>
      </c>
      <c r="B101" s="393"/>
      <c r="C101" s="394"/>
      <c r="D101" s="374"/>
      <c r="E101" s="399"/>
      <c r="F101" s="393"/>
      <c r="G101" s="394"/>
      <c r="H101" s="374"/>
      <c r="I101" s="372"/>
      <c r="J101" s="393"/>
      <c r="K101" s="394"/>
      <c r="L101" s="374"/>
      <c r="M101" s="372"/>
    </row>
    <row r="102" spans="1:13" x14ac:dyDescent="0.2">
      <c r="A102" s="296" t="s">
        <v>12</v>
      </c>
      <c r="B102" s="393"/>
      <c r="C102" s="394"/>
      <c r="D102" s="374"/>
      <c r="E102" s="399"/>
      <c r="F102" s="393"/>
      <c r="G102" s="394"/>
      <c r="H102" s="374"/>
      <c r="I102" s="372"/>
      <c r="J102" s="393"/>
      <c r="K102" s="394"/>
      <c r="L102" s="374"/>
      <c r="M102" s="372"/>
    </row>
    <row r="103" spans="1:13" x14ac:dyDescent="0.2">
      <c r="A103" s="296" t="s">
        <v>13</v>
      </c>
      <c r="B103" s="393"/>
      <c r="C103" s="394"/>
      <c r="D103" s="374"/>
      <c r="E103" s="399"/>
      <c r="F103" s="393"/>
      <c r="G103" s="394"/>
      <c r="H103" s="374"/>
      <c r="I103" s="372"/>
      <c r="J103" s="393"/>
      <c r="K103" s="394"/>
      <c r="L103" s="374"/>
      <c r="M103" s="372"/>
    </row>
    <row r="104" spans="1:13" ht="15.75" x14ac:dyDescent="0.2">
      <c r="A104" s="296" t="s">
        <v>381</v>
      </c>
      <c r="B104" s="393"/>
      <c r="C104" s="394"/>
      <c r="D104" s="374"/>
      <c r="E104" s="399"/>
      <c r="F104" s="393"/>
      <c r="G104" s="394"/>
      <c r="H104" s="374"/>
      <c r="I104" s="372"/>
      <c r="J104" s="393"/>
      <c r="K104" s="394"/>
      <c r="L104" s="374"/>
      <c r="M104" s="372"/>
    </row>
    <row r="105" spans="1:13" x14ac:dyDescent="0.2">
      <c r="A105" s="296" t="s">
        <v>12</v>
      </c>
      <c r="B105" s="393"/>
      <c r="C105" s="394"/>
      <c r="D105" s="374"/>
      <c r="E105" s="399"/>
      <c r="F105" s="393"/>
      <c r="G105" s="394"/>
      <c r="H105" s="374"/>
      <c r="I105" s="372"/>
      <c r="J105" s="393"/>
      <c r="K105" s="394"/>
      <c r="L105" s="374"/>
      <c r="M105" s="372"/>
    </row>
    <row r="106" spans="1:13" x14ac:dyDescent="0.2">
      <c r="A106" s="296" t="s">
        <v>13</v>
      </c>
      <c r="B106" s="393"/>
      <c r="C106" s="394"/>
      <c r="D106" s="374"/>
      <c r="E106" s="399"/>
      <c r="F106" s="393"/>
      <c r="G106" s="394"/>
      <c r="H106" s="374"/>
      <c r="I106" s="372"/>
      <c r="J106" s="393"/>
      <c r="K106" s="394"/>
      <c r="L106" s="374"/>
      <c r="M106" s="372"/>
    </row>
    <row r="107" spans="1:13" ht="15.75" x14ac:dyDescent="0.2">
      <c r="A107" s="21" t="s">
        <v>383</v>
      </c>
      <c r="B107" s="377"/>
      <c r="C107" s="390"/>
      <c r="D107" s="374"/>
      <c r="E107" s="372"/>
      <c r="F107" s="377"/>
      <c r="G107" s="390"/>
      <c r="H107" s="374"/>
      <c r="I107" s="372"/>
      <c r="J107" s="366"/>
      <c r="K107" s="365"/>
      <c r="L107" s="374"/>
      <c r="M107" s="372"/>
    </row>
    <row r="108" spans="1:13" ht="15.75" x14ac:dyDescent="0.2">
      <c r="A108" s="21" t="s">
        <v>384</v>
      </c>
      <c r="B108" s="377"/>
      <c r="C108" s="377"/>
      <c r="D108" s="374"/>
      <c r="E108" s="372"/>
      <c r="F108" s="377"/>
      <c r="G108" s="377"/>
      <c r="H108" s="374"/>
      <c r="I108" s="372"/>
      <c r="J108" s="366"/>
      <c r="K108" s="365"/>
      <c r="L108" s="374"/>
      <c r="M108" s="372"/>
    </row>
    <row r="109" spans="1:13" ht="15.75" x14ac:dyDescent="0.2">
      <c r="A109" s="21" t="s">
        <v>385</v>
      </c>
      <c r="B109" s="377"/>
      <c r="C109" s="377"/>
      <c r="D109" s="374"/>
      <c r="E109" s="372"/>
      <c r="F109" s="377"/>
      <c r="G109" s="377"/>
      <c r="H109" s="374"/>
      <c r="I109" s="372"/>
      <c r="J109" s="366"/>
      <c r="K109" s="365"/>
      <c r="L109" s="374"/>
      <c r="M109" s="372"/>
    </row>
    <row r="110" spans="1:13" ht="15.75" x14ac:dyDescent="0.2">
      <c r="A110" s="21" t="s">
        <v>386</v>
      </c>
      <c r="B110" s="377"/>
      <c r="C110" s="377"/>
      <c r="D110" s="374"/>
      <c r="E110" s="372"/>
      <c r="F110" s="377"/>
      <c r="G110" s="377"/>
      <c r="H110" s="374"/>
      <c r="I110" s="372"/>
      <c r="J110" s="366"/>
      <c r="K110" s="365"/>
      <c r="L110" s="374"/>
      <c r="M110" s="372"/>
    </row>
    <row r="111" spans="1:13" ht="15.75" x14ac:dyDescent="0.2">
      <c r="A111" s="13" t="s">
        <v>366</v>
      </c>
      <c r="B111" s="373"/>
      <c r="C111" s="397"/>
      <c r="D111" s="374"/>
      <c r="E111" s="372"/>
      <c r="F111" s="373"/>
      <c r="G111" s="397"/>
      <c r="H111" s="374"/>
      <c r="I111" s="372"/>
      <c r="J111" s="368"/>
      <c r="K111" s="367"/>
      <c r="L111" s="374"/>
      <c r="M111" s="372"/>
    </row>
    <row r="112" spans="1:13" x14ac:dyDescent="0.2">
      <c r="A112" s="21" t="s">
        <v>9</v>
      </c>
      <c r="B112" s="377"/>
      <c r="C112" s="390"/>
      <c r="D112" s="374"/>
      <c r="E112" s="372"/>
      <c r="F112" s="377"/>
      <c r="G112" s="390"/>
      <c r="H112" s="374"/>
      <c r="I112" s="372"/>
      <c r="J112" s="366"/>
      <c r="K112" s="365"/>
      <c r="L112" s="374"/>
      <c r="M112" s="372"/>
    </row>
    <row r="113" spans="1:14" x14ac:dyDescent="0.2">
      <c r="A113" s="21" t="s">
        <v>10</v>
      </c>
      <c r="B113" s="377"/>
      <c r="C113" s="390"/>
      <c r="D113" s="374"/>
      <c r="E113" s="372"/>
      <c r="F113" s="377"/>
      <c r="G113" s="390"/>
      <c r="H113" s="374"/>
      <c r="I113" s="372"/>
      <c r="J113" s="366"/>
      <c r="K113" s="365"/>
      <c r="L113" s="374"/>
      <c r="M113" s="372"/>
    </row>
    <row r="114" spans="1:14" x14ac:dyDescent="0.2">
      <c r="A114" s="21" t="s">
        <v>26</v>
      </c>
      <c r="B114" s="377"/>
      <c r="C114" s="390"/>
      <c r="D114" s="374"/>
      <c r="E114" s="372"/>
      <c r="F114" s="377"/>
      <c r="G114" s="390"/>
      <c r="H114" s="374"/>
      <c r="I114" s="372"/>
      <c r="J114" s="366"/>
      <c r="K114" s="365"/>
      <c r="L114" s="374"/>
      <c r="M114" s="372"/>
    </row>
    <row r="115" spans="1:14" x14ac:dyDescent="0.2">
      <c r="A115" s="296" t="s">
        <v>15</v>
      </c>
      <c r="B115" s="393"/>
      <c r="C115" s="394"/>
      <c r="D115" s="374"/>
      <c r="E115" s="399"/>
      <c r="F115" s="393"/>
      <c r="G115" s="394"/>
      <c r="H115" s="374"/>
      <c r="I115" s="372"/>
      <c r="J115" s="393"/>
      <c r="K115" s="394"/>
      <c r="L115" s="374"/>
      <c r="M115" s="372"/>
    </row>
    <row r="116" spans="1:14" ht="15.75" x14ac:dyDescent="0.2">
      <c r="A116" s="21" t="s">
        <v>387</v>
      </c>
      <c r="B116" s="377"/>
      <c r="C116" s="377"/>
      <c r="D116" s="374"/>
      <c r="E116" s="372"/>
      <c r="F116" s="377"/>
      <c r="G116" s="377"/>
      <c r="H116" s="374"/>
      <c r="I116" s="372"/>
      <c r="J116" s="366"/>
      <c r="K116" s="365"/>
      <c r="L116" s="374"/>
      <c r="M116" s="372"/>
    </row>
    <row r="117" spans="1:14" ht="15.75" x14ac:dyDescent="0.2">
      <c r="A117" s="21" t="s">
        <v>388</v>
      </c>
      <c r="B117" s="377"/>
      <c r="C117" s="377"/>
      <c r="D117" s="374"/>
      <c r="E117" s="372"/>
      <c r="F117" s="377"/>
      <c r="G117" s="377"/>
      <c r="H117" s="374"/>
      <c r="I117" s="372"/>
      <c r="J117" s="366"/>
      <c r="K117" s="365"/>
      <c r="L117" s="374"/>
      <c r="M117" s="372"/>
    </row>
    <row r="118" spans="1:14" ht="15.75" x14ac:dyDescent="0.2">
      <c r="A118" s="21" t="s">
        <v>386</v>
      </c>
      <c r="B118" s="377"/>
      <c r="C118" s="377"/>
      <c r="D118" s="374"/>
      <c r="E118" s="372"/>
      <c r="F118" s="377"/>
      <c r="G118" s="377"/>
      <c r="H118" s="374"/>
      <c r="I118" s="372"/>
      <c r="J118" s="366"/>
      <c r="K118" s="365"/>
      <c r="L118" s="374"/>
      <c r="M118" s="372"/>
    </row>
    <row r="119" spans="1:14" ht="15.75" x14ac:dyDescent="0.2">
      <c r="A119" s="13" t="s">
        <v>367</v>
      </c>
      <c r="B119" s="373"/>
      <c r="C119" s="397"/>
      <c r="D119" s="374"/>
      <c r="E119" s="372"/>
      <c r="F119" s="373"/>
      <c r="G119" s="397"/>
      <c r="H119" s="374"/>
      <c r="I119" s="372"/>
      <c r="J119" s="368"/>
      <c r="K119" s="367"/>
      <c r="L119" s="374"/>
      <c r="M119" s="372"/>
    </row>
    <row r="120" spans="1:14" x14ac:dyDescent="0.2">
      <c r="A120" s="21" t="s">
        <v>9</v>
      </c>
      <c r="B120" s="377"/>
      <c r="C120" s="390"/>
      <c r="D120" s="374"/>
      <c r="E120" s="372"/>
      <c r="F120" s="377"/>
      <c r="G120" s="390"/>
      <c r="H120" s="374"/>
      <c r="I120" s="372"/>
      <c r="J120" s="366"/>
      <c r="K120" s="365"/>
      <c r="L120" s="374"/>
      <c r="M120" s="372"/>
    </row>
    <row r="121" spans="1:14" x14ac:dyDescent="0.2">
      <c r="A121" s="21" t="s">
        <v>10</v>
      </c>
      <c r="B121" s="377"/>
      <c r="C121" s="390"/>
      <c r="D121" s="374"/>
      <c r="E121" s="372"/>
      <c r="F121" s="377"/>
      <c r="G121" s="390"/>
      <c r="H121" s="374"/>
      <c r="I121" s="372"/>
      <c r="J121" s="366"/>
      <c r="K121" s="365"/>
      <c r="L121" s="374"/>
      <c r="M121" s="372"/>
    </row>
    <row r="122" spans="1:14" x14ac:dyDescent="0.2">
      <c r="A122" s="21" t="s">
        <v>26</v>
      </c>
      <c r="B122" s="377"/>
      <c r="C122" s="390"/>
      <c r="D122" s="374"/>
      <c r="E122" s="372"/>
      <c r="F122" s="377"/>
      <c r="G122" s="390"/>
      <c r="H122" s="374"/>
      <c r="I122" s="372"/>
      <c r="J122" s="366"/>
      <c r="K122" s="365"/>
      <c r="L122" s="374"/>
      <c r="M122" s="372"/>
    </row>
    <row r="123" spans="1:14" x14ac:dyDescent="0.2">
      <c r="A123" s="296" t="s">
        <v>14</v>
      </c>
      <c r="B123" s="393"/>
      <c r="C123" s="394"/>
      <c r="D123" s="374"/>
      <c r="E123" s="399"/>
      <c r="F123" s="393"/>
      <c r="G123" s="394"/>
      <c r="H123" s="374"/>
      <c r="I123" s="372"/>
      <c r="J123" s="393"/>
      <c r="K123" s="394"/>
      <c r="L123" s="374"/>
      <c r="M123" s="372"/>
    </row>
    <row r="124" spans="1:14" ht="15.75" x14ac:dyDescent="0.2">
      <c r="A124" s="21" t="s">
        <v>393</v>
      </c>
      <c r="B124" s="377"/>
      <c r="C124" s="377"/>
      <c r="D124" s="374"/>
      <c r="E124" s="372"/>
      <c r="F124" s="377"/>
      <c r="G124" s="377"/>
      <c r="H124" s="374"/>
      <c r="I124" s="372"/>
      <c r="J124" s="366"/>
      <c r="K124" s="365"/>
      <c r="L124" s="374"/>
      <c r="M124" s="372"/>
    </row>
    <row r="125" spans="1:14" ht="15.75" x14ac:dyDescent="0.2">
      <c r="A125" s="21" t="s">
        <v>385</v>
      </c>
      <c r="B125" s="377"/>
      <c r="C125" s="377"/>
      <c r="D125" s="374"/>
      <c r="E125" s="372"/>
      <c r="F125" s="377"/>
      <c r="G125" s="377"/>
      <c r="H125" s="374"/>
      <c r="I125" s="372"/>
      <c r="J125" s="366"/>
      <c r="K125" s="365"/>
      <c r="L125" s="374"/>
      <c r="M125" s="372"/>
    </row>
    <row r="126" spans="1:14" ht="15.75" x14ac:dyDescent="0.2">
      <c r="A126" s="10" t="s">
        <v>386</v>
      </c>
      <c r="B126" s="387"/>
      <c r="C126" s="387"/>
      <c r="D126" s="378"/>
      <c r="E126" s="398"/>
      <c r="F126" s="387"/>
      <c r="G126" s="387"/>
      <c r="H126" s="378"/>
      <c r="I126" s="378"/>
      <c r="J126" s="388"/>
      <c r="K126" s="387"/>
      <c r="L126" s="378"/>
      <c r="M126" s="378"/>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358"/>
      <c r="C130" s="358"/>
      <c r="D130" s="358"/>
      <c r="E130" s="359"/>
      <c r="F130" s="358"/>
      <c r="G130" s="358"/>
      <c r="H130" s="358"/>
      <c r="I130" s="359"/>
      <c r="J130" s="358"/>
      <c r="K130" s="358"/>
      <c r="L130" s="358"/>
      <c r="M130" s="359"/>
    </row>
    <row r="131" spans="1:14" s="3" customFormat="1" x14ac:dyDescent="0.2">
      <c r="A131" s="144"/>
      <c r="B131" s="733" t="s">
        <v>0</v>
      </c>
      <c r="C131" s="734"/>
      <c r="D131" s="734"/>
      <c r="E131" s="356"/>
      <c r="F131" s="733" t="s">
        <v>1</v>
      </c>
      <c r="G131" s="734"/>
      <c r="H131" s="734"/>
      <c r="I131" s="357"/>
      <c r="J131" s="733" t="s">
        <v>2</v>
      </c>
      <c r="K131" s="734"/>
      <c r="L131" s="734"/>
      <c r="M131" s="357"/>
      <c r="N131" s="148"/>
    </row>
    <row r="132" spans="1:14" s="3" customFormat="1" x14ac:dyDescent="0.2">
      <c r="A132" s="140"/>
      <c r="B132" s="152" t="s">
        <v>421</v>
      </c>
      <c r="C132" s="152" t="s">
        <v>422</v>
      </c>
      <c r="D132" s="245" t="s">
        <v>3</v>
      </c>
      <c r="E132" s="305" t="s">
        <v>29</v>
      </c>
      <c r="F132" s="152" t="s">
        <v>421</v>
      </c>
      <c r="G132" s="152" t="s">
        <v>422</v>
      </c>
      <c r="H132" s="206" t="s">
        <v>3</v>
      </c>
      <c r="I132" s="305" t="s">
        <v>29</v>
      </c>
      <c r="J132" s="152" t="s">
        <v>421</v>
      </c>
      <c r="K132" s="152" t="s">
        <v>422</v>
      </c>
      <c r="L132" s="246" t="s">
        <v>3</v>
      </c>
      <c r="M132" s="162" t="s">
        <v>29</v>
      </c>
      <c r="N132" s="148"/>
    </row>
    <row r="133" spans="1:14" s="3" customFormat="1" x14ac:dyDescent="0.2">
      <c r="A133" s="708"/>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389</v>
      </c>
      <c r="B134" s="367"/>
      <c r="C134" s="368"/>
      <c r="D134" s="371"/>
      <c r="E134" s="372"/>
      <c r="F134" s="362"/>
      <c r="G134" s="363"/>
      <c r="H134" s="400"/>
      <c r="I134" s="372"/>
      <c r="J134" s="380"/>
      <c r="K134" s="380"/>
      <c r="L134" s="371"/>
      <c r="M134" s="372"/>
      <c r="N134" s="148"/>
    </row>
    <row r="135" spans="1:14" s="3" customFormat="1" ht="15.75" x14ac:dyDescent="0.2">
      <c r="A135" s="13" t="s">
        <v>394</v>
      </c>
      <c r="B135" s="367"/>
      <c r="C135" s="368"/>
      <c r="D135" s="374"/>
      <c r="E135" s="372"/>
      <c r="F135" s="367"/>
      <c r="G135" s="368"/>
      <c r="H135" s="401"/>
      <c r="I135" s="372"/>
      <c r="J135" s="373"/>
      <c r="K135" s="373"/>
      <c r="L135" s="374"/>
      <c r="M135" s="372"/>
      <c r="N135" s="148"/>
    </row>
    <row r="136" spans="1:14" s="3" customFormat="1" ht="15.75" x14ac:dyDescent="0.2">
      <c r="A136" s="13" t="s">
        <v>391</v>
      </c>
      <c r="B136" s="367"/>
      <c r="C136" s="368"/>
      <c r="D136" s="374"/>
      <c r="E136" s="372"/>
      <c r="F136" s="367"/>
      <c r="G136" s="368"/>
      <c r="H136" s="401"/>
      <c r="I136" s="372"/>
      <c r="J136" s="373"/>
      <c r="K136" s="373"/>
      <c r="L136" s="374"/>
      <c r="M136" s="372"/>
      <c r="N136" s="148"/>
    </row>
    <row r="137" spans="1:14" s="3" customFormat="1" ht="15.75" x14ac:dyDescent="0.2">
      <c r="A137" s="41" t="s">
        <v>392</v>
      </c>
      <c r="B137" s="369"/>
      <c r="C137" s="370"/>
      <c r="D137" s="378"/>
      <c r="E137" s="398"/>
      <c r="F137" s="369"/>
      <c r="G137" s="370"/>
      <c r="H137" s="402"/>
      <c r="I137" s="398"/>
      <c r="J137" s="379"/>
      <c r="K137" s="379"/>
      <c r="L137" s="378"/>
      <c r="M137" s="378"/>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13">
    <mergeCell ref="J131:L131"/>
    <mergeCell ref="F131:H131"/>
    <mergeCell ref="B131:D131"/>
    <mergeCell ref="J63:L63"/>
    <mergeCell ref="F63:H63"/>
    <mergeCell ref="B63:D63"/>
    <mergeCell ref="B44:D44"/>
    <mergeCell ref="J19:L19"/>
    <mergeCell ref="F19:H19"/>
    <mergeCell ref="B19:D19"/>
    <mergeCell ref="J4:L4"/>
    <mergeCell ref="F4:H4"/>
    <mergeCell ref="B4:D4"/>
  </mergeCells>
  <conditionalFormatting sqref="B50:C52">
    <cfRule type="expression" dxfId="380" priority="132">
      <formula>kvartal &lt; 4</formula>
    </cfRule>
  </conditionalFormatting>
  <conditionalFormatting sqref="A50:A52">
    <cfRule type="expression" dxfId="379" priority="12">
      <formula>kvartal &lt; 4</formula>
    </cfRule>
  </conditionalFormatting>
  <conditionalFormatting sqref="A69:A74">
    <cfRule type="expression" dxfId="378" priority="10">
      <formula>kvartal &lt; 4</formula>
    </cfRule>
  </conditionalFormatting>
  <conditionalFormatting sqref="A80:A85">
    <cfRule type="expression" dxfId="377" priority="9">
      <formula>kvartal &lt; 4</formula>
    </cfRule>
  </conditionalFormatting>
  <conditionalFormatting sqref="A90:A95">
    <cfRule type="expression" dxfId="376" priority="6">
      <formula>kvartal &lt; 4</formula>
    </cfRule>
  </conditionalFormatting>
  <conditionalFormatting sqref="A101:A106">
    <cfRule type="expression" dxfId="375" priority="5">
      <formula>kvartal &lt; 4</formula>
    </cfRule>
  </conditionalFormatting>
  <conditionalFormatting sqref="A115">
    <cfRule type="expression" dxfId="374" priority="4">
      <formula>kvartal &lt; 4</formula>
    </cfRule>
  </conditionalFormatting>
  <conditionalFormatting sqref="A123">
    <cfRule type="expression" dxfId="373" priority="3">
      <formula>kvartal &lt; 4</formula>
    </cfRule>
  </conditionalFormatting>
  <pageMargins left="0.70866141732283472" right="0.70866141732283472" top="0.78740157480314965" bottom="0.78740157480314965" header="0.31496062992125984" footer="0.31496062992125984"/>
  <pageSetup paperSize="9" scale="55" orientation="portrait" r:id="rId1"/>
  <rowBreaks count="1" manualBreakCount="1">
    <brk id="59" max="1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14"/>
  <dimension ref="A1:Q144"/>
  <sheetViews>
    <sheetView showGridLines="0" zoomScaleNormal="100" workbookViewId="0">
      <selection activeCell="A3" sqref="A3"/>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7" x14ac:dyDescent="0.2">
      <c r="A1" s="172" t="s">
        <v>135</v>
      </c>
      <c r="B1" s="709"/>
      <c r="C1" s="248" t="s">
        <v>125</v>
      </c>
      <c r="D1" s="26"/>
      <c r="E1" s="26"/>
      <c r="F1" s="26"/>
      <c r="G1" s="26"/>
      <c r="H1" s="26"/>
      <c r="I1" s="26"/>
      <c r="J1" s="26"/>
      <c r="K1" s="26"/>
      <c r="L1" s="26"/>
      <c r="M1" s="26"/>
    </row>
    <row r="2" spans="1:17" ht="15.75" x14ac:dyDescent="0.25">
      <c r="A2" s="165" t="s">
        <v>28</v>
      </c>
      <c r="B2" s="732"/>
      <c r="C2" s="732"/>
      <c r="D2" s="732"/>
      <c r="E2" s="299"/>
      <c r="F2" s="732"/>
      <c r="G2" s="732"/>
      <c r="H2" s="732"/>
      <c r="I2" s="299"/>
      <c r="J2" s="732"/>
      <c r="K2" s="732"/>
      <c r="L2" s="732"/>
      <c r="M2" s="299"/>
    </row>
    <row r="3" spans="1:17" ht="15.75" x14ac:dyDescent="0.25">
      <c r="A3" s="163"/>
      <c r="B3" s="299"/>
      <c r="C3" s="299"/>
      <c r="D3" s="299"/>
      <c r="E3" s="299"/>
      <c r="F3" s="299"/>
      <c r="G3" s="299"/>
      <c r="H3" s="299"/>
      <c r="I3" s="299"/>
      <c r="J3" s="299"/>
      <c r="K3" s="299"/>
      <c r="L3" s="299"/>
      <c r="M3" s="299"/>
    </row>
    <row r="4" spans="1:17" x14ac:dyDescent="0.2">
      <c r="A4" s="144"/>
      <c r="B4" s="733" t="s">
        <v>0</v>
      </c>
      <c r="C4" s="734"/>
      <c r="D4" s="734"/>
      <c r="E4" s="301"/>
      <c r="F4" s="733" t="s">
        <v>1</v>
      </c>
      <c r="G4" s="734"/>
      <c r="H4" s="734"/>
      <c r="I4" s="304"/>
      <c r="J4" s="733" t="s">
        <v>2</v>
      </c>
      <c r="K4" s="734"/>
      <c r="L4" s="734"/>
      <c r="M4" s="304"/>
    </row>
    <row r="5" spans="1:17" x14ac:dyDescent="0.2">
      <c r="A5" s="158"/>
      <c r="B5" s="152" t="s">
        <v>421</v>
      </c>
      <c r="C5" s="152" t="s">
        <v>422</v>
      </c>
      <c r="D5" s="245" t="s">
        <v>3</v>
      </c>
      <c r="E5" s="305" t="s">
        <v>29</v>
      </c>
      <c r="F5" s="152" t="s">
        <v>421</v>
      </c>
      <c r="G5" s="152" t="s">
        <v>422</v>
      </c>
      <c r="H5" s="245" t="s">
        <v>3</v>
      </c>
      <c r="I5" s="162" t="s">
        <v>29</v>
      </c>
      <c r="J5" s="152" t="s">
        <v>421</v>
      </c>
      <c r="K5" s="152" t="s">
        <v>422</v>
      </c>
      <c r="L5" s="245" t="s">
        <v>3</v>
      </c>
      <c r="M5" s="162" t="s">
        <v>29</v>
      </c>
    </row>
    <row r="6" spans="1:17" x14ac:dyDescent="0.2">
      <c r="A6" s="707"/>
      <c r="B6" s="156"/>
      <c r="C6" s="156"/>
      <c r="D6" s="246" t="s">
        <v>4</v>
      </c>
      <c r="E6" s="156" t="s">
        <v>30</v>
      </c>
      <c r="F6" s="161"/>
      <c r="G6" s="161"/>
      <c r="H6" s="245" t="s">
        <v>4</v>
      </c>
      <c r="I6" s="156" t="s">
        <v>30</v>
      </c>
      <c r="J6" s="161"/>
      <c r="K6" s="161"/>
      <c r="L6" s="245" t="s">
        <v>4</v>
      </c>
      <c r="M6" s="156" t="s">
        <v>30</v>
      </c>
    </row>
    <row r="7" spans="1:17" ht="15.75" x14ac:dyDescent="0.2">
      <c r="A7" s="14" t="s">
        <v>23</v>
      </c>
      <c r="B7" s="306">
        <v>194970</v>
      </c>
      <c r="C7" s="307">
        <v>203921</v>
      </c>
      <c r="D7" s="350">
        <f>IF(B7=0, "    ---- ", IF(ABS(ROUND(100/B7*C7-100,1))&lt;999,ROUND(100/B7*C7-100,1),IF(ROUND(100/B7*C7-100,1)&gt;999,999,-999)))</f>
        <v>4.5999999999999996</v>
      </c>
      <c r="E7" s="11">
        <f>IFERROR(100/'Skjema total MA'!C7*C7,0)</f>
        <v>5.5262213893583239</v>
      </c>
      <c r="F7" s="306"/>
      <c r="G7" s="307"/>
      <c r="H7" s="350"/>
      <c r="I7" s="160"/>
      <c r="J7" s="308">
        <f t="shared" ref="J7:K10" si="0">SUM(B7,F7)</f>
        <v>194970</v>
      </c>
      <c r="K7" s="309">
        <f t="shared" si="0"/>
        <v>203921</v>
      </c>
      <c r="L7" s="427">
        <f>IF(J7=0, "    ---- ", IF(ABS(ROUND(100/J7*K7-100,1))&lt;999,ROUND(100/J7*K7-100,1),IF(ROUND(100/J7*K7-100,1)&gt;999,999,-999)))</f>
        <v>4.5999999999999996</v>
      </c>
      <c r="M7" s="11">
        <f>IFERROR(100/'Skjema total MA'!I7*K7,0)</f>
        <v>1.9248772138719326</v>
      </c>
    </row>
    <row r="8" spans="1:17" ht="15.75" x14ac:dyDescent="0.2">
      <c r="A8" s="21" t="s">
        <v>25</v>
      </c>
      <c r="B8" s="281">
        <v>167757</v>
      </c>
      <c r="C8" s="282">
        <v>176281</v>
      </c>
      <c r="D8" s="166">
        <f t="shared" ref="D8:D10" si="1">IF(B8=0, "    ---- ", IF(ABS(ROUND(100/B8*C8-100,1))&lt;999,ROUND(100/B8*C8-100,1),IF(ROUND(100/B8*C8-100,1)&gt;999,999,-999)))</f>
        <v>5.0999999999999996</v>
      </c>
      <c r="E8" s="27">
        <f>IFERROR(100/'Skjema total MA'!C8*C8,0)</f>
        <v>7.286967990891605</v>
      </c>
      <c r="F8" s="285"/>
      <c r="G8" s="286"/>
      <c r="H8" s="166"/>
      <c r="I8" s="175"/>
      <c r="J8" s="234">
        <f t="shared" si="0"/>
        <v>167757</v>
      </c>
      <c r="K8" s="287">
        <f t="shared" si="0"/>
        <v>176281</v>
      </c>
      <c r="L8" s="166">
        <f t="shared" ref="L8:L9" si="2">IF(J8=0, "    ---- ", IF(ABS(ROUND(100/J8*K8-100,1))&lt;999,ROUND(100/J8*K8-100,1),IF(ROUND(100/J8*K8-100,1)&gt;999,999,-999)))</f>
        <v>5.0999999999999996</v>
      </c>
      <c r="M8" s="27">
        <f>IFERROR(100/'Skjema total MA'!I8*K8,0)</f>
        <v>7.286967990891605</v>
      </c>
    </row>
    <row r="9" spans="1:17" ht="15.75" x14ac:dyDescent="0.2">
      <c r="A9" s="21" t="s">
        <v>24</v>
      </c>
      <c r="B9" s="281">
        <v>27213</v>
      </c>
      <c r="C9" s="282">
        <v>27640</v>
      </c>
      <c r="D9" s="166">
        <f t="shared" si="1"/>
        <v>1.6</v>
      </c>
      <c r="E9" s="27">
        <f>IFERROR(100/'Skjema total MA'!C9*C9,0)</f>
        <v>3.6636521502970525</v>
      </c>
      <c r="F9" s="285"/>
      <c r="G9" s="286"/>
      <c r="H9" s="166"/>
      <c r="I9" s="175"/>
      <c r="J9" s="234">
        <f t="shared" si="0"/>
        <v>27213</v>
      </c>
      <c r="K9" s="287">
        <f t="shared" si="0"/>
        <v>27640</v>
      </c>
      <c r="L9" s="166">
        <f t="shared" si="2"/>
        <v>1.6</v>
      </c>
      <c r="M9" s="27">
        <f>IFERROR(100/'Skjema total MA'!I9*K9,0)</f>
        <v>3.6636521502970525</v>
      </c>
    </row>
    <row r="10" spans="1:17" ht="15.75" x14ac:dyDescent="0.2">
      <c r="A10" s="13" t="s">
        <v>365</v>
      </c>
      <c r="B10" s="310">
        <v>122098</v>
      </c>
      <c r="C10" s="311">
        <v>109406</v>
      </c>
      <c r="D10" s="171">
        <f t="shared" si="1"/>
        <v>-10.4</v>
      </c>
      <c r="E10" s="11">
        <f>IFERROR(100/'Skjema total MA'!C10*C10,0)</f>
        <v>0.6067961941584028</v>
      </c>
      <c r="F10" s="310"/>
      <c r="G10" s="311"/>
      <c r="H10" s="171"/>
      <c r="I10" s="160"/>
      <c r="J10" s="308">
        <f t="shared" si="0"/>
        <v>122098</v>
      </c>
      <c r="K10" s="309">
        <f t="shared" si="0"/>
        <v>109406</v>
      </c>
      <c r="L10" s="428">
        <f t="shared" ref="L10" si="3">IF(J10=0, "    ---- ", IF(ABS(ROUND(100/J10*K10-100,1))&lt;999,ROUND(100/J10*K10-100,1),IF(ROUND(100/J10*K10-100,1)&gt;999,999,-999)))</f>
        <v>-10.4</v>
      </c>
      <c r="M10" s="11">
        <f>IFERROR(100/'Skjema total MA'!I10*K10,0)</f>
        <v>0.1490036589479731</v>
      </c>
    </row>
    <row r="11" spans="1:17" s="43" customFormat="1" ht="15.75" x14ac:dyDescent="0.2">
      <c r="A11" s="13" t="s">
        <v>366</v>
      </c>
      <c r="B11" s="310"/>
      <c r="C11" s="311"/>
      <c r="D11" s="171"/>
      <c r="E11" s="11"/>
      <c r="F11" s="310"/>
      <c r="G11" s="311"/>
      <c r="H11" s="171"/>
      <c r="I11" s="160"/>
      <c r="J11" s="308"/>
      <c r="K11" s="309"/>
      <c r="L11" s="428"/>
      <c r="M11" s="11"/>
      <c r="N11" s="143"/>
      <c r="Q11" s="143"/>
    </row>
    <row r="12" spans="1:17" s="43" customFormat="1" ht="15.75" x14ac:dyDescent="0.2">
      <c r="A12" s="41" t="s">
        <v>367</v>
      </c>
      <c r="B12" s="312"/>
      <c r="C12" s="313"/>
      <c r="D12" s="169"/>
      <c r="E12" s="36"/>
      <c r="F12" s="312"/>
      <c r="G12" s="313"/>
      <c r="H12" s="169"/>
      <c r="I12" s="169"/>
      <c r="J12" s="314"/>
      <c r="K12" s="315"/>
      <c r="L12" s="429"/>
      <c r="M12" s="36"/>
      <c r="N12" s="143"/>
    </row>
    <row r="13" spans="1:17" s="43" customFormat="1" x14ac:dyDescent="0.2">
      <c r="A13" s="168"/>
      <c r="B13" s="145"/>
      <c r="C13" s="33"/>
      <c r="D13" s="159"/>
      <c r="E13" s="159"/>
      <c r="F13" s="145"/>
      <c r="G13" s="33"/>
      <c r="H13" s="159"/>
      <c r="I13" s="159"/>
      <c r="J13" s="48"/>
      <c r="K13" s="48"/>
      <c r="L13" s="159"/>
      <c r="M13" s="159"/>
      <c r="N13" s="143"/>
    </row>
    <row r="14" spans="1:17" x14ac:dyDescent="0.2">
      <c r="A14" s="153" t="s">
        <v>275</v>
      </c>
      <c r="B14" s="26"/>
    </row>
    <row r="15" spans="1:17" x14ac:dyDescent="0.2">
      <c r="F15" s="146"/>
      <c r="G15" s="146"/>
      <c r="H15" s="146"/>
      <c r="I15" s="146"/>
      <c r="J15" s="146"/>
      <c r="K15" s="146"/>
      <c r="L15" s="146"/>
      <c r="M15" s="146"/>
    </row>
    <row r="16" spans="1:17" s="3" customFormat="1" ht="15.75" x14ac:dyDescent="0.25">
      <c r="A16" s="164"/>
      <c r="B16" s="148"/>
      <c r="C16" s="154"/>
      <c r="D16" s="154"/>
      <c r="E16" s="154"/>
      <c r="F16" s="154"/>
      <c r="G16" s="154"/>
      <c r="H16" s="154"/>
      <c r="I16" s="154"/>
      <c r="J16" s="154"/>
      <c r="K16" s="154"/>
      <c r="L16" s="154"/>
      <c r="M16" s="154"/>
      <c r="N16" s="148"/>
    </row>
    <row r="17" spans="1:14" ht="15.75" x14ac:dyDescent="0.25">
      <c r="A17" s="147" t="s">
        <v>272</v>
      </c>
      <c r="B17" s="157"/>
      <c r="C17" s="157"/>
      <c r="D17" s="151"/>
      <c r="E17" s="151"/>
      <c r="F17" s="157"/>
      <c r="G17" s="157"/>
      <c r="H17" s="157"/>
      <c r="I17" s="157"/>
      <c r="J17" s="157"/>
      <c r="K17" s="157"/>
      <c r="L17" s="157"/>
      <c r="M17" s="157"/>
    </row>
    <row r="18" spans="1:14" ht="15.75" x14ac:dyDescent="0.25">
      <c r="B18" s="735"/>
      <c r="C18" s="735"/>
      <c r="D18" s="735"/>
      <c r="E18" s="299"/>
      <c r="F18" s="735"/>
      <c r="G18" s="735"/>
      <c r="H18" s="735"/>
      <c r="I18" s="299"/>
      <c r="J18" s="735"/>
      <c r="K18" s="735"/>
      <c r="L18" s="735"/>
      <c r="M18" s="299"/>
    </row>
    <row r="19" spans="1:14" x14ac:dyDescent="0.2">
      <c r="A19" s="144"/>
      <c r="B19" s="733" t="s">
        <v>0</v>
      </c>
      <c r="C19" s="734"/>
      <c r="D19" s="734"/>
      <c r="E19" s="301"/>
      <c r="F19" s="733" t="s">
        <v>1</v>
      </c>
      <c r="G19" s="734"/>
      <c r="H19" s="734"/>
      <c r="I19" s="304"/>
      <c r="J19" s="733" t="s">
        <v>2</v>
      </c>
      <c r="K19" s="734"/>
      <c r="L19" s="734"/>
      <c r="M19" s="304"/>
    </row>
    <row r="20" spans="1:14" x14ac:dyDescent="0.2">
      <c r="A20" s="140" t="s">
        <v>5</v>
      </c>
      <c r="B20" s="152" t="s">
        <v>421</v>
      </c>
      <c r="C20" s="152" t="s">
        <v>422</v>
      </c>
      <c r="D20" s="162" t="s">
        <v>3</v>
      </c>
      <c r="E20" s="305" t="s">
        <v>29</v>
      </c>
      <c r="F20" s="152" t="s">
        <v>421</v>
      </c>
      <c r="G20" s="152" t="s">
        <v>422</v>
      </c>
      <c r="H20" s="162" t="s">
        <v>3</v>
      </c>
      <c r="I20" s="162" t="s">
        <v>29</v>
      </c>
      <c r="J20" s="152" t="s">
        <v>421</v>
      </c>
      <c r="K20" s="152" t="s">
        <v>422</v>
      </c>
      <c r="L20" s="162" t="s">
        <v>3</v>
      </c>
      <c r="M20" s="162" t="s">
        <v>29</v>
      </c>
    </row>
    <row r="21" spans="1:14" x14ac:dyDescent="0.2">
      <c r="A21" s="708"/>
      <c r="B21" s="156"/>
      <c r="C21" s="156"/>
      <c r="D21" s="246" t="s">
        <v>4</v>
      </c>
      <c r="E21" s="156" t="s">
        <v>30</v>
      </c>
      <c r="F21" s="161"/>
      <c r="G21" s="161"/>
      <c r="H21" s="245" t="s">
        <v>4</v>
      </c>
      <c r="I21" s="156" t="s">
        <v>30</v>
      </c>
      <c r="J21" s="161"/>
      <c r="K21" s="161"/>
      <c r="L21" s="156" t="s">
        <v>4</v>
      </c>
      <c r="M21" s="156" t="s">
        <v>30</v>
      </c>
    </row>
    <row r="22" spans="1:14" ht="15.75" x14ac:dyDescent="0.2">
      <c r="A22" s="14" t="s">
        <v>23</v>
      </c>
      <c r="B22" s="310">
        <v>182758</v>
      </c>
      <c r="C22" s="310">
        <v>192216</v>
      </c>
      <c r="D22" s="350">
        <f t="shared" ref="D22:D32" si="4">IF(B22=0, "    ---- ", IF(ABS(ROUND(100/B22*C22-100,1))&lt;999,ROUND(100/B22*C22-100,1),IF(ROUND(100/B22*C22-100,1)&gt;999,999,-999)))</f>
        <v>5.2</v>
      </c>
      <c r="E22" s="11">
        <f>IFERROR(100/'Skjema total MA'!C22*C22,0)</f>
        <v>14.36035184112043</v>
      </c>
      <c r="F22" s="318">
        <v>9168</v>
      </c>
      <c r="G22" s="318">
        <v>9375</v>
      </c>
      <c r="H22" s="350">
        <f t="shared" ref="H22:H33" si="5">IF(F22=0, "    ---- ", IF(ABS(ROUND(100/F22*G22-100,1))&lt;999,ROUND(100/F22*G22-100,1),IF(ROUND(100/F22*G22-100,1)&gt;999,999,-999)))</f>
        <v>2.2999999999999998</v>
      </c>
      <c r="I22" s="11">
        <f>IFERROR(100/'Skjema total MA'!F22*G22,0)</f>
        <v>1.0149602665816726</v>
      </c>
      <c r="J22" s="316">
        <f t="shared" ref="J22:K29" si="6">SUM(B22,F22)</f>
        <v>191926</v>
      </c>
      <c r="K22" s="316">
        <f t="shared" si="6"/>
        <v>201591</v>
      </c>
      <c r="L22" s="427">
        <f t="shared" ref="L22:L33" si="7">IF(J22=0, "    ---- ", IF(ABS(ROUND(100/J22*K22-100,1))&lt;999,ROUND(100/J22*K22-100,1),IF(ROUND(100/J22*K22-100,1)&gt;999,999,-999)))</f>
        <v>5</v>
      </c>
      <c r="M22" s="24">
        <f>IFERROR(100/'Skjema total MA'!I22*K22,0)</f>
        <v>8.9112802061403382</v>
      </c>
    </row>
    <row r="23" spans="1:14" ht="15.75" x14ac:dyDescent="0.2">
      <c r="A23" s="584" t="s">
        <v>368</v>
      </c>
      <c r="B23" s="281">
        <v>182208</v>
      </c>
      <c r="C23" s="281">
        <v>191911</v>
      </c>
      <c r="D23" s="166">
        <f t="shared" si="4"/>
        <v>5.3</v>
      </c>
      <c r="E23" s="11">
        <f>IFERROR(100/'Skjema total MA'!C23*C23,0)</f>
        <v>38.271912480754644</v>
      </c>
      <c r="F23" s="290"/>
      <c r="G23" s="290"/>
      <c r="H23" s="166"/>
      <c r="I23" s="417"/>
      <c r="J23" s="290">
        <f t="shared" ref="J23:J26" si="8">SUM(B23,F23)</f>
        <v>182208</v>
      </c>
      <c r="K23" s="290">
        <f t="shared" ref="K23:K26" si="9">SUM(C23,G23)</f>
        <v>191911</v>
      </c>
      <c r="L23" s="166">
        <f t="shared" si="7"/>
        <v>5.3</v>
      </c>
      <c r="M23" s="23">
        <f>IFERROR(100/'Skjema total MA'!I23*K23,0)</f>
        <v>30.91398929435417</v>
      </c>
    </row>
    <row r="24" spans="1:14" ht="15.75" x14ac:dyDescent="0.2">
      <c r="A24" s="584" t="s">
        <v>369</v>
      </c>
      <c r="B24" s="281"/>
      <c r="C24" s="281"/>
      <c r="D24" s="166"/>
      <c r="E24" s="11"/>
      <c r="F24" s="290"/>
      <c r="G24" s="290"/>
      <c r="H24" s="166"/>
      <c r="I24" s="417"/>
      <c r="J24" s="290"/>
      <c r="K24" s="290"/>
      <c r="L24" s="166"/>
      <c r="M24" s="23"/>
    </row>
    <row r="25" spans="1:14" ht="15.75" x14ac:dyDescent="0.2">
      <c r="A25" s="584" t="s">
        <v>370</v>
      </c>
      <c r="B25" s="281">
        <v>550</v>
      </c>
      <c r="C25" s="281">
        <v>305</v>
      </c>
      <c r="D25" s="166">
        <f t="shared" si="4"/>
        <v>-44.5</v>
      </c>
      <c r="E25" s="11">
        <f>IFERROR(100/'Skjema total MA'!C25*C25,0)</f>
        <v>1.2616599092713472</v>
      </c>
      <c r="F25" s="290">
        <v>2917</v>
      </c>
      <c r="G25" s="290">
        <v>2672</v>
      </c>
      <c r="H25" s="166">
        <f t="shared" si="5"/>
        <v>-8.4</v>
      </c>
      <c r="I25" s="417">
        <f>IFERROR(100/'Skjema total MA'!F25*G25,0)</f>
        <v>14.734117720228587</v>
      </c>
      <c r="J25" s="290">
        <f t="shared" si="8"/>
        <v>3467</v>
      </c>
      <c r="K25" s="290">
        <f t="shared" si="9"/>
        <v>2977</v>
      </c>
      <c r="L25" s="166">
        <f t="shared" si="7"/>
        <v>-14.1</v>
      </c>
      <c r="M25" s="23">
        <f>IFERROR(100/'Skjema total MA'!I25*K25,0)</f>
        <v>7.0362808815569746</v>
      </c>
    </row>
    <row r="26" spans="1:14" ht="15.75" x14ac:dyDescent="0.2">
      <c r="A26" s="584" t="s">
        <v>371</v>
      </c>
      <c r="B26" s="281"/>
      <c r="C26" s="281"/>
      <c r="D26" s="166"/>
      <c r="E26" s="11"/>
      <c r="F26" s="290">
        <v>6251</v>
      </c>
      <c r="G26" s="290">
        <v>6703</v>
      </c>
      <c r="H26" s="166">
        <f t="shared" si="5"/>
        <v>7.2</v>
      </c>
      <c r="I26" s="417">
        <f>IFERROR(100/'Skjema total MA'!F26*G26,0)</f>
        <v>0.85363896527600491</v>
      </c>
      <c r="J26" s="290">
        <f t="shared" si="8"/>
        <v>6251</v>
      </c>
      <c r="K26" s="290">
        <f t="shared" si="9"/>
        <v>6703</v>
      </c>
      <c r="L26" s="166">
        <f t="shared" si="7"/>
        <v>7.2</v>
      </c>
      <c r="M26" s="23">
        <f>IFERROR(100/'Skjema total MA'!I26*K26,0)</f>
        <v>0.85363896527600491</v>
      </c>
    </row>
    <row r="27" spans="1:14" x14ac:dyDescent="0.2">
      <c r="A27" s="584" t="s">
        <v>11</v>
      </c>
      <c r="B27" s="281"/>
      <c r="C27" s="281"/>
      <c r="D27" s="166"/>
      <c r="E27" s="11"/>
      <c r="F27" s="290"/>
      <c r="G27" s="290"/>
      <c r="H27" s="166"/>
      <c r="I27" s="417"/>
      <c r="J27" s="290"/>
      <c r="K27" s="290"/>
      <c r="L27" s="166"/>
      <c r="M27" s="23"/>
    </row>
    <row r="28" spans="1:14" ht="15.75" x14ac:dyDescent="0.2">
      <c r="A28" s="49" t="s">
        <v>276</v>
      </c>
      <c r="B28" s="44">
        <v>182208</v>
      </c>
      <c r="C28" s="287">
        <v>191911</v>
      </c>
      <c r="D28" s="166">
        <f t="shared" si="4"/>
        <v>5.3</v>
      </c>
      <c r="E28" s="11">
        <f>IFERROR(100/'Skjema total MA'!C28*C28,0)</f>
        <v>12.957320179203698</v>
      </c>
      <c r="F28" s="234"/>
      <c r="G28" s="287"/>
      <c r="H28" s="166"/>
      <c r="I28" s="27"/>
      <c r="J28" s="44">
        <f t="shared" si="6"/>
        <v>182208</v>
      </c>
      <c r="K28" s="44">
        <f t="shared" si="6"/>
        <v>191911</v>
      </c>
      <c r="L28" s="254">
        <f t="shared" si="7"/>
        <v>5.3</v>
      </c>
      <c r="M28" s="23">
        <f>IFERROR(100/'Skjema total MA'!I28*K28,0)</f>
        <v>12.957320179203698</v>
      </c>
    </row>
    <row r="29" spans="1:14" s="3" customFormat="1" ht="15.75" x14ac:dyDescent="0.2">
      <c r="A29" s="13" t="s">
        <v>365</v>
      </c>
      <c r="B29" s="236">
        <v>636309</v>
      </c>
      <c r="C29" s="236">
        <v>737400</v>
      </c>
      <c r="D29" s="171">
        <f t="shared" si="4"/>
        <v>15.9</v>
      </c>
      <c r="E29" s="11">
        <f>IFERROR(100/'Skjema total MA'!C29*C29,0)</f>
        <v>1.6042728362417864</v>
      </c>
      <c r="F29" s="308">
        <v>141777.29999999999</v>
      </c>
      <c r="G29" s="308">
        <v>167802</v>
      </c>
      <c r="H29" s="171">
        <f t="shared" si="5"/>
        <v>18.399999999999999</v>
      </c>
      <c r="I29" s="11">
        <f>IFERROR(100/'Skjema total MA'!F29*G29,0)</f>
        <v>0.73375295922021755</v>
      </c>
      <c r="J29" s="236">
        <f t="shared" si="6"/>
        <v>778086.3</v>
      </c>
      <c r="K29" s="236">
        <f t="shared" si="6"/>
        <v>905202</v>
      </c>
      <c r="L29" s="428">
        <f t="shared" si="7"/>
        <v>16.3</v>
      </c>
      <c r="M29" s="24">
        <f>IFERROR(100/'Skjema total MA'!I29*K29,0)</f>
        <v>1.3150553829837754</v>
      </c>
      <c r="N29" s="148"/>
    </row>
    <row r="30" spans="1:14" s="3" customFormat="1" ht="15.75" x14ac:dyDescent="0.2">
      <c r="A30" s="584" t="s">
        <v>368</v>
      </c>
      <c r="B30" s="281">
        <v>634489</v>
      </c>
      <c r="C30" s="281">
        <v>736405</v>
      </c>
      <c r="D30" s="166">
        <f t="shared" si="4"/>
        <v>16.100000000000001</v>
      </c>
      <c r="E30" s="11">
        <f>IFERROR(100/'Skjema total MA'!C30*C30,0)</f>
        <v>5.3687522490879207</v>
      </c>
      <c r="F30" s="290"/>
      <c r="G30" s="290"/>
      <c r="H30" s="166"/>
      <c r="I30" s="417"/>
      <c r="J30" s="290">
        <f t="shared" ref="J30:J33" si="10">SUM(B30,F30)</f>
        <v>634489</v>
      </c>
      <c r="K30" s="290">
        <f t="shared" ref="K30:K33" si="11">SUM(C30,G30)</f>
        <v>736405</v>
      </c>
      <c r="L30" s="166">
        <f t="shared" si="7"/>
        <v>16.100000000000001</v>
      </c>
      <c r="M30" s="23">
        <f>IFERROR(100/'Skjema total MA'!I30*K30,0)</f>
        <v>4.0564493317914607</v>
      </c>
      <c r="N30" s="148"/>
    </row>
    <row r="31" spans="1:14" s="3" customFormat="1" ht="15.75" x14ac:dyDescent="0.2">
      <c r="A31" s="584" t="s">
        <v>369</v>
      </c>
      <c r="B31" s="281"/>
      <c r="C31" s="281"/>
      <c r="D31" s="166"/>
      <c r="E31" s="11"/>
      <c r="F31" s="290"/>
      <c r="G31" s="290"/>
      <c r="H31" s="166"/>
      <c r="I31" s="417"/>
      <c r="J31" s="290"/>
      <c r="K31" s="290"/>
      <c r="L31" s="166"/>
      <c r="M31" s="23"/>
      <c r="N31" s="148"/>
    </row>
    <row r="32" spans="1:14" ht="15.75" x14ac:dyDescent="0.2">
      <c r="A32" s="584" t="s">
        <v>370</v>
      </c>
      <c r="B32" s="281">
        <v>1820</v>
      </c>
      <c r="C32" s="281">
        <v>995</v>
      </c>
      <c r="D32" s="166">
        <f t="shared" si="4"/>
        <v>-45.3</v>
      </c>
      <c r="E32" s="11">
        <f>IFERROR(100/'Skjema total MA'!C32*C32,0)</f>
        <v>3.3716194836202293E-2</v>
      </c>
      <c r="F32" s="290">
        <v>108970.7</v>
      </c>
      <c r="G32" s="290">
        <v>119510</v>
      </c>
      <c r="H32" s="166">
        <f t="shared" si="5"/>
        <v>9.6999999999999993</v>
      </c>
      <c r="I32" s="417">
        <f>IFERROR(100/'Skjema total MA'!F32*G32,0)</f>
        <v>2.4389019001860288</v>
      </c>
      <c r="J32" s="290">
        <f t="shared" si="10"/>
        <v>110790.7</v>
      </c>
      <c r="K32" s="290">
        <f t="shared" si="11"/>
        <v>120505</v>
      </c>
      <c r="L32" s="166">
        <f t="shared" si="7"/>
        <v>8.8000000000000007</v>
      </c>
      <c r="M32" s="23">
        <f>IFERROR(100/'Skjema total MA'!I32*K32,0)</f>
        <v>1.5348491509685658</v>
      </c>
    </row>
    <row r="33" spans="1:14" ht="15.75" x14ac:dyDescent="0.2">
      <c r="A33" s="584" t="s">
        <v>371</v>
      </c>
      <c r="B33" s="281"/>
      <c r="C33" s="281"/>
      <c r="D33" s="166"/>
      <c r="E33" s="11"/>
      <c r="F33" s="290">
        <v>32806.6</v>
      </c>
      <c r="G33" s="290">
        <v>48292</v>
      </c>
      <c r="H33" s="166">
        <f t="shared" si="5"/>
        <v>47.2</v>
      </c>
      <c r="I33" s="417">
        <f>IFERROR(100/'Skjema total MA'!F34*G33,0)</f>
        <v>443.53125548234726</v>
      </c>
      <c r="J33" s="290">
        <f t="shared" si="10"/>
        <v>32806.6</v>
      </c>
      <c r="K33" s="290">
        <f t="shared" si="11"/>
        <v>48292</v>
      </c>
      <c r="L33" s="166">
        <f t="shared" si="7"/>
        <v>47.2</v>
      </c>
      <c r="M33" s="23">
        <f>IFERROR(100/'Skjema total MA'!I34*K33,0)</f>
        <v>192.32063949344598</v>
      </c>
    </row>
    <row r="34" spans="1:14" ht="15.75" x14ac:dyDescent="0.2">
      <c r="A34" s="13" t="s">
        <v>366</v>
      </c>
      <c r="B34" s="236"/>
      <c r="C34" s="309"/>
      <c r="D34" s="171"/>
      <c r="E34" s="11"/>
      <c r="F34" s="308"/>
      <c r="G34" s="309"/>
      <c r="H34" s="171"/>
      <c r="I34" s="11"/>
      <c r="J34" s="236"/>
      <c r="K34" s="236"/>
      <c r="L34" s="428"/>
      <c r="M34" s="24"/>
    </row>
    <row r="35" spans="1:14" ht="15.75" x14ac:dyDescent="0.2">
      <c r="A35" s="13" t="s">
        <v>367</v>
      </c>
      <c r="B35" s="236"/>
      <c r="C35" s="309"/>
      <c r="D35" s="171"/>
      <c r="E35" s="11"/>
      <c r="F35" s="308"/>
      <c r="G35" s="309"/>
      <c r="H35" s="171"/>
      <c r="I35" s="11"/>
      <c r="J35" s="236"/>
      <c r="K35" s="236"/>
      <c r="L35" s="428"/>
      <c r="M35" s="24"/>
    </row>
    <row r="36" spans="1:14" ht="15.75" x14ac:dyDescent="0.2">
      <c r="A36" s="12" t="s">
        <v>284</v>
      </c>
      <c r="B36" s="236"/>
      <c r="C36" s="309"/>
      <c r="D36" s="171"/>
      <c r="E36" s="11"/>
      <c r="F36" s="319"/>
      <c r="G36" s="320"/>
      <c r="H36" s="171"/>
      <c r="I36" s="434"/>
      <c r="J36" s="236"/>
      <c r="K36" s="236"/>
      <c r="L36" s="428"/>
      <c r="M36" s="24"/>
    </row>
    <row r="37" spans="1:14" ht="15.75" x14ac:dyDescent="0.2">
      <c r="A37" s="12" t="s">
        <v>373</v>
      </c>
      <c r="B37" s="236"/>
      <c r="C37" s="309"/>
      <c r="D37" s="171"/>
      <c r="E37" s="11"/>
      <c r="F37" s="319"/>
      <c r="G37" s="321"/>
      <c r="H37" s="171"/>
      <c r="I37" s="434"/>
      <c r="J37" s="236"/>
      <c r="K37" s="236"/>
      <c r="L37" s="428"/>
      <c r="M37" s="24"/>
    </row>
    <row r="38" spans="1:14" ht="15.75" x14ac:dyDescent="0.2">
      <c r="A38" s="12" t="s">
        <v>374</v>
      </c>
      <c r="B38" s="236"/>
      <c r="C38" s="309"/>
      <c r="D38" s="171"/>
      <c r="E38" s="24"/>
      <c r="F38" s="319"/>
      <c r="G38" s="320"/>
      <c r="H38" s="171"/>
      <c r="I38" s="434"/>
      <c r="J38" s="236"/>
      <c r="K38" s="236"/>
      <c r="L38" s="428"/>
      <c r="M38" s="24"/>
    </row>
    <row r="39" spans="1:14" ht="15.75" x14ac:dyDescent="0.2">
      <c r="A39" s="18" t="s">
        <v>375</v>
      </c>
      <c r="B39" s="276"/>
      <c r="C39" s="315"/>
      <c r="D39" s="169"/>
      <c r="E39" s="36"/>
      <c r="F39" s="322"/>
      <c r="G39" s="323"/>
      <c r="H39" s="169"/>
      <c r="I39" s="36"/>
      <c r="J39" s="236"/>
      <c r="K39" s="236"/>
      <c r="L39" s="429"/>
      <c r="M39" s="36"/>
    </row>
    <row r="40" spans="1:14" ht="15.75" x14ac:dyDescent="0.25">
      <c r="A40" s="47"/>
      <c r="B40" s="253"/>
      <c r="C40" s="253"/>
      <c r="D40" s="736"/>
      <c r="E40" s="736"/>
      <c r="F40" s="736"/>
      <c r="G40" s="736"/>
      <c r="H40" s="736"/>
      <c r="I40" s="736"/>
      <c r="J40" s="736"/>
      <c r="K40" s="736"/>
      <c r="L40" s="736"/>
      <c r="M40" s="302"/>
    </row>
    <row r="41" spans="1:14" x14ac:dyDescent="0.2">
      <c r="A41" s="155"/>
    </row>
    <row r="42" spans="1:14" ht="15.75" x14ac:dyDescent="0.25">
      <c r="A42" s="147" t="s">
        <v>273</v>
      </c>
      <c r="B42" s="732"/>
      <c r="C42" s="732"/>
      <c r="D42" s="732"/>
      <c r="E42" s="299"/>
      <c r="F42" s="737"/>
      <c r="G42" s="737"/>
      <c r="H42" s="737"/>
      <c r="I42" s="302"/>
      <c r="J42" s="737"/>
      <c r="K42" s="737"/>
      <c r="L42" s="737"/>
      <c r="M42" s="302"/>
    </row>
    <row r="43" spans="1:14" ht="15.75" x14ac:dyDescent="0.25">
      <c r="A43" s="163"/>
      <c r="B43" s="303"/>
      <c r="C43" s="303"/>
      <c r="D43" s="303"/>
      <c r="E43" s="303"/>
      <c r="F43" s="302"/>
      <c r="G43" s="302"/>
      <c r="H43" s="302"/>
      <c r="I43" s="302"/>
      <c r="J43" s="302"/>
      <c r="K43" s="302"/>
      <c r="L43" s="302"/>
      <c r="M43" s="302"/>
    </row>
    <row r="44" spans="1:14" ht="15.75" x14ac:dyDescent="0.25">
      <c r="A44" s="247"/>
      <c r="B44" s="733" t="s">
        <v>0</v>
      </c>
      <c r="C44" s="734"/>
      <c r="D44" s="734"/>
      <c r="E44" s="243"/>
      <c r="F44" s="302"/>
      <c r="G44" s="302"/>
      <c r="H44" s="302"/>
      <c r="I44" s="302"/>
      <c r="J44" s="302"/>
      <c r="K44" s="302"/>
      <c r="L44" s="302"/>
      <c r="M44" s="302"/>
    </row>
    <row r="45" spans="1:14" s="3" customFormat="1" x14ac:dyDescent="0.2">
      <c r="A45" s="140"/>
      <c r="B45" s="152" t="s">
        <v>421</v>
      </c>
      <c r="C45" s="152" t="s">
        <v>422</v>
      </c>
      <c r="D45" s="162" t="s">
        <v>3</v>
      </c>
      <c r="E45" s="162" t="s">
        <v>29</v>
      </c>
      <c r="F45" s="174"/>
      <c r="G45" s="174"/>
      <c r="H45" s="173"/>
      <c r="I45" s="173"/>
      <c r="J45" s="174"/>
      <c r="K45" s="174"/>
      <c r="L45" s="173"/>
      <c r="M45" s="173"/>
      <c r="N45" s="148"/>
    </row>
    <row r="46" spans="1:14" s="3" customFormat="1" x14ac:dyDescent="0.2">
      <c r="A46" s="708"/>
      <c r="B46" s="244"/>
      <c r="C46" s="244"/>
      <c r="D46" s="245" t="s">
        <v>4</v>
      </c>
      <c r="E46" s="156" t="s">
        <v>30</v>
      </c>
      <c r="F46" s="173"/>
      <c r="G46" s="173"/>
      <c r="H46" s="173"/>
      <c r="I46" s="173"/>
      <c r="J46" s="173"/>
      <c r="K46" s="173"/>
      <c r="L46" s="173"/>
      <c r="M46" s="173"/>
      <c r="N46" s="148"/>
    </row>
    <row r="47" spans="1:14" s="3" customFormat="1" ht="15.75" x14ac:dyDescent="0.2">
      <c r="A47" s="14" t="s">
        <v>23</v>
      </c>
      <c r="B47" s="310">
        <v>33252</v>
      </c>
      <c r="C47" s="311">
        <v>34026</v>
      </c>
      <c r="D47" s="427">
        <f t="shared" ref="D47:D48" si="12">IF(B47=0, "    ---- ", IF(ABS(ROUND(100/B47*C47-100,1))&lt;999,ROUND(100/B47*C47-100,1),IF(ROUND(100/B47*C47-100,1)&gt;999,999,-999)))</f>
        <v>2.2999999999999998</v>
      </c>
      <c r="E47" s="11">
        <f>IFERROR(100/'Skjema total MA'!C47*C47,0)</f>
        <v>0.80514242099084476</v>
      </c>
      <c r="F47" s="145"/>
      <c r="G47" s="33"/>
      <c r="H47" s="159"/>
      <c r="I47" s="159"/>
      <c r="J47" s="37"/>
      <c r="K47" s="37"/>
      <c r="L47" s="159"/>
      <c r="M47" s="159"/>
      <c r="N47" s="148"/>
    </row>
    <row r="48" spans="1:14" s="3" customFormat="1" ht="15.75" x14ac:dyDescent="0.2">
      <c r="A48" s="38" t="s">
        <v>376</v>
      </c>
      <c r="B48" s="281">
        <v>33252</v>
      </c>
      <c r="C48" s="282">
        <v>34026</v>
      </c>
      <c r="D48" s="254">
        <f t="shared" si="12"/>
        <v>2.2999999999999998</v>
      </c>
      <c r="E48" s="27">
        <f>IFERROR(100/'Skjema total MA'!C48*C48,0)</f>
        <v>1.4303401863893801</v>
      </c>
      <c r="F48" s="145"/>
      <c r="G48" s="33"/>
      <c r="H48" s="145"/>
      <c r="I48" s="145"/>
      <c r="J48" s="33"/>
      <c r="K48" s="33"/>
      <c r="L48" s="159"/>
      <c r="M48" s="159"/>
      <c r="N48" s="148"/>
    </row>
    <row r="49" spans="1:14" s="3" customFormat="1" ht="15.75" x14ac:dyDescent="0.2">
      <c r="A49" s="38" t="s">
        <v>377</v>
      </c>
      <c r="B49" s="44"/>
      <c r="C49" s="287"/>
      <c r="D49" s="254"/>
      <c r="E49" s="27"/>
      <c r="F49" s="145"/>
      <c r="G49" s="33"/>
      <c r="H49" s="145"/>
      <c r="I49" s="145"/>
      <c r="J49" s="37"/>
      <c r="K49" s="37"/>
      <c r="L49" s="159"/>
      <c r="M49" s="159"/>
      <c r="N49" s="148"/>
    </row>
    <row r="50" spans="1:14" s="3" customFormat="1" x14ac:dyDescent="0.2">
      <c r="A50" s="296" t="s">
        <v>6</v>
      </c>
      <c r="B50" s="290"/>
      <c r="C50" s="291"/>
      <c r="D50" s="254"/>
      <c r="E50" s="23"/>
      <c r="F50" s="145"/>
      <c r="G50" s="33"/>
      <c r="H50" s="145"/>
      <c r="I50" s="145"/>
      <c r="J50" s="33"/>
      <c r="K50" s="33"/>
      <c r="L50" s="159"/>
      <c r="M50" s="159"/>
      <c r="N50" s="148"/>
    </row>
    <row r="51" spans="1:14" s="3" customFormat="1" x14ac:dyDescent="0.2">
      <c r="A51" s="296" t="s">
        <v>7</v>
      </c>
      <c r="B51" s="290"/>
      <c r="C51" s="291"/>
      <c r="D51" s="254"/>
      <c r="E51" s="23"/>
      <c r="F51" s="145"/>
      <c r="G51" s="33"/>
      <c r="H51" s="145"/>
      <c r="I51" s="145"/>
      <c r="J51" s="33"/>
      <c r="K51" s="33"/>
      <c r="L51" s="159"/>
      <c r="M51" s="159"/>
      <c r="N51" s="148"/>
    </row>
    <row r="52" spans="1:14" s="3" customFormat="1" x14ac:dyDescent="0.2">
      <c r="A52" s="296" t="s">
        <v>8</v>
      </c>
      <c r="B52" s="290"/>
      <c r="C52" s="291"/>
      <c r="D52" s="254"/>
      <c r="E52" s="23"/>
      <c r="F52" s="145"/>
      <c r="G52" s="33"/>
      <c r="H52" s="145"/>
      <c r="I52" s="145"/>
      <c r="J52" s="33"/>
      <c r="K52" s="33"/>
      <c r="L52" s="159"/>
      <c r="M52" s="159"/>
      <c r="N52" s="148"/>
    </row>
    <row r="53" spans="1:14" s="3" customFormat="1" ht="15.75" x14ac:dyDescent="0.2">
      <c r="A53" s="39" t="s">
        <v>378</v>
      </c>
      <c r="B53" s="310"/>
      <c r="C53" s="311"/>
      <c r="D53" s="428"/>
      <c r="E53" s="11"/>
      <c r="F53" s="145"/>
      <c r="G53" s="33"/>
      <c r="H53" s="145"/>
      <c r="I53" s="145"/>
      <c r="J53" s="33"/>
      <c r="K53" s="33"/>
      <c r="L53" s="159"/>
      <c r="M53" s="159"/>
      <c r="N53" s="148"/>
    </row>
    <row r="54" spans="1:14" s="3" customFormat="1" ht="15.75" x14ac:dyDescent="0.2">
      <c r="A54" s="38" t="s">
        <v>376</v>
      </c>
      <c r="B54" s="281"/>
      <c r="C54" s="282"/>
      <c r="D54" s="254"/>
      <c r="E54" s="27"/>
      <c r="F54" s="145"/>
      <c r="G54" s="33"/>
      <c r="H54" s="145"/>
      <c r="I54" s="145"/>
      <c r="J54" s="33"/>
      <c r="K54" s="33"/>
      <c r="L54" s="159"/>
      <c r="M54" s="159"/>
      <c r="N54" s="148"/>
    </row>
    <row r="55" spans="1:14" s="3" customFormat="1" ht="15.75" x14ac:dyDescent="0.2">
      <c r="A55" s="38" t="s">
        <v>377</v>
      </c>
      <c r="B55" s="281"/>
      <c r="C55" s="282"/>
      <c r="D55" s="254"/>
      <c r="E55" s="27"/>
      <c r="F55" s="145"/>
      <c r="G55" s="33"/>
      <c r="H55" s="145"/>
      <c r="I55" s="145"/>
      <c r="J55" s="33"/>
      <c r="K55" s="33"/>
      <c r="L55" s="159"/>
      <c r="M55" s="159"/>
      <c r="N55" s="148"/>
    </row>
    <row r="56" spans="1:14" s="3" customFormat="1" ht="15.75" x14ac:dyDescent="0.2">
      <c r="A56" s="39" t="s">
        <v>379</v>
      </c>
      <c r="B56" s="310"/>
      <c r="C56" s="311"/>
      <c r="D56" s="428"/>
      <c r="E56" s="11"/>
      <c r="F56" s="145"/>
      <c r="G56" s="33"/>
      <c r="H56" s="145"/>
      <c r="I56" s="145"/>
      <c r="J56" s="33"/>
      <c r="K56" s="33"/>
      <c r="L56" s="159"/>
      <c r="M56" s="159"/>
      <c r="N56" s="148"/>
    </row>
    <row r="57" spans="1:14" s="3" customFormat="1" ht="15.75" x14ac:dyDescent="0.2">
      <c r="A57" s="38" t="s">
        <v>376</v>
      </c>
      <c r="B57" s="281"/>
      <c r="C57" s="282"/>
      <c r="D57" s="254"/>
      <c r="E57" s="27"/>
      <c r="F57" s="145"/>
      <c r="G57" s="33"/>
      <c r="H57" s="145"/>
      <c r="I57" s="145"/>
      <c r="J57" s="33"/>
      <c r="K57" s="33"/>
      <c r="L57" s="159"/>
      <c r="M57" s="159"/>
      <c r="N57" s="148"/>
    </row>
    <row r="58" spans="1:14" s="3" customFormat="1" ht="15.75" x14ac:dyDescent="0.2">
      <c r="A58" s="46" t="s">
        <v>377</v>
      </c>
      <c r="B58" s="283"/>
      <c r="C58" s="284"/>
      <c r="D58" s="255"/>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274</v>
      </c>
      <c r="C61" s="26"/>
      <c r="D61" s="26"/>
      <c r="E61" s="26"/>
      <c r="F61" s="26"/>
      <c r="G61" s="26"/>
      <c r="H61" s="26"/>
      <c r="I61" s="26"/>
      <c r="J61" s="26"/>
      <c r="K61" s="26"/>
      <c r="L61" s="26"/>
      <c r="M61" s="26"/>
    </row>
    <row r="62" spans="1:14" ht="15.75" x14ac:dyDescent="0.25">
      <c r="B62" s="735"/>
      <c r="C62" s="735"/>
      <c r="D62" s="735"/>
      <c r="E62" s="299"/>
      <c r="F62" s="735"/>
      <c r="G62" s="735"/>
      <c r="H62" s="735"/>
      <c r="I62" s="299"/>
      <c r="J62" s="735"/>
      <c r="K62" s="735"/>
      <c r="L62" s="735"/>
      <c r="M62" s="299"/>
    </row>
    <row r="63" spans="1:14" x14ac:dyDescent="0.2">
      <c r="A63" s="144"/>
      <c r="B63" s="733" t="s">
        <v>0</v>
      </c>
      <c r="C63" s="734"/>
      <c r="D63" s="738"/>
      <c r="E63" s="300"/>
      <c r="F63" s="734" t="s">
        <v>1</v>
      </c>
      <c r="G63" s="734"/>
      <c r="H63" s="734"/>
      <c r="I63" s="304"/>
      <c r="J63" s="733" t="s">
        <v>2</v>
      </c>
      <c r="K63" s="734"/>
      <c r="L63" s="734"/>
      <c r="M63" s="304"/>
    </row>
    <row r="64" spans="1:14" x14ac:dyDescent="0.2">
      <c r="A64" s="140"/>
      <c r="B64" s="152" t="s">
        <v>421</v>
      </c>
      <c r="C64" s="152" t="s">
        <v>422</v>
      </c>
      <c r="D64" s="245" t="s">
        <v>3</v>
      </c>
      <c r="E64" s="305" t="s">
        <v>29</v>
      </c>
      <c r="F64" s="152" t="s">
        <v>421</v>
      </c>
      <c r="G64" s="152" t="s">
        <v>422</v>
      </c>
      <c r="H64" s="245" t="s">
        <v>3</v>
      </c>
      <c r="I64" s="305" t="s">
        <v>29</v>
      </c>
      <c r="J64" s="152" t="s">
        <v>421</v>
      </c>
      <c r="K64" s="152" t="s">
        <v>422</v>
      </c>
      <c r="L64" s="245" t="s">
        <v>3</v>
      </c>
      <c r="M64" s="162" t="s">
        <v>29</v>
      </c>
    </row>
    <row r="65" spans="1:14" x14ac:dyDescent="0.2">
      <c r="A65" s="708"/>
      <c r="B65" s="156"/>
      <c r="C65" s="156"/>
      <c r="D65" s="246" t="s">
        <v>4</v>
      </c>
      <c r="E65" s="156" t="s">
        <v>30</v>
      </c>
      <c r="F65" s="161"/>
      <c r="G65" s="161"/>
      <c r="H65" s="245" t="s">
        <v>4</v>
      </c>
      <c r="I65" s="156" t="s">
        <v>30</v>
      </c>
      <c r="J65" s="161"/>
      <c r="K65" s="206"/>
      <c r="L65" s="156" t="s">
        <v>4</v>
      </c>
      <c r="M65" s="156" t="s">
        <v>30</v>
      </c>
    </row>
    <row r="66" spans="1:14" ht="15.75" x14ac:dyDescent="0.2">
      <c r="A66" s="14" t="s">
        <v>23</v>
      </c>
      <c r="B66" s="353">
        <v>80755</v>
      </c>
      <c r="C66" s="353">
        <v>73915</v>
      </c>
      <c r="D66" s="350">
        <f t="shared" ref="D66:D111" si="13">IF(B66=0, "    ---- ", IF(ABS(ROUND(100/B66*C66-100,1))&lt;999,ROUND(100/B66*C66-100,1),IF(ROUND(100/B66*C66-100,1)&gt;999,999,-999)))</f>
        <v>-8.5</v>
      </c>
      <c r="E66" s="11">
        <f>IFERROR(100/'Skjema total MA'!C66*C66,0)</f>
        <v>1.2475839611706283</v>
      </c>
      <c r="F66" s="352">
        <v>292421</v>
      </c>
      <c r="G66" s="352">
        <v>313444</v>
      </c>
      <c r="H66" s="350">
        <f t="shared" ref="H66:H111" si="14">IF(F66=0, "    ---- ", IF(ABS(ROUND(100/F66*G66-100,1))&lt;999,ROUND(100/F66*G66-100,1),IF(ROUND(100/F66*G66-100,1)&gt;999,999,-999)))</f>
        <v>7.2</v>
      </c>
      <c r="I66" s="11">
        <f>IFERROR(100/'Skjema total MA'!F66*G66,0)</f>
        <v>1.2047923547480275</v>
      </c>
      <c r="J66" s="309">
        <f t="shared" ref="J66:K79" si="15">SUM(B66,F66)</f>
        <v>373176</v>
      </c>
      <c r="K66" s="316">
        <f t="shared" si="15"/>
        <v>387359</v>
      </c>
      <c r="L66" s="428">
        <f t="shared" ref="L66:L111" si="16">IF(J66=0, "    ---- ", IF(ABS(ROUND(100/J66*K66-100,1))&lt;999,ROUND(100/J66*K66-100,1),IF(ROUND(100/J66*K66-100,1)&gt;999,999,-999)))</f>
        <v>3.8</v>
      </c>
      <c r="M66" s="11">
        <f>IFERROR(100/'Skjema total MA'!I66*K66,0)</f>
        <v>1.2127296352484722</v>
      </c>
    </row>
    <row r="67" spans="1:14" x14ac:dyDescent="0.2">
      <c r="A67" s="419" t="s">
        <v>9</v>
      </c>
      <c r="B67" s="44"/>
      <c r="C67" s="145"/>
      <c r="D67" s="166"/>
      <c r="E67" s="27"/>
      <c r="F67" s="234"/>
      <c r="G67" s="145"/>
      <c r="H67" s="166"/>
      <c r="I67" s="27"/>
      <c r="J67" s="287"/>
      <c r="K67" s="44"/>
      <c r="L67" s="254"/>
      <c r="M67" s="27"/>
    </row>
    <row r="68" spans="1:14" x14ac:dyDescent="0.2">
      <c r="A68" s="21" t="s">
        <v>10</v>
      </c>
      <c r="B68" s="292">
        <v>80755</v>
      </c>
      <c r="C68" s="293">
        <v>73915</v>
      </c>
      <c r="D68" s="166">
        <f t="shared" si="13"/>
        <v>-8.5</v>
      </c>
      <c r="E68" s="27">
        <f>IFERROR(100/'Skjema total MA'!C68*C68,0)</f>
        <v>62.425158667087388</v>
      </c>
      <c r="F68" s="292">
        <v>292421</v>
      </c>
      <c r="G68" s="293">
        <v>313444</v>
      </c>
      <c r="H68" s="166">
        <f t="shared" si="14"/>
        <v>7.2</v>
      </c>
      <c r="I68" s="27">
        <f>IFERROR(100/'Skjema total MA'!F68*G68,0)</f>
        <v>1.2544073466807522</v>
      </c>
      <c r="J68" s="287">
        <f t="shared" si="15"/>
        <v>373176</v>
      </c>
      <c r="K68" s="44">
        <f t="shared" si="15"/>
        <v>387359</v>
      </c>
      <c r="L68" s="254">
        <f t="shared" si="16"/>
        <v>3.8</v>
      </c>
      <c r="M68" s="27">
        <f>IFERROR(100/'Skjema total MA'!I68*K68,0)</f>
        <v>1.542904993183472</v>
      </c>
    </row>
    <row r="69" spans="1:14" ht="15.75" x14ac:dyDescent="0.2">
      <c r="A69" s="296" t="s">
        <v>380</v>
      </c>
      <c r="B69" s="294"/>
      <c r="C69" s="295"/>
      <c r="D69" s="166"/>
      <c r="E69" s="417"/>
      <c r="F69" s="294"/>
      <c r="G69" s="295"/>
      <c r="H69" s="166"/>
      <c r="I69" s="417"/>
      <c r="J69" s="294"/>
      <c r="K69" s="295"/>
      <c r="L69" s="166"/>
      <c r="M69" s="23"/>
    </row>
    <row r="70" spans="1:14" x14ac:dyDescent="0.2">
      <c r="A70" s="296" t="s">
        <v>12</v>
      </c>
      <c r="B70" s="294"/>
      <c r="C70" s="295"/>
      <c r="D70" s="166"/>
      <c r="E70" s="417"/>
      <c r="F70" s="294"/>
      <c r="G70" s="295"/>
      <c r="H70" s="166"/>
      <c r="I70" s="417"/>
      <c r="J70" s="294"/>
      <c r="K70" s="295"/>
      <c r="L70" s="166"/>
      <c r="M70" s="23"/>
    </row>
    <row r="71" spans="1:14" x14ac:dyDescent="0.2">
      <c r="A71" s="296" t="s">
        <v>13</v>
      </c>
      <c r="B71" s="235"/>
      <c r="C71" s="289"/>
      <c r="D71" s="166"/>
      <c r="E71" s="417"/>
      <c r="F71" s="294"/>
      <c r="G71" s="295"/>
      <c r="H71" s="166"/>
      <c r="I71" s="417"/>
      <c r="J71" s="294"/>
      <c r="K71" s="295"/>
      <c r="L71" s="166"/>
      <c r="M71" s="23"/>
    </row>
    <row r="72" spans="1:14" ht="15.75" x14ac:dyDescent="0.2">
      <c r="A72" s="296" t="s">
        <v>381</v>
      </c>
      <c r="B72" s="294"/>
      <c r="C72" s="295"/>
      <c r="D72" s="166"/>
      <c r="E72" s="417"/>
      <c r="F72" s="294"/>
      <c r="G72" s="295"/>
      <c r="H72" s="166"/>
      <c r="I72" s="417"/>
      <c r="J72" s="294"/>
      <c r="K72" s="295"/>
      <c r="L72" s="166"/>
      <c r="M72" s="23"/>
    </row>
    <row r="73" spans="1:14" x14ac:dyDescent="0.2">
      <c r="A73" s="296" t="s">
        <v>12</v>
      </c>
      <c r="B73" s="235"/>
      <c r="C73" s="289"/>
      <c r="D73" s="166"/>
      <c r="E73" s="417"/>
      <c r="F73" s="294"/>
      <c r="G73" s="295"/>
      <c r="H73" s="166"/>
      <c r="I73" s="417"/>
      <c r="J73" s="294"/>
      <c r="K73" s="295"/>
      <c r="L73" s="166"/>
      <c r="M73" s="23"/>
    </row>
    <row r="74" spans="1:14" s="3" customFormat="1" x14ac:dyDescent="0.2">
      <c r="A74" s="296" t="s">
        <v>13</v>
      </c>
      <c r="B74" s="235"/>
      <c r="C74" s="289"/>
      <c r="D74" s="166"/>
      <c r="E74" s="417"/>
      <c r="F74" s="294"/>
      <c r="G74" s="295"/>
      <c r="H74" s="166"/>
      <c r="I74" s="417"/>
      <c r="J74" s="294"/>
      <c r="K74" s="295"/>
      <c r="L74" s="166"/>
      <c r="M74" s="23"/>
      <c r="N74" s="148"/>
    </row>
    <row r="75" spans="1:14" s="3" customFormat="1" x14ac:dyDescent="0.2">
      <c r="A75" s="21" t="s">
        <v>350</v>
      </c>
      <c r="B75" s="234"/>
      <c r="C75" s="145"/>
      <c r="D75" s="166"/>
      <c r="E75" s="27"/>
      <c r="F75" s="234"/>
      <c r="G75" s="145"/>
      <c r="H75" s="166"/>
      <c r="I75" s="27"/>
      <c r="J75" s="287"/>
      <c r="K75" s="44"/>
      <c r="L75" s="254"/>
      <c r="M75" s="27"/>
      <c r="N75" s="148"/>
    </row>
    <row r="76" spans="1:14" s="3" customFormat="1" x14ac:dyDescent="0.2">
      <c r="A76" s="21" t="s">
        <v>349</v>
      </c>
      <c r="B76" s="234"/>
      <c r="C76" s="145"/>
      <c r="D76" s="166"/>
      <c r="E76" s="27"/>
      <c r="F76" s="234"/>
      <c r="G76" s="145"/>
      <c r="H76" s="166"/>
      <c r="I76" s="27"/>
      <c r="J76" s="287"/>
      <c r="K76" s="44"/>
      <c r="L76" s="254"/>
      <c r="M76" s="27"/>
      <c r="N76" s="148"/>
    </row>
    <row r="77" spans="1:14" ht="15.75" x14ac:dyDescent="0.2">
      <c r="A77" s="21" t="s">
        <v>382</v>
      </c>
      <c r="B77" s="234">
        <v>80755</v>
      </c>
      <c r="C77" s="234">
        <v>73915</v>
      </c>
      <c r="D77" s="166">
        <f t="shared" si="13"/>
        <v>-8.5</v>
      </c>
      <c r="E77" s="27">
        <f>IFERROR(100/'Skjema total MA'!C77*C77,0)</f>
        <v>1.7826953804426791</v>
      </c>
      <c r="F77" s="234">
        <v>292421</v>
      </c>
      <c r="G77" s="145">
        <v>313444</v>
      </c>
      <c r="H77" s="166">
        <f t="shared" si="14"/>
        <v>7.2</v>
      </c>
      <c r="I77" s="27">
        <f>IFERROR(100/'Skjema total MA'!F77*G77,0)</f>
        <v>1.2549796043808261</v>
      </c>
      <c r="J77" s="287">
        <f t="shared" si="15"/>
        <v>373176</v>
      </c>
      <c r="K77" s="44">
        <f t="shared" si="15"/>
        <v>387359</v>
      </c>
      <c r="L77" s="254">
        <f t="shared" si="16"/>
        <v>3.8</v>
      </c>
      <c r="M77" s="27">
        <f>IFERROR(100/'Skjema total MA'!I77*K77,0)</f>
        <v>1.3301125214197913</v>
      </c>
    </row>
    <row r="78" spans="1:14" x14ac:dyDescent="0.2">
      <c r="A78" s="21" t="s">
        <v>9</v>
      </c>
      <c r="B78" s="234"/>
      <c r="C78" s="145"/>
      <c r="D78" s="166"/>
      <c r="E78" s="27"/>
      <c r="F78" s="234"/>
      <c r="G78" s="145"/>
      <c r="H78" s="166"/>
      <c r="I78" s="27"/>
      <c r="J78" s="287"/>
      <c r="K78" s="44"/>
      <c r="L78" s="254"/>
      <c r="M78" s="27"/>
    </row>
    <row r="79" spans="1:14" x14ac:dyDescent="0.2">
      <c r="A79" s="21" t="s">
        <v>10</v>
      </c>
      <c r="B79" s="292">
        <v>80755</v>
      </c>
      <c r="C79" s="293">
        <v>73915</v>
      </c>
      <c r="D79" s="166">
        <f t="shared" si="13"/>
        <v>-8.5</v>
      </c>
      <c r="E79" s="27">
        <f>IFERROR(100/'Skjema total MA'!C79*C79,0)</f>
        <v>63.441810069522631</v>
      </c>
      <c r="F79" s="292">
        <v>292421</v>
      </c>
      <c r="G79" s="293">
        <v>313444</v>
      </c>
      <c r="H79" s="166">
        <f t="shared" si="14"/>
        <v>7.2</v>
      </c>
      <c r="I79" s="27">
        <f>IFERROR(100/'Skjema total MA'!F79*G79,0)</f>
        <v>1.2549796043808261</v>
      </c>
      <c r="J79" s="287">
        <f t="shared" si="15"/>
        <v>373176</v>
      </c>
      <c r="K79" s="44">
        <f t="shared" si="15"/>
        <v>387359</v>
      </c>
      <c r="L79" s="254">
        <f t="shared" si="16"/>
        <v>3.8</v>
      </c>
      <c r="M79" s="27">
        <f>IFERROR(100/'Skjema total MA'!I79*K79,0)</f>
        <v>1.5437222659888157</v>
      </c>
    </row>
    <row r="80" spans="1:14" ht="15.75" x14ac:dyDescent="0.2">
      <c r="A80" s="296" t="s">
        <v>380</v>
      </c>
      <c r="B80" s="294"/>
      <c r="C80" s="295"/>
      <c r="D80" s="166"/>
      <c r="E80" s="417"/>
      <c r="F80" s="294"/>
      <c r="G80" s="295"/>
      <c r="H80" s="166"/>
      <c r="I80" s="417"/>
      <c r="J80" s="294"/>
      <c r="K80" s="295"/>
      <c r="L80" s="166"/>
      <c r="M80" s="23"/>
    </row>
    <row r="81" spans="1:13" x14ac:dyDescent="0.2">
      <c r="A81" s="296" t="s">
        <v>12</v>
      </c>
      <c r="B81" s="294"/>
      <c r="C81" s="295"/>
      <c r="D81" s="166"/>
      <c r="E81" s="417"/>
      <c r="F81" s="294"/>
      <c r="G81" s="295"/>
      <c r="H81" s="166"/>
      <c r="I81" s="417"/>
      <c r="J81" s="294"/>
      <c r="K81" s="295"/>
      <c r="L81" s="166"/>
      <c r="M81" s="23"/>
    </row>
    <row r="82" spans="1:13" x14ac:dyDescent="0.2">
      <c r="A82" s="296" t="s">
        <v>13</v>
      </c>
      <c r="B82" s="294"/>
      <c r="C82" s="295"/>
      <c r="D82" s="166"/>
      <c r="E82" s="417"/>
      <c r="F82" s="294"/>
      <c r="G82" s="295"/>
      <c r="H82" s="166"/>
      <c r="I82" s="417"/>
      <c r="J82" s="294"/>
      <c r="K82" s="295"/>
      <c r="L82" s="166"/>
      <c r="M82" s="23"/>
    </row>
    <row r="83" spans="1:13" ht="15.75" x14ac:dyDescent="0.2">
      <c r="A83" s="296" t="s">
        <v>381</v>
      </c>
      <c r="B83" s="294"/>
      <c r="C83" s="295"/>
      <c r="D83" s="166"/>
      <c r="E83" s="417"/>
      <c r="F83" s="294"/>
      <c r="G83" s="295"/>
      <c r="H83" s="166"/>
      <c r="I83" s="417"/>
      <c r="J83" s="294"/>
      <c r="K83" s="295"/>
      <c r="L83" s="166"/>
      <c r="M83" s="23"/>
    </row>
    <row r="84" spans="1:13" x14ac:dyDescent="0.2">
      <c r="A84" s="296" t="s">
        <v>12</v>
      </c>
      <c r="B84" s="294"/>
      <c r="C84" s="295"/>
      <c r="D84" s="166"/>
      <c r="E84" s="417"/>
      <c r="F84" s="294"/>
      <c r="G84" s="295"/>
      <c r="H84" s="166"/>
      <c r="I84" s="417"/>
      <c r="J84" s="294"/>
      <c r="K84" s="295"/>
      <c r="L84" s="166"/>
      <c r="M84" s="23"/>
    </row>
    <row r="85" spans="1:13" x14ac:dyDescent="0.2">
      <c r="A85" s="296" t="s">
        <v>13</v>
      </c>
      <c r="B85" s="294"/>
      <c r="C85" s="295"/>
      <c r="D85" s="166"/>
      <c r="E85" s="417"/>
      <c r="F85" s="294"/>
      <c r="G85" s="295"/>
      <c r="H85" s="166"/>
      <c r="I85" s="417"/>
      <c r="J85" s="294"/>
      <c r="K85" s="295"/>
      <c r="L85" s="166"/>
      <c r="M85" s="23"/>
    </row>
    <row r="86" spans="1:13" ht="15.75" x14ac:dyDescent="0.2">
      <c r="A86" s="21" t="s">
        <v>383</v>
      </c>
      <c r="B86" s="234"/>
      <c r="C86" s="145"/>
      <c r="D86" s="166"/>
      <c r="E86" s="27"/>
      <c r="F86" s="234"/>
      <c r="G86" s="145"/>
      <c r="H86" s="166"/>
      <c r="I86" s="27"/>
      <c r="J86" s="287"/>
      <c r="K86" s="44"/>
      <c r="L86" s="254"/>
      <c r="M86" s="27"/>
    </row>
    <row r="87" spans="1:13" ht="15.75" x14ac:dyDescent="0.2">
      <c r="A87" s="13" t="s">
        <v>365</v>
      </c>
      <c r="B87" s="353">
        <v>191689</v>
      </c>
      <c r="C87" s="353">
        <v>185062</v>
      </c>
      <c r="D87" s="171">
        <f t="shared" si="13"/>
        <v>-3.5</v>
      </c>
      <c r="E87" s="11">
        <f>IFERROR(100/'Skjema total MA'!C87*C87,0)</f>
        <v>4.703824520040796E-2</v>
      </c>
      <c r="F87" s="352">
        <v>3825134</v>
      </c>
      <c r="G87" s="352">
        <v>4345129</v>
      </c>
      <c r="H87" s="171">
        <f t="shared" si="14"/>
        <v>13.6</v>
      </c>
      <c r="I87" s="11">
        <f>IFERROR(100/'Skjema total MA'!F87*G87,0)</f>
        <v>1.28449319723443</v>
      </c>
      <c r="J87" s="309">
        <f t="shared" ref="J87:K111" si="17">SUM(B87,F87)</f>
        <v>4016823</v>
      </c>
      <c r="K87" s="236">
        <f t="shared" si="17"/>
        <v>4530191</v>
      </c>
      <c r="L87" s="428">
        <f t="shared" si="16"/>
        <v>12.8</v>
      </c>
      <c r="M87" s="11">
        <f>IFERROR(100/'Skjema total MA'!I87*K87,0)</f>
        <v>0.61912845098489244</v>
      </c>
    </row>
    <row r="88" spans="1:13" x14ac:dyDescent="0.2">
      <c r="A88" s="21" t="s">
        <v>9</v>
      </c>
      <c r="B88" s="234"/>
      <c r="C88" s="145"/>
      <c r="D88" s="166"/>
      <c r="E88" s="27"/>
      <c r="F88" s="234"/>
      <c r="G88" s="145"/>
      <c r="H88" s="166"/>
      <c r="I88" s="27"/>
      <c r="J88" s="287"/>
      <c r="K88" s="44"/>
      <c r="L88" s="254"/>
      <c r="M88" s="27"/>
    </row>
    <row r="89" spans="1:13" x14ac:dyDescent="0.2">
      <c r="A89" s="21" t="s">
        <v>10</v>
      </c>
      <c r="B89" s="234">
        <v>191689</v>
      </c>
      <c r="C89" s="145">
        <v>185062</v>
      </c>
      <c r="D89" s="166">
        <f t="shared" si="13"/>
        <v>-3.5</v>
      </c>
      <c r="E89" s="27">
        <f>IFERROR(100/'Skjema total MA'!C89*C89,0)</f>
        <v>5.8414861387472046</v>
      </c>
      <c r="F89" s="234">
        <v>3825134</v>
      </c>
      <c r="G89" s="145">
        <v>4345129</v>
      </c>
      <c r="H89" s="166">
        <f t="shared" si="14"/>
        <v>13.6</v>
      </c>
      <c r="I89" s="27">
        <f>IFERROR(100/'Skjema total MA'!F89*G89,0)</f>
        <v>1.2943355164943176</v>
      </c>
      <c r="J89" s="287">
        <f t="shared" si="17"/>
        <v>4016823</v>
      </c>
      <c r="K89" s="44">
        <f t="shared" si="17"/>
        <v>4530191</v>
      </c>
      <c r="L89" s="254">
        <f t="shared" si="16"/>
        <v>12.8</v>
      </c>
      <c r="M89" s="27">
        <f>IFERROR(100/'Skjema total MA'!I89*K89,0)</f>
        <v>1.3368462087223227</v>
      </c>
    </row>
    <row r="90" spans="1:13" ht="15.75" x14ac:dyDescent="0.2">
      <c r="A90" s="296" t="s">
        <v>380</v>
      </c>
      <c r="B90" s="294"/>
      <c r="C90" s="295"/>
      <c r="D90" s="166"/>
      <c r="E90" s="417"/>
      <c r="F90" s="294"/>
      <c r="G90" s="295"/>
      <c r="H90" s="166"/>
      <c r="I90" s="417"/>
      <c r="J90" s="294"/>
      <c r="K90" s="295"/>
      <c r="L90" s="166"/>
      <c r="M90" s="23"/>
    </row>
    <row r="91" spans="1:13" x14ac:dyDescent="0.2">
      <c r="A91" s="296" t="s">
        <v>12</v>
      </c>
      <c r="B91" s="294"/>
      <c r="C91" s="295"/>
      <c r="D91" s="166"/>
      <c r="E91" s="417"/>
      <c r="F91" s="294"/>
      <c r="G91" s="295"/>
      <c r="H91" s="166"/>
      <c r="I91" s="417"/>
      <c r="J91" s="294"/>
      <c r="K91" s="295"/>
      <c r="L91" s="166"/>
      <c r="M91" s="23"/>
    </row>
    <row r="92" spans="1:13" x14ac:dyDescent="0.2">
      <c r="A92" s="296" t="s">
        <v>13</v>
      </c>
      <c r="B92" s="294"/>
      <c r="C92" s="295"/>
      <c r="D92" s="166"/>
      <c r="E92" s="417"/>
      <c r="F92" s="294"/>
      <c r="G92" s="295"/>
      <c r="H92" s="166"/>
      <c r="I92" s="417"/>
      <c r="J92" s="294"/>
      <c r="K92" s="295"/>
      <c r="L92" s="166"/>
      <c r="M92" s="23"/>
    </row>
    <row r="93" spans="1:13" ht="15.75" x14ac:dyDescent="0.2">
      <c r="A93" s="296" t="s">
        <v>381</v>
      </c>
      <c r="B93" s="294"/>
      <c r="C93" s="295"/>
      <c r="D93" s="166"/>
      <c r="E93" s="417"/>
      <c r="F93" s="294"/>
      <c r="G93" s="295"/>
      <c r="H93" s="166"/>
      <c r="I93" s="417"/>
      <c r="J93" s="294"/>
      <c r="K93" s="295"/>
      <c r="L93" s="166"/>
      <c r="M93" s="23"/>
    </row>
    <row r="94" spans="1:13" x14ac:dyDescent="0.2">
      <c r="A94" s="296" t="s">
        <v>12</v>
      </c>
      <c r="B94" s="294"/>
      <c r="C94" s="295"/>
      <c r="D94" s="166"/>
      <c r="E94" s="417"/>
      <c r="F94" s="294"/>
      <c r="G94" s="295"/>
      <c r="H94" s="166"/>
      <c r="I94" s="417"/>
      <c r="J94" s="294"/>
      <c r="K94" s="295"/>
      <c r="L94" s="166"/>
      <c r="M94" s="23"/>
    </row>
    <row r="95" spans="1:13" x14ac:dyDescent="0.2">
      <c r="A95" s="296" t="s">
        <v>13</v>
      </c>
      <c r="B95" s="294"/>
      <c r="C95" s="295"/>
      <c r="D95" s="166"/>
      <c r="E95" s="417"/>
      <c r="F95" s="294"/>
      <c r="G95" s="295"/>
      <c r="H95" s="166"/>
      <c r="I95" s="417"/>
      <c r="J95" s="294"/>
      <c r="K95" s="295"/>
      <c r="L95" s="166"/>
      <c r="M95" s="23"/>
    </row>
    <row r="96" spans="1:13" x14ac:dyDescent="0.2">
      <c r="A96" s="21" t="s">
        <v>348</v>
      </c>
      <c r="B96" s="234"/>
      <c r="C96" s="145"/>
      <c r="D96" s="166"/>
      <c r="E96" s="27"/>
      <c r="F96" s="234"/>
      <c r="G96" s="145"/>
      <c r="H96" s="166"/>
      <c r="I96" s="27"/>
      <c r="J96" s="287"/>
      <c r="K96" s="44"/>
      <c r="L96" s="254"/>
      <c r="M96" s="27"/>
    </row>
    <row r="97" spans="1:13" x14ac:dyDescent="0.2">
      <c r="A97" s="21" t="s">
        <v>347</v>
      </c>
      <c r="B97" s="234"/>
      <c r="C97" s="145"/>
      <c r="D97" s="166"/>
      <c r="E97" s="27"/>
      <c r="F97" s="234"/>
      <c r="G97" s="145"/>
      <c r="H97" s="166"/>
      <c r="I97" s="27"/>
      <c r="J97" s="287"/>
      <c r="K97" s="44"/>
      <c r="L97" s="254"/>
      <c r="M97" s="27"/>
    </row>
    <row r="98" spans="1:13" ht="15.75" x14ac:dyDescent="0.2">
      <c r="A98" s="21" t="s">
        <v>382</v>
      </c>
      <c r="B98" s="234">
        <v>191689</v>
      </c>
      <c r="C98" s="234">
        <v>185062</v>
      </c>
      <c r="D98" s="166">
        <f t="shared" si="13"/>
        <v>-3.5</v>
      </c>
      <c r="E98" s="27">
        <f>IFERROR(100/'Skjema total MA'!C98*C98,0)</f>
        <v>4.8620513386114464E-2</v>
      </c>
      <c r="F98" s="292">
        <v>3825134</v>
      </c>
      <c r="G98" s="292">
        <v>4345129</v>
      </c>
      <c r="H98" s="166">
        <f t="shared" si="14"/>
        <v>13.6</v>
      </c>
      <c r="I98" s="27">
        <f>IFERROR(100/'Skjema total MA'!F98*G98,0)</f>
        <v>1.2979810979302941</v>
      </c>
      <c r="J98" s="287">
        <f t="shared" si="17"/>
        <v>4016823</v>
      </c>
      <c r="K98" s="44">
        <f t="shared" si="17"/>
        <v>4530191</v>
      </c>
      <c r="L98" s="254">
        <f t="shared" si="16"/>
        <v>12.8</v>
      </c>
      <c r="M98" s="27">
        <f>IFERROR(100/'Skjema total MA'!I98*K98,0)</f>
        <v>0.63325134384952764</v>
      </c>
    </row>
    <row r="99" spans="1:13" x14ac:dyDescent="0.2">
      <c r="A99" s="21" t="s">
        <v>9</v>
      </c>
      <c r="B99" s="292"/>
      <c r="C99" s="293"/>
      <c r="D99" s="166"/>
      <c r="E99" s="27"/>
      <c r="F99" s="234"/>
      <c r="G99" s="145"/>
      <c r="H99" s="166"/>
      <c r="I99" s="27"/>
      <c r="J99" s="287"/>
      <c r="K99" s="44"/>
      <c r="L99" s="254"/>
      <c r="M99" s="27"/>
    </row>
    <row r="100" spans="1:13" x14ac:dyDescent="0.2">
      <c r="A100" s="21" t="s">
        <v>10</v>
      </c>
      <c r="B100" s="292">
        <v>191689</v>
      </c>
      <c r="C100" s="293">
        <v>185062</v>
      </c>
      <c r="D100" s="166">
        <f t="shared" si="13"/>
        <v>-3.5</v>
      </c>
      <c r="E100" s="27">
        <f>IFERROR(100/'Skjema total MA'!C100*C100,0)</f>
        <v>5.8414861387472046</v>
      </c>
      <c r="F100" s="234">
        <v>3825134</v>
      </c>
      <c r="G100" s="234">
        <v>4345129</v>
      </c>
      <c r="H100" s="166">
        <f t="shared" si="14"/>
        <v>13.6</v>
      </c>
      <c r="I100" s="27">
        <f>IFERROR(100/'Skjema total MA'!F100*G100,0)</f>
        <v>1.2979810979302941</v>
      </c>
      <c r="J100" s="287">
        <f t="shared" si="17"/>
        <v>4016823</v>
      </c>
      <c r="K100" s="44">
        <f t="shared" si="17"/>
        <v>4530191</v>
      </c>
      <c r="L100" s="254">
        <f t="shared" si="16"/>
        <v>12.8</v>
      </c>
      <c r="M100" s="27">
        <f>IFERROR(100/'Skjema total MA'!I100*K100,0)</f>
        <v>1.3405762246888464</v>
      </c>
    </row>
    <row r="101" spans="1:13" ht="15.75" x14ac:dyDescent="0.2">
      <c r="A101" s="296" t="s">
        <v>380</v>
      </c>
      <c r="B101" s="294"/>
      <c r="C101" s="295"/>
      <c r="D101" s="166"/>
      <c r="E101" s="417"/>
      <c r="F101" s="294"/>
      <c r="G101" s="295"/>
      <c r="H101" s="166"/>
      <c r="I101" s="417"/>
      <c r="J101" s="294"/>
      <c r="K101" s="295"/>
      <c r="L101" s="166"/>
      <c r="M101" s="23"/>
    </row>
    <row r="102" spans="1:13" x14ac:dyDescent="0.2">
      <c r="A102" s="296" t="s">
        <v>12</v>
      </c>
      <c r="B102" s="294"/>
      <c r="C102" s="295"/>
      <c r="D102" s="166"/>
      <c r="E102" s="417"/>
      <c r="F102" s="294"/>
      <c r="G102" s="295"/>
      <c r="H102" s="166"/>
      <c r="I102" s="417"/>
      <c r="J102" s="294"/>
      <c r="K102" s="295"/>
      <c r="L102" s="166"/>
      <c r="M102" s="23"/>
    </row>
    <row r="103" spans="1:13" x14ac:dyDescent="0.2">
      <c r="A103" s="296" t="s">
        <v>13</v>
      </c>
      <c r="B103" s="294"/>
      <c r="C103" s="295"/>
      <c r="D103" s="166"/>
      <c r="E103" s="417"/>
      <c r="F103" s="294"/>
      <c r="G103" s="295"/>
      <c r="H103" s="166"/>
      <c r="I103" s="417"/>
      <c r="J103" s="294"/>
      <c r="K103" s="295"/>
      <c r="L103" s="166"/>
      <c r="M103" s="23"/>
    </row>
    <row r="104" spans="1:13" ht="15.75" x14ac:dyDescent="0.2">
      <c r="A104" s="296" t="s">
        <v>381</v>
      </c>
      <c r="B104" s="294"/>
      <c r="C104" s="295"/>
      <c r="D104" s="166"/>
      <c r="E104" s="417"/>
      <c r="F104" s="294"/>
      <c r="G104" s="295"/>
      <c r="H104" s="166"/>
      <c r="I104" s="417"/>
      <c r="J104" s="294"/>
      <c r="K104" s="295"/>
      <c r="L104" s="166"/>
      <c r="M104" s="23"/>
    </row>
    <row r="105" spans="1:13" x14ac:dyDescent="0.2">
      <c r="A105" s="296" t="s">
        <v>12</v>
      </c>
      <c r="B105" s="294"/>
      <c r="C105" s="295"/>
      <c r="D105" s="166"/>
      <c r="E105" s="417"/>
      <c r="F105" s="294"/>
      <c r="G105" s="295"/>
      <c r="H105" s="166"/>
      <c r="I105" s="417"/>
      <c r="J105" s="294"/>
      <c r="K105" s="295"/>
      <c r="L105" s="166"/>
      <c r="M105" s="23"/>
    </row>
    <row r="106" spans="1:13" x14ac:dyDescent="0.2">
      <c r="A106" s="296" t="s">
        <v>13</v>
      </c>
      <c r="B106" s="294"/>
      <c r="C106" s="295"/>
      <c r="D106" s="166"/>
      <c r="E106" s="417"/>
      <c r="F106" s="294"/>
      <c r="G106" s="295"/>
      <c r="H106" s="166"/>
      <c r="I106" s="417"/>
      <c r="J106" s="294"/>
      <c r="K106" s="295"/>
      <c r="L106" s="166"/>
      <c r="M106" s="23"/>
    </row>
    <row r="107" spans="1:13" ht="15.75" x14ac:dyDescent="0.2">
      <c r="A107" s="21" t="s">
        <v>383</v>
      </c>
      <c r="B107" s="234"/>
      <c r="C107" s="145"/>
      <c r="D107" s="166"/>
      <c r="E107" s="27"/>
      <c r="F107" s="234"/>
      <c r="G107" s="145"/>
      <c r="H107" s="166"/>
      <c r="I107" s="27"/>
      <c r="J107" s="287"/>
      <c r="K107" s="44"/>
      <c r="L107" s="254"/>
      <c r="M107" s="27"/>
    </row>
    <row r="108" spans="1:13" ht="15.75" x14ac:dyDescent="0.2">
      <c r="A108" s="21" t="s">
        <v>384</v>
      </c>
      <c r="B108" s="234"/>
      <c r="C108" s="234"/>
      <c r="D108" s="166"/>
      <c r="E108" s="27"/>
      <c r="F108" s="234"/>
      <c r="G108" s="234"/>
      <c r="H108" s="166"/>
      <c r="I108" s="27"/>
      <c r="J108" s="287"/>
      <c r="K108" s="44"/>
      <c r="L108" s="254"/>
      <c r="M108" s="27"/>
    </row>
    <row r="109" spans="1:13" ht="15.75" x14ac:dyDescent="0.2">
      <c r="A109" s="21" t="s">
        <v>385</v>
      </c>
      <c r="B109" s="234"/>
      <c r="C109" s="234"/>
      <c r="D109" s="166"/>
      <c r="E109" s="27"/>
      <c r="F109" s="234">
        <v>1303142</v>
      </c>
      <c r="G109" s="234">
        <v>1439938</v>
      </c>
      <c r="H109" s="166">
        <f t="shared" si="14"/>
        <v>10.5</v>
      </c>
      <c r="I109" s="27">
        <f>IFERROR(100/'Skjema total MA'!F109*G109,0)</f>
        <v>1.2180550444165517</v>
      </c>
      <c r="J109" s="287">
        <f t="shared" si="17"/>
        <v>1303142</v>
      </c>
      <c r="K109" s="44">
        <f t="shared" si="17"/>
        <v>1439938</v>
      </c>
      <c r="L109" s="254">
        <f t="shared" si="16"/>
        <v>10.5</v>
      </c>
      <c r="M109" s="27">
        <f>IFERROR(100/'Skjema total MA'!I109*K109,0)</f>
        <v>1.2073627645954059</v>
      </c>
    </row>
    <row r="110" spans="1:13" ht="15.75" x14ac:dyDescent="0.2">
      <c r="A110" s="21" t="s">
        <v>386</v>
      </c>
      <c r="B110" s="234"/>
      <c r="C110" s="234"/>
      <c r="D110" s="166"/>
      <c r="E110" s="27"/>
      <c r="F110" s="234"/>
      <c r="G110" s="234"/>
      <c r="H110" s="166"/>
      <c r="I110" s="27"/>
      <c r="J110" s="287"/>
      <c r="K110" s="44"/>
      <c r="L110" s="254"/>
      <c r="M110" s="27"/>
    </row>
    <row r="111" spans="1:13" ht="15.75" x14ac:dyDescent="0.2">
      <c r="A111" s="13" t="s">
        <v>366</v>
      </c>
      <c r="B111" s="308">
        <v>1047</v>
      </c>
      <c r="C111" s="159">
        <v>1371</v>
      </c>
      <c r="D111" s="171">
        <f t="shared" si="13"/>
        <v>30.9</v>
      </c>
      <c r="E111" s="11">
        <f>IFERROR(100/'Skjema total MA'!C111*C111,0)</f>
        <v>0.20630388412382808</v>
      </c>
      <c r="F111" s="308">
        <v>139823</v>
      </c>
      <c r="G111" s="159">
        <v>100218</v>
      </c>
      <c r="H111" s="171">
        <f t="shared" si="14"/>
        <v>-28.3</v>
      </c>
      <c r="I111" s="11">
        <f>IFERROR(100/'Skjema total MA'!F111*G111,0)</f>
        <v>0.67967099310472046</v>
      </c>
      <c r="J111" s="309">
        <f t="shared" si="17"/>
        <v>140870</v>
      </c>
      <c r="K111" s="236">
        <f t="shared" si="17"/>
        <v>101589</v>
      </c>
      <c r="L111" s="428">
        <f t="shared" si="16"/>
        <v>-27.9</v>
      </c>
      <c r="M111" s="11">
        <f>IFERROR(100/'Skjema total MA'!I111*K111,0)</f>
        <v>0.65925662478942992</v>
      </c>
    </row>
    <row r="112" spans="1:13" x14ac:dyDescent="0.2">
      <c r="A112" s="21" t="s">
        <v>9</v>
      </c>
      <c r="B112" s="234"/>
      <c r="C112" s="145"/>
      <c r="D112" s="166"/>
      <c r="E112" s="27"/>
      <c r="F112" s="234"/>
      <c r="G112" s="145"/>
      <c r="H112" s="166"/>
      <c r="I112" s="27"/>
      <c r="J112" s="287"/>
      <c r="K112" s="44"/>
      <c r="L112" s="254"/>
      <c r="M112" s="27"/>
    </row>
    <row r="113" spans="1:14" x14ac:dyDescent="0.2">
      <c r="A113" s="21" t="s">
        <v>10</v>
      </c>
      <c r="B113" s="234">
        <v>1047</v>
      </c>
      <c r="C113" s="145">
        <v>1371</v>
      </c>
      <c r="D113" s="166">
        <f t="shared" ref="D113:D121" si="18">IF(B113=0, "    ---- ", IF(ABS(ROUND(100/B113*C113-100,1))&lt;999,ROUND(100/B113*C113-100,1),IF(ROUND(100/B113*C113-100,1)&gt;999,999,-999)))</f>
        <v>30.9</v>
      </c>
      <c r="E113" s="27">
        <f>IFERROR(100/'Skjema total MA'!C113*C113,0)</f>
        <v>26.905527199312594</v>
      </c>
      <c r="F113" s="234">
        <v>139823</v>
      </c>
      <c r="G113" s="145">
        <v>100218</v>
      </c>
      <c r="H113" s="166">
        <f t="shared" ref="H113:H121" si="19">IF(F113=0, "    ---- ", IF(ABS(ROUND(100/F113*G113-100,1))&lt;999,ROUND(100/F113*G113-100,1),IF(ROUND(100/F113*G113-100,1)&gt;999,999,-999)))</f>
        <v>-28.3</v>
      </c>
      <c r="I113" s="27">
        <f>IFERROR(100/'Skjema total MA'!F113*G113,0)</f>
        <v>0.68305886763579693</v>
      </c>
      <c r="J113" s="287">
        <f t="shared" ref="J113:K121" si="20">SUM(B113,F113)</f>
        <v>140870</v>
      </c>
      <c r="K113" s="44">
        <f t="shared" si="20"/>
        <v>101589</v>
      </c>
      <c r="L113" s="254">
        <f t="shared" ref="L113:L121" si="21">IF(J113=0, "    ---- ", IF(ABS(ROUND(100/J113*K113-100,1))&lt;999,ROUND(100/J113*K113-100,1),IF(ROUND(100/J113*K113-100,1)&gt;999,999,-999)))</f>
        <v>-27.9</v>
      </c>
      <c r="M113" s="27">
        <f>IFERROR(100/'Skjema total MA'!I113*K113,0)</f>
        <v>0.69216284386204219</v>
      </c>
    </row>
    <row r="114" spans="1:14" x14ac:dyDescent="0.2">
      <c r="A114" s="21" t="s">
        <v>26</v>
      </c>
      <c r="B114" s="234"/>
      <c r="C114" s="145"/>
      <c r="D114" s="166"/>
      <c r="E114" s="27"/>
      <c r="F114" s="234"/>
      <c r="G114" s="145"/>
      <c r="H114" s="166"/>
      <c r="I114" s="27"/>
      <c r="J114" s="287"/>
      <c r="K114" s="44"/>
      <c r="L114" s="254"/>
      <c r="M114" s="27"/>
    </row>
    <row r="115" spans="1:14" x14ac:dyDescent="0.2">
      <c r="A115" s="296" t="s">
        <v>15</v>
      </c>
      <c r="B115" s="294"/>
      <c r="C115" s="295"/>
      <c r="D115" s="166"/>
      <c r="E115" s="417"/>
      <c r="F115" s="294"/>
      <c r="G115" s="295"/>
      <c r="H115" s="166"/>
      <c r="I115" s="417"/>
      <c r="J115" s="294"/>
      <c r="K115" s="295"/>
      <c r="L115" s="166"/>
      <c r="M115" s="23"/>
    </row>
    <row r="116" spans="1:14" ht="15.75" x14ac:dyDescent="0.2">
      <c r="A116" s="21" t="s">
        <v>387</v>
      </c>
      <c r="B116" s="234"/>
      <c r="C116" s="234"/>
      <c r="D116" s="166"/>
      <c r="E116" s="27"/>
      <c r="F116" s="234"/>
      <c r="G116" s="234"/>
      <c r="H116" s="166"/>
      <c r="I116" s="27"/>
      <c r="J116" s="287"/>
      <c r="K116" s="44"/>
      <c r="L116" s="254"/>
      <c r="M116" s="27"/>
    </row>
    <row r="117" spans="1:14" ht="15.75" x14ac:dyDescent="0.2">
      <c r="A117" s="21" t="s">
        <v>388</v>
      </c>
      <c r="B117" s="234"/>
      <c r="C117" s="234"/>
      <c r="D117" s="166"/>
      <c r="E117" s="27"/>
      <c r="F117" s="234"/>
      <c r="G117" s="234"/>
      <c r="H117" s="166"/>
      <c r="I117" s="27"/>
      <c r="J117" s="287"/>
      <c r="K117" s="44"/>
      <c r="L117" s="254"/>
      <c r="M117" s="27"/>
    </row>
    <row r="118" spans="1:14" ht="15.75" x14ac:dyDescent="0.2">
      <c r="A118" s="21" t="s">
        <v>386</v>
      </c>
      <c r="B118" s="234"/>
      <c r="C118" s="234"/>
      <c r="D118" s="166"/>
      <c r="E118" s="27"/>
      <c r="F118" s="234"/>
      <c r="G118" s="234"/>
      <c r="H118" s="166"/>
      <c r="I118" s="27"/>
      <c r="J118" s="287"/>
      <c r="K118" s="44"/>
      <c r="L118" s="254"/>
      <c r="M118" s="27"/>
    </row>
    <row r="119" spans="1:14" ht="15.75" x14ac:dyDescent="0.2">
      <c r="A119" s="13" t="s">
        <v>367</v>
      </c>
      <c r="B119" s="308">
        <v>1775</v>
      </c>
      <c r="C119" s="159">
        <v>2241</v>
      </c>
      <c r="D119" s="171">
        <f t="shared" si="18"/>
        <v>26.3</v>
      </c>
      <c r="E119" s="11">
        <f>IFERROR(100/'Skjema total MA'!C119*C119,0)</f>
        <v>0.30484985763387995</v>
      </c>
      <c r="F119" s="308">
        <v>75652</v>
      </c>
      <c r="G119" s="159">
        <v>100813</v>
      </c>
      <c r="H119" s="171">
        <f t="shared" si="19"/>
        <v>33.299999999999997</v>
      </c>
      <c r="I119" s="11">
        <f>IFERROR(100/'Skjema total MA'!F119*G119,0)</f>
        <v>0.68739517228195368</v>
      </c>
      <c r="J119" s="309">
        <f t="shared" si="20"/>
        <v>77427</v>
      </c>
      <c r="K119" s="236">
        <f t="shared" si="20"/>
        <v>103054</v>
      </c>
      <c r="L119" s="428">
        <f t="shared" si="21"/>
        <v>33.1</v>
      </c>
      <c r="M119" s="11">
        <f>IFERROR(100/'Skjema total MA'!I119*K119,0)</f>
        <v>0.6691357051939395</v>
      </c>
    </row>
    <row r="120" spans="1:14" x14ac:dyDescent="0.2">
      <c r="A120" s="21" t="s">
        <v>9</v>
      </c>
      <c r="B120" s="234"/>
      <c r="C120" s="145"/>
      <c r="D120" s="166"/>
      <c r="E120" s="27"/>
      <c r="F120" s="234"/>
      <c r="G120" s="145"/>
      <c r="H120" s="166"/>
      <c r="I120" s="27"/>
      <c r="J120" s="287"/>
      <c r="K120" s="44"/>
      <c r="L120" s="254"/>
      <c r="M120" s="27"/>
    </row>
    <row r="121" spans="1:14" x14ac:dyDescent="0.2">
      <c r="A121" s="21" t="s">
        <v>10</v>
      </c>
      <c r="B121" s="234">
        <v>1775</v>
      </c>
      <c r="C121" s="145">
        <v>2241</v>
      </c>
      <c r="D121" s="166">
        <f t="shared" si="18"/>
        <v>26.3</v>
      </c>
      <c r="E121" s="27">
        <f>IFERROR(100/'Skjema total MA'!C121*C121,0)</f>
        <v>40.700217363860538</v>
      </c>
      <c r="F121" s="234">
        <v>75652</v>
      </c>
      <c r="G121" s="145">
        <v>100813</v>
      </c>
      <c r="H121" s="166">
        <f t="shared" si="19"/>
        <v>33.299999999999997</v>
      </c>
      <c r="I121" s="27">
        <f>IFERROR(100/'Skjema total MA'!F121*G121,0)</f>
        <v>0.68739517228195368</v>
      </c>
      <c r="J121" s="287">
        <f t="shared" si="20"/>
        <v>77427</v>
      </c>
      <c r="K121" s="44">
        <f t="shared" si="20"/>
        <v>103054</v>
      </c>
      <c r="L121" s="254">
        <f t="shared" si="21"/>
        <v>33.1</v>
      </c>
      <c r="M121" s="27">
        <f>IFERROR(100/'Skjema total MA'!I121*K121,0)</f>
        <v>0.70241175913147713</v>
      </c>
    </row>
    <row r="122" spans="1:14" x14ac:dyDescent="0.2">
      <c r="A122" s="21" t="s">
        <v>26</v>
      </c>
      <c r="B122" s="234"/>
      <c r="C122" s="145"/>
      <c r="D122" s="166"/>
      <c r="E122" s="27"/>
      <c r="F122" s="234"/>
      <c r="G122" s="145"/>
      <c r="H122" s="166"/>
      <c r="I122" s="27"/>
      <c r="J122" s="287"/>
      <c r="K122" s="44"/>
      <c r="L122" s="254"/>
      <c r="M122" s="27"/>
    </row>
    <row r="123" spans="1:14" x14ac:dyDescent="0.2">
      <c r="A123" s="296" t="s">
        <v>14</v>
      </c>
      <c r="B123" s="294"/>
      <c r="C123" s="295"/>
      <c r="D123" s="166"/>
      <c r="E123" s="417"/>
      <c r="F123" s="294"/>
      <c r="G123" s="295"/>
      <c r="H123" s="166"/>
      <c r="I123" s="417"/>
      <c r="J123" s="294"/>
      <c r="K123" s="295"/>
      <c r="L123" s="166"/>
      <c r="M123" s="23"/>
    </row>
    <row r="124" spans="1:14" ht="15.75" x14ac:dyDescent="0.2">
      <c r="A124" s="21" t="s">
        <v>393</v>
      </c>
      <c r="B124" s="234"/>
      <c r="C124" s="234"/>
      <c r="D124" s="166"/>
      <c r="E124" s="27"/>
      <c r="F124" s="234"/>
      <c r="G124" s="234"/>
      <c r="H124" s="166"/>
      <c r="I124" s="27"/>
      <c r="J124" s="287"/>
      <c r="K124" s="44"/>
      <c r="L124" s="254"/>
      <c r="M124" s="27"/>
    </row>
    <row r="125" spans="1:14" ht="15.75" x14ac:dyDescent="0.2">
      <c r="A125" s="21" t="s">
        <v>385</v>
      </c>
      <c r="B125" s="234"/>
      <c r="C125" s="234"/>
      <c r="D125" s="166"/>
      <c r="E125" s="27"/>
      <c r="F125" s="234"/>
      <c r="G125" s="234"/>
      <c r="H125" s="166"/>
      <c r="I125" s="27"/>
      <c r="J125" s="287"/>
      <c r="K125" s="44"/>
      <c r="L125" s="254"/>
      <c r="M125" s="27"/>
    </row>
    <row r="126" spans="1:14" ht="15.75" x14ac:dyDescent="0.2">
      <c r="A126" s="10" t="s">
        <v>386</v>
      </c>
      <c r="B126" s="45"/>
      <c r="C126" s="45"/>
      <c r="D126" s="167"/>
      <c r="E126" s="418"/>
      <c r="F126" s="45"/>
      <c r="G126" s="45"/>
      <c r="H126" s="167"/>
      <c r="I126" s="22"/>
      <c r="J126" s="288"/>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35"/>
      <c r="C130" s="735"/>
      <c r="D130" s="735"/>
      <c r="E130" s="299"/>
      <c r="F130" s="735"/>
      <c r="G130" s="735"/>
      <c r="H130" s="735"/>
      <c r="I130" s="299"/>
      <c r="J130" s="735"/>
      <c r="K130" s="735"/>
      <c r="L130" s="735"/>
      <c r="M130" s="299"/>
    </row>
    <row r="131" spans="1:14" s="3" customFormat="1" x14ac:dyDescent="0.2">
      <c r="A131" s="144"/>
      <c r="B131" s="733" t="s">
        <v>0</v>
      </c>
      <c r="C131" s="734"/>
      <c r="D131" s="734"/>
      <c r="E131" s="301"/>
      <c r="F131" s="733" t="s">
        <v>1</v>
      </c>
      <c r="G131" s="734"/>
      <c r="H131" s="734"/>
      <c r="I131" s="304"/>
      <c r="J131" s="733" t="s">
        <v>2</v>
      </c>
      <c r="K131" s="734"/>
      <c r="L131" s="734"/>
      <c r="M131" s="304"/>
      <c r="N131" s="148"/>
    </row>
    <row r="132" spans="1:14" s="3" customFormat="1" x14ac:dyDescent="0.2">
      <c r="A132" s="140"/>
      <c r="B132" s="152" t="s">
        <v>421</v>
      </c>
      <c r="C132" s="152" t="s">
        <v>422</v>
      </c>
      <c r="D132" s="245" t="s">
        <v>3</v>
      </c>
      <c r="E132" s="305" t="s">
        <v>29</v>
      </c>
      <c r="F132" s="152" t="s">
        <v>421</v>
      </c>
      <c r="G132" s="152" t="s">
        <v>422</v>
      </c>
      <c r="H132" s="206" t="s">
        <v>3</v>
      </c>
      <c r="I132" s="162" t="s">
        <v>29</v>
      </c>
      <c r="J132" s="152" t="s">
        <v>421</v>
      </c>
      <c r="K132" s="152" t="s">
        <v>422</v>
      </c>
      <c r="L132" s="246" t="s">
        <v>3</v>
      </c>
      <c r="M132" s="162" t="s">
        <v>29</v>
      </c>
      <c r="N132" s="148"/>
    </row>
    <row r="133" spans="1:14" s="3" customFormat="1" x14ac:dyDescent="0.2">
      <c r="A133" s="708"/>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389</v>
      </c>
      <c r="B134" s="236"/>
      <c r="C134" s="309"/>
      <c r="D134" s="350"/>
      <c r="E134" s="11"/>
      <c r="F134" s="316"/>
      <c r="G134" s="317"/>
      <c r="H134" s="431"/>
      <c r="I134" s="24"/>
      <c r="J134" s="318"/>
      <c r="K134" s="318"/>
      <c r="L134" s="427"/>
      <c r="M134" s="11"/>
      <c r="N134" s="148"/>
    </row>
    <row r="135" spans="1:14" s="3" customFormat="1" ht="15.75" x14ac:dyDescent="0.2">
      <c r="A135" s="13" t="s">
        <v>394</v>
      </c>
      <c r="B135" s="236"/>
      <c r="C135" s="309"/>
      <c r="D135" s="171"/>
      <c r="E135" s="11"/>
      <c r="F135" s="236"/>
      <c r="G135" s="309"/>
      <c r="H135" s="432"/>
      <c r="I135" s="24"/>
      <c r="J135" s="308"/>
      <c r="K135" s="308"/>
      <c r="L135" s="428"/>
      <c r="M135" s="11"/>
      <c r="N135" s="148"/>
    </row>
    <row r="136" spans="1:14" s="3" customFormat="1" ht="15.75" x14ac:dyDescent="0.2">
      <c r="A136" s="13" t="s">
        <v>391</v>
      </c>
      <c r="B136" s="236"/>
      <c r="C136" s="309"/>
      <c r="D136" s="171"/>
      <c r="E136" s="11"/>
      <c r="F136" s="236"/>
      <c r="G136" s="309"/>
      <c r="H136" s="432"/>
      <c r="I136" s="24"/>
      <c r="J136" s="308"/>
      <c r="K136" s="308"/>
      <c r="L136" s="428"/>
      <c r="M136" s="11"/>
      <c r="N136" s="148"/>
    </row>
    <row r="137" spans="1:14" s="3" customFormat="1" ht="15.75" x14ac:dyDescent="0.2">
      <c r="A137" s="41" t="s">
        <v>392</v>
      </c>
      <c r="B137" s="276"/>
      <c r="C137" s="315"/>
      <c r="D137" s="169"/>
      <c r="E137" s="9"/>
      <c r="F137" s="276"/>
      <c r="G137" s="315"/>
      <c r="H137" s="433"/>
      <c r="I137" s="36"/>
      <c r="J137" s="314"/>
      <c r="K137" s="314"/>
      <c r="L137" s="429"/>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372" priority="132">
      <formula>kvartal &lt; 4</formula>
    </cfRule>
  </conditionalFormatting>
  <conditionalFormatting sqref="A50:A52">
    <cfRule type="expression" dxfId="371" priority="12">
      <formula>kvartal &lt; 4</formula>
    </cfRule>
  </conditionalFormatting>
  <conditionalFormatting sqref="A69:A74">
    <cfRule type="expression" dxfId="370" priority="10">
      <formula>kvartal &lt; 4</formula>
    </cfRule>
  </conditionalFormatting>
  <conditionalFormatting sqref="A80:A85">
    <cfRule type="expression" dxfId="369" priority="9">
      <formula>kvartal &lt; 4</formula>
    </cfRule>
  </conditionalFormatting>
  <conditionalFormatting sqref="A90:A95">
    <cfRule type="expression" dxfId="368" priority="6">
      <formula>kvartal &lt; 4</formula>
    </cfRule>
  </conditionalFormatting>
  <conditionalFormatting sqref="A101:A106">
    <cfRule type="expression" dxfId="367" priority="5">
      <formula>kvartal &lt; 4</formula>
    </cfRule>
  </conditionalFormatting>
  <conditionalFormatting sqref="A115">
    <cfRule type="expression" dxfId="366" priority="4">
      <formula>kvartal &lt; 4</formula>
    </cfRule>
  </conditionalFormatting>
  <conditionalFormatting sqref="A123">
    <cfRule type="expression" dxfId="365" priority="3">
      <formula>kvartal &lt; 4</formula>
    </cfRule>
  </conditionalFormatting>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15"/>
  <dimension ref="A1:N144"/>
  <sheetViews>
    <sheetView showGridLines="0" zoomScaleNormal="100" workbookViewId="0">
      <selection activeCell="A3" sqref="A3"/>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135</v>
      </c>
      <c r="B1" s="709"/>
      <c r="C1" s="248" t="s">
        <v>126</v>
      </c>
      <c r="D1" s="26"/>
      <c r="E1" s="26"/>
      <c r="F1" s="26"/>
      <c r="G1" s="26"/>
      <c r="H1" s="26"/>
      <c r="I1" s="26"/>
      <c r="J1" s="26"/>
      <c r="K1" s="26"/>
      <c r="L1" s="26"/>
      <c r="M1" s="26"/>
    </row>
    <row r="2" spans="1:14" ht="15.75" x14ac:dyDescent="0.25">
      <c r="A2" s="165" t="s">
        <v>28</v>
      </c>
      <c r="B2" s="732"/>
      <c r="C2" s="732"/>
      <c r="D2" s="732"/>
      <c r="E2" s="299"/>
      <c r="F2" s="732"/>
      <c r="G2" s="732"/>
      <c r="H2" s="732"/>
      <c r="I2" s="299"/>
      <c r="J2" s="732"/>
      <c r="K2" s="732"/>
      <c r="L2" s="732"/>
      <c r="M2" s="299"/>
    </row>
    <row r="3" spans="1:14" ht="15.75" x14ac:dyDescent="0.25">
      <c r="A3" s="163"/>
      <c r="B3" s="299"/>
      <c r="C3" s="299"/>
      <c r="D3" s="299"/>
      <c r="E3" s="299"/>
      <c r="F3" s="299"/>
      <c r="G3" s="299"/>
      <c r="H3" s="299"/>
      <c r="I3" s="299"/>
      <c r="J3" s="299"/>
      <c r="K3" s="299"/>
      <c r="L3" s="299"/>
      <c r="M3" s="299"/>
    </row>
    <row r="4" spans="1:14" x14ac:dyDescent="0.2">
      <c r="A4" s="144"/>
      <c r="B4" s="733" t="s">
        <v>0</v>
      </c>
      <c r="C4" s="734"/>
      <c r="D4" s="734"/>
      <c r="E4" s="301"/>
      <c r="F4" s="733" t="s">
        <v>1</v>
      </c>
      <c r="G4" s="734"/>
      <c r="H4" s="734"/>
      <c r="I4" s="304"/>
      <c r="J4" s="733" t="s">
        <v>2</v>
      </c>
      <c r="K4" s="734"/>
      <c r="L4" s="734"/>
      <c r="M4" s="304"/>
    </row>
    <row r="5" spans="1:14" x14ac:dyDescent="0.2">
      <c r="A5" s="158"/>
      <c r="B5" s="152" t="s">
        <v>421</v>
      </c>
      <c r="C5" s="152" t="s">
        <v>422</v>
      </c>
      <c r="D5" s="245" t="s">
        <v>3</v>
      </c>
      <c r="E5" s="305" t="s">
        <v>29</v>
      </c>
      <c r="F5" s="152" t="s">
        <v>421</v>
      </c>
      <c r="G5" s="152" t="s">
        <v>422</v>
      </c>
      <c r="H5" s="245" t="s">
        <v>3</v>
      </c>
      <c r="I5" s="162" t="s">
        <v>29</v>
      </c>
      <c r="J5" s="152" t="s">
        <v>421</v>
      </c>
      <c r="K5" s="152" t="s">
        <v>422</v>
      </c>
      <c r="L5" s="245" t="s">
        <v>3</v>
      </c>
      <c r="M5" s="162" t="s">
        <v>29</v>
      </c>
    </row>
    <row r="6" spans="1:14" x14ac:dyDescent="0.2">
      <c r="A6" s="707"/>
      <c r="B6" s="156"/>
      <c r="C6" s="156"/>
      <c r="D6" s="246" t="s">
        <v>4</v>
      </c>
      <c r="E6" s="156" t="s">
        <v>30</v>
      </c>
      <c r="F6" s="161"/>
      <c r="G6" s="161"/>
      <c r="H6" s="245" t="s">
        <v>4</v>
      </c>
      <c r="I6" s="156" t="s">
        <v>30</v>
      </c>
      <c r="J6" s="161"/>
      <c r="K6" s="161"/>
      <c r="L6" s="245" t="s">
        <v>4</v>
      </c>
      <c r="M6" s="156" t="s">
        <v>30</v>
      </c>
    </row>
    <row r="7" spans="1:14" ht="15.75" x14ac:dyDescent="0.2">
      <c r="A7" s="14" t="s">
        <v>23</v>
      </c>
      <c r="B7" s="306"/>
      <c r="C7" s="307"/>
      <c r="D7" s="350"/>
      <c r="E7" s="11"/>
      <c r="F7" s="306"/>
      <c r="G7" s="307"/>
      <c r="H7" s="350"/>
      <c r="I7" s="160"/>
      <c r="J7" s="308"/>
      <c r="K7" s="309"/>
      <c r="L7" s="427"/>
      <c r="M7" s="11"/>
    </row>
    <row r="8" spans="1:14" ht="15.75" x14ac:dyDescent="0.2">
      <c r="A8" s="21" t="s">
        <v>25</v>
      </c>
      <c r="B8" s="281"/>
      <c r="C8" s="282"/>
      <c r="D8" s="166"/>
      <c r="E8" s="27"/>
      <c r="F8" s="285"/>
      <c r="G8" s="286"/>
      <c r="H8" s="166"/>
      <c r="I8" s="175"/>
      <c r="J8" s="234"/>
      <c r="K8" s="287"/>
      <c r="L8" s="166"/>
      <c r="M8" s="27"/>
    </row>
    <row r="9" spans="1:14" ht="15.75" x14ac:dyDescent="0.2">
      <c r="A9" s="21" t="s">
        <v>24</v>
      </c>
      <c r="B9" s="281"/>
      <c r="C9" s="282"/>
      <c r="D9" s="166"/>
      <c r="E9" s="27"/>
      <c r="F9" s="285"/>
      <c r="G9" s="286"/>
      <c r="H9" s="166"/>
      <c r="I9" s="175"/>
      <c r="J9" s="234"/>
      <c r="K9" s="287"/>
      <c r="L9" s="166"/>
      <c r="M9" s="27"/>
    </row>
    <row r="10" spans="1:14" ht="15.75" x14ac:dyDescent="0.2">
      <c r="A10" s="13" t="s">
        <v>365</v>
      </c>
      <c r="B10" s="310"/>
      <c r="C10" s="311"/>
      <c r="D10" s="171"/>
      <c r="E10" s="11"/>
      <c r="F10" s="310"/>
      <c r="G10" s="311"/>
      <c r="H10" s="171"/>
      <c r="I10" s="160"/>
      <c r="J10" s="308"/>
      <c r="K10" s="309"/>
      <c r="L10" s="428"/>
      <c r="M10" s="11"/>
    </row>
    <row r="11" spans="1:14" s="43" customFormat="1" ht="15.75" x14ac:dyDescent="0.2">
      <c r="A11" s="13" t="s">
        <v>366</v>
      </c>
      <c r="B11" s="310"/>
      <c r="C11" s="311"/>
      <c r="D11" s="171"/>
      <c r="E11" s="11"/>
      <c r="F11" s="310"/>
      <c r="G11" s="311"/>
      <c r="H11" s="171"/>
      <c r="I11" s="160"/>
      <c r="J11" s="308"/>
      <c r="K11" s="309"/>
      <c r="L11" s="428"/>
      <c r="M11" s="11"/>
      <c r="N11" s="143"/>
    </row>
    <row r="12" spans="1:14" s="43" customFormat="1" ht="15.75" x14ac:dyDescent="0.2">
      <c r="A12" s="41" t="s">
        <v>367</v>
      </c>
      <c r="B12" s="312"/>
      <c r="C12" s="313"/>
      <c r="D12" s="169"/>
      <c r="E12" s="36"/>
      <c r="F12" s="312"/>
      <c r="G12" s="313"/>
      <c r="H12" s="169"/>
      <c r="I12" s="169"/>
      <c r="J12" s="314"/>
      <c r="K12" s="315"/>
      <c r="L12" s="429"/>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275</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272</v>
      </c>
      <c r="B17" s="157"/>
      <c r="C17" s="157"/>
      <c r="D17" s="151"/>
      <c r="E17" s="151"/>
      <c r="F17" s="157"/>
      <c r="G17" s="157"/>
      <c r="H17" s="157"/>
      <c r="I17" s="157"/>
      <c r="J17" s="157"/>
      <c r="K17" s="157"/>
      <c r="L17" s="157"/>
      <c r="M17" s="157"/>
    </row>
    <row r="18" spans="1:14" ht="15.75" x14ac:dyDescent="0.25">
      <c r="B18" s="735"/>
      <c r="C18" s="735"/>
      <c r="D18" s="735"/>
      <c r="E18" s="299"/>
      <c r="F18" s="735"/>
      <c r="G18" s="735"/>
      <c r="H18" s="735"/>
      <c r="I18" s="299"/>
      <c r="J18" s="735"/>
      <c r="K18" s="735"/>
      <c r="L18" s="735"/>
      <c r="M18" s="299"/>
    </row>
    <row r="19" spans="1:14" x14ac:dyDescent="0.2">
      <c r="A19" s="144"/>
      <c r="B19" s="733" t="s">
        <v>0</v>
      </c>
      <c r="C19" s="734"/>
      <c r="D19" s="734"/>
      <c r="E19" s="301"/>
      <c r="F19" s="733" t="s">
        <v>1</v>
      </c>
      <c r="G19" s="734"/>
      <c r="H19" s="734"/>
      <c r="I19" s="304"/>
      <c r="J19" s="733" t="s">
        <v>2</v>
      </c>
      <c r="K19" s="734"/>
      <c r="L19" s="734"/>
      <c r="M19" s="304"/>
    </row>
    <row r="20" spans="1:14" x14ac:dyDescent="0.2">
      <c r="A20" s="140" t="s">
        <v>5</v>
      </c>
      <c r="B20" s="152" t="s">
        <v>421</v>
      </c>
      <c r="C20" s="152" t="s">
        <v>422</v>
      </c>
      <c r="D20" s="162" t="s">
        <v>3</v>
      </c>
      <c r="E20" s="305" t="s">
        <v>29</v>
      </c>
      <c r="F20" s="152" t="s">
        <v>421</v>
      </c>
      <c r="G20" s="152" t="s">
        <v>422</v>
      </c>
      <c r="H20" s="162" t="s">
        <v>3</v>
      </c>
      <c r="I20" s="162" t="s">
        <v>29</v>
      </c>
      <c r="J20" s="152" t="s">
        <v>421</v>
      </c>
      <c r="K20" s="152" t="s">
        <v>422</v>
      </c>
      <c r="L20" s="162" t="s">
        <v>3</v>
      </c>
      <c r="M20" s="162" t="s">
        <v>29</v>
      </c>
    </row>
    <row r="21" spans="1:14" x14ac:dyDescent="0.2">
      <c r="A21" s="708"/>
      <c r="B21" s="156"/>
      <c r="C21" s="156"/>
      <c r="D21" s="246" t="s">
        <v>4</v>
      </c>
      <c r="E21" s="156" t="s">
        <v>30</v>
      </c>
      <c r="F21" s="161"/>
      <c r="G21" s="161"/>
      <c r="H21" s="245" t="s">
        <v>4</v>
      </c>
      <c r="I21" s="156" t="s">
        <v>30</v>
      </c>
      <c r="J21" s="161"/>
      <c r="K21" s="161"/>
      <c r="L21" s="156" t="s">
        <v>4</v>
      </c>
      <c r="M21" s="156" t="s">
        <v>30</v>
      </c>
    </row>
    <row r="22" spans="1:14" ht="15.75" x14ac:dyDescent="0.2">
      <c r="A22" s="14" t="s">
        <v>23</v>
      </c>
      <c r="B22" s="310"/>
      <c r="C22" s="310"/>
      <c r="D22" s="350"/>
      <c r="E22" s="11"/>
      <c r="F22" s="318"/>
      <c r="G22" s="318"/>
      <c r="H22" s="350"/>
      <c r="I22" s="11"/>
      <c r="J22" s="316"/>
      <c r="K22" s="316"/>
      <c r="L22" s="427"/>
      <c r="M22" s="24"/>
    </row>
    <row r="23" spans="1:14" ht="15.75" x14ac:dyDescent="0.2">
      <c r="A23" s="584" t="s">
        <v>368</v>
      </c>
      <c r="B23" s="281"/>
      <c r="C23" s="281"/>
      <c r="D23" s="166"/>
      <c r="E23" s="11"/>
      <c r="F23" s="290"/>
      <c r="G23" s="290"/>
      <c r="H23" s="166"/>
      <c r="I23" s="417"/>
      <c r="J23" s="290"/>
      <c r="K23" s="290"/>
      <c r="L23" s="166"/>
      <c r="M23" s="23"/>
    </row>
    <row r="24" spans="1:14" ht="15.75" x14ac:dyDescent="0.2">
      <c r="A24" s="584" t="s">
        <v>369</v>
      </c>
      <c r="B24" s="281"/>
      <c r="C24" s="281"/>
      <c r="D24" s="166"/>
      <c r="E24" s="11"/>
      <c r="F24" s="290"/>
      <c r="G24" s="290"/>
      <c r="H24" s="166"/>
      <c r="I24" s="417"/>
      <c r="J24" s="290"/>
      <c r="K24" s="290"/>
      <c r="L24" s="166"/>
      <c r="M24" s="23"/>
    </row>
    <row r="25" spans="1:14" ht="15.75" x14ac:dyDescent="0.2">
      <c r="A25" s="584" t="s">
        <v>370</v>
      </c>
      <c r="B25" s="281"/>
      <c r="C25" s="281"/>
      <c r="D25" s="166"/>
      <c r="E25" s="11"/>
      <c r="F25" s="290"/>
      <c r="G25" s="290"/>
      <c r="H25" s="166"/>
      <c r="I25" s="417"/>
      <c r="J25" s="290"/>
      <c r="K25" s="290"/>
      <c r="L25" s="166"/>
      <c r="M25" s="23"/>
    </row>
    <row r="26" spans="1:14" ht="15.75" x14ac:dyDescent="0.2">
      <c r="A26" s="584" t="s">
        <v>371</v>
      </c>
      <c r="B26" s="281"/>
      <c r="C26" s="281"/>
      <c r="D26" s="166"/>
      <c r="E26" s="11"/>
      <c r="F26" s="290"/>
      <c r="G26" s="290"/>
      <c r="H26" s="166"/>
      <c r="I26" s="417"/>
      <c r="J26" s="290"/>
      <c r="K26" s="290"/>
      <c r="L26" s="166"/>
      <c r="M26" s="23"/>
    </row>
    <row r="27" spans="1:14" x14ac:dyDescent="0.2">
      <c r="A27" s="584" t="s">
        <v>11</v>
      </c>
      <c r="B27" s="281"/>
      <c r="C27" s="281"/>
      <c r="D27" s="166"/>
      <c r="E27" s="11"/>
      <c r="F27" s="290"/>
      <c r="G27" s="290"/>
      <c r="H27" s="166"/>
      <c r="I27" s="417"/>
      <c r="J27" s="290"/>
      <c r="K27" s="290"/>
      <c r="L27" s="166"/>
      <c r="M27" s="23"/>
    </row>
    <row r="28" spans="1:14" ht="15.75" x14ac:dyDescent="0.2">
      <c r="A28" s="49" t="s">
        <v>276</v>
      </c>
      <c r="B28" s="44"/>
      <c r="C28" s="287"/>
      <c r="D28" s="166"/>
      <c r="E28" s="11"/>
      <c r="F28" s="234"/>
      <c r="G28" s="287"/>
      <c r="H28" s="166"/>
      <c r="I28" s="27"/>
      <c r="J28" s="44"/>
      <c r="K28" s="44"/>
      <c r="L28" s="254"/>
      <c r="M28" s="23"/>
    </row>
    <row r="29" spans="1:14" s="3" customFormat="1" ht="15.75" x14ac:dyDescent="0.2">
      <c r="A29" s="13" t="s">
        <v>365</v>
      </c>
      <c r="B29" s="236"/>
      <c r="C29" s="236"/>
      <c r="D29" s="171"/>
      <c r="E29" s="11"/>
      <c r="F29" s="308"/>
      <c r="G29" s="308"/>
      <c r="H29" s="171"/>
      <c r="I29" s="11"/>
      <c r="J29" s="236"/>
      <c r="K29" s="236"/>
      <c r="L29" s="428"/>
      <c r="M29" s="24"/>
      <c r="N29" s="148"/>
    </row>
    <row r="30" spans="1:14" s="3" customFormat="1" ht="15.75" x14ac:dyDescent="0.2">
      <c r="A30" s="584" t="s">
        <v>368</v>
      </c>
      <c r="B30" s="281"/>
      <c r="C30" s="281"/>
      <c r="D30" s="166"/>
      <c r="E30" s="11"/>
      <c r="F30" s="290"/>
      <c r="G30" s="290"/>
      <c r="H30" s="166"/>
      <c r="I30" s="417"/>
      <c r="J30" s="290"/>
      <c r="K30" s="290"/>
      <c r="L30" s="166"/>
      <c r="M30" s="23"/>
      <c r="N30" s="148"/>
    </row>
    <row r="31" spans="1:14" s="3" customFormat="1" ht="15.75" x14ac:dyDescent="0.2">
      <c r="A31" s="584" t="s">
        <v>369</v>
      </c>
      <c r="B31" s="281"/>
      <c r="C31" s="281"/>
      <c r="D31" s="166"/>
      <c r="E31" s="11"/>
      <c r="F31" s="290"/>
      <c r="G31" s="290"/>
      <c r="H31" s="166"/>
      <c r="I31" s="417"/>
      <c r="J31" s="290"/>
      <c r="K31" s="290"/>
      <c r="L31" s="166"/>
      <c r="M31" s="23"/>
      <c r="N31" s="148"/>
    </row>
    <row r="32" spans="1:14" ht="15.75" x14ac:dyDescent="0.2">
      <c r="A32" s="584" t="s">
        <v>370</v>
      </c>
      <c r="B32" s="281"/>
      <c r="C32" s="281"/>
      <c r="D32" s="166"/>
      <c r="E32" s="11"/>
      <c r="F32" s="290"/>
      <c r="G32" s="290"/>
      <c r="H32" s="166"/>
      <c r="I32" s="417"/>
      <c r="J32" s="290"/>
      <c r="K32" s="290"/>
      <c r="L32" s="166"/>
      <c r="M32" s="23"/>
    </row>
    <row r="33" spans="1:14" ht="15.75" x14ac:dyDescent="0.2">
      <c r="A33" s="584" t="s">
        <v>371</v>
      </c>
      <c r="B33" s="281"/>
      <c r="C33" s="281"/>
      <c r="D33" s="166"/>
      <c r="E33" s="11"/>
      <c r="F33" s="290"/>
      <c r="G33" s="290"/>
      <c r="H33" s="166"/>
      <c r="I33" s="417"/>
      <c r="J33" s="290"/>
      <c r="K33" s="290"/>
      <c r="L33" s="166"/>
      <c r="M33" s="23"/>
    </row>
    <row r="34" spans="1:14" ht="15.75" x14ac:dyDescent="0.2">
      <c r="A34" s="13" t="s">
        <v>366</v>
      </c>
      <c r="B34" s="236"/>
      <c r="C34" s="309"/>
      <c r="D34" s="171"/>
      <c r="E34" s="11"/>
      <c r="F34" s="308"/>
      <c r="G34" s="309"/>
      <c r="H34" s="171"/>
      <c r="I34" s="11"/>
      <c r="J34" s="236"/>
      <c r="K34" s="236"/>
      <c r="L34" s="428"/>
      <c r="M34" s="24"/>
    </row>
    <row r="35" spans="1:14" ht="15.75" x14ac:dyDescent="0.2">
      <c r="A35" s="13" t="s">
        <v>367</v>
      </c>
      <c r="B35" s="236"/>
      <c r="C35" s="309"/>
      <c r="D35" s="171"/>
      <c r="E35" s="11"/>
      <c r="F35" s="308"/>
      <c r="G35" s="309"/>
      <c r="H35" s="171"/>
      <c r="I35" s="11"/>
      <c r="J35" s="236"/>
      <c r="K35" s="236"/>
      <c r="L35" s="428"/>
      <c r="M35" s="24"/>
    </row>
    <row r="36" spans="1:14" ht="15.75" x14ac:dyDescent="0.2">
      <c r="A36" s="12" t="s">
        <v>284</v>
      </c>
      <c r="B36" s="236"/>
      <c r="C36" s="309"/>
      <c r="D36" s="171"/>
      <c r="E36" s="11"/>
      <c r="F36" s="319"/>
      <c r="G36" s="320"/>
      <c r="H36" s="171"/>
      <c r="I36" s="434"/>
      <c r="J36" s="236"/>
      <c r="K36" s="236"/>
      <c r="L36" s="428"/>
      <c r="M36" s="24"/>
    </row>
    <row r="37" spans="1:14" ht="15.75" x14ac:dyDescent="0.2">
      <c r="A37" s="12" t="s">
        <v>373</v>
      </c>
      <c r="B37" s="236"/>
      <c r="C37" s="309"/>
      <c r="D37" s="171"/>
      <c r="E37" s="11"/>
      <c r="F37" s="319"/>
      <c r="G37" s="321"/>
      <c r="H37" s="171"/>
      <c r="I37" s="434"/>
      <c r="J37" s="236"/>
      <c r="K37" s="236"/>
      <c r="L37" s="428"/>
      <c r="M37" s="24"/>
    </row>
    <row r="38" spans="1:14" ht="15.75" x14ac:dyDescent="0.2">
      <c r="A38" s="12" t="s">
        <v>374</v>
      </c>
      <c r="B38" s="236"/>
      <c r="C38" s="309"/>
      <c r="D38" s="171"/>
      <c r="E38" s="24"/>
      <c r="F38" s="319"/>
      <c r="G38" s="320"/>
      <c r="H38" s="171"/>
      <c r="I38" s="434"/>
      <c r="J38" s="236"/>
      <c r="K38" s="236"/>
      <c r="L38" s="428"/>
      <c r="M38" s="24"/>
    </row>
    <row r="39" spans="1:14" ht="15.75" x14ac:dyDescent="0.2">
      <c r="A39" s="18" t="s">
        <v>375</v>
      </c>
      <c r="B39" s="276"/>
      <c r="C39" s="315"/>
      <c r="D39" s="169"/>
      <c r="E39" s="36"/>
      <c r="F39" s="322"/>
      <c r="G39" s="323"/>
      <c r="H39" s="169"/>
      <c r="I39" s="36"/>
      <c r="J39" s="236"/>
      <c r="K39" s="236"/>
      <c r="L39" s="429"/>
      <c r="M39" s="36"/>
    </row>
    <row r="40" spans="1:14" ht="15.75" x14ac:dyDescent="0.25">
      <c r="A40" s="47"/>
      <c r="B40" s="253"/>
      <c r="C40" s="253"/>
      <c r="D40" s="736"/>
      <c r="E40" s="736"/>
      <c r="F40" s="736"/>
      <c r="G40" s="736"/>
      <c r="H40" s="736"/>
      <c r="I40" s="736"/>
      <c r="J40" s="736"/>
      <c r="K40" s="736"/>
      <c r="L40" s="736"/>
      <c r="M40" s="302"/>
    </row>
    <row r="41" spans="1:14" x14ac:dyDescent="0.2">
      <c r="A41" s="155"/>
    </row>
    <row r="42" spans="1:14" ht="15.75" x14ac:dyDescent="0.25">
      <c r="A42" s="147" t="s">
        <v>273</v>
      </c>
      <c r="B42" s="732"/>
      <c r="C42" s="732"/>
      <c r="D42" s="732"/>
      <c r="E42" s="299"/>
      <c r="F42" s="737"/>
      <c r="G42" s="737"/>
      <c r="H42" s="737"/>
      <c r="I42" s="302"/>
      <c r="J42" s="737"/>
      <c r="K42" s="737"/>
      <c r="L42" s="737"/>
      <c r="M42" s="302"/>
    </row>
    <row r="43" spans="1:14" ht="15.75" x14ac:dyDescent="0.25">
      <c r="A43" s="163"/>
      <c r="B43" s="303"/>
      <c r="C43" s="303"/>
      <c r="D43" s="303"/>
      <c r="E43" s="303"/>
      <c r="F43" s="302"/>
      <c r="G43" s="302"/>
      <c r="H43" s="302"/>
      <c r="I43" s="302"/>
      <c r="J43" s="302"/>
      <c r="K43" s="302"/>
      <c r="L43" s="302"/>
      <c r="M43" s="302"/>
    </row>
    <row r="44" spans="1:14" ht="15.75" x14ac:dyDescent="0.25">
      <c r="A44" s="247"/>
      <c r="B44" s="733" t="s">
        <v>0</v>
      </c>
      <c r="C44" s="734"/>
      <c r="D44" s="734"/>
      <c r="E44" s="243"/>
      <c r="F44" s="302"/>
      <c r="G44" s="302"/>
      <c r="H44" s="302"/>
      <c r="I44" s="302"/>
      <c r="J44" s="302"/>
      <c r="K44" s="302"/>
      <c r="L44" s="302"/>
      <c r="M44" s="302"/>
    </row>
    <row r="45" spans="1:14" s="3" customFormat="1" x14ac:dyDescent="0.2">
      <c r="A45" s="140"/>
      <c r="B45" s="152" t="s">
        <v>421</v>
      </c>
      <c r="C45" s="152" t="s">
        <v>422</v>
      </c>
      <c r="D45" s="162" t="s">
        <v>3</v>
      </c>
      <c r="E45" s="162" t="s">
        <v>29</v>
      </c>
      <c r="F45" s="174"/>
      <c r="G45" s="174"/>
      <c r="H45" s="173"/>
      <c r="I45" s="173"/>
      <c r="J45" s="174"/>
      <c r="K45" s="174"/>
      <c r="L45" s="173"/>
      <c r="M45" s="173"/>
      <c r="N45" s="148"/>
    </row>
    <row r="46" spans="1:14" s="3" customFormat="1" x14ac:dyDescent="0.2">
      <c r="A46" s="708"/>
      <c r="B46" s="244"/>
      <c r="C46" s="244"/>
      <c r="D46" s="245" t="s">
        <v>4</v>
      </c>
      <c r="E46" s="156" t="s">
        <v>30</v>
      </c>
      <c r="F46" s="173"/>
      <c r="G46" s="173"/>
      <c r="H46" s="173"/>
      <c r="I46" s="173"/>
      <c r="J46" s="173"/>
      <c r="K46" s="173"/>
      <c r="L46" s="173"/>
      <c r="M46" s="173"/>
      <c r="N46" s="148"/>
    </row>
    <row r="47" spans="1:14" s="3" customFormat="1" ht="15.75" x14ac:dyDescent="0.2">
      <c r="A47" s="14" t="s">
        <v>23</v>
      </c>
      <c r="B47" s="310">
        <v>6362.2570000000096</v>
      </c>
      <c r="C47" s="311">
        <v>3713.2633999999998</v>
      </c>
      <c r="D47" s="427">
        <f t="shared" ref="D47:D54" si="0">IF(B47=0, "    ---- ", IF(ABS(ROUND(100/B47*C47-100,1))&lt;999,ROUND(100/B47*C47-100,1),IF(ROUND(100/B47*C47-100,1)&gt;999,999,-999)))</f>
        <v>-41.6</v>
      </c>
      <c r="E47" s="11">
        <f>IFERROR(100/'Skjema total MA'!C47*C47,0)</f>
        <v>8.7865334851369409E-2</v>
      </c>
      <c r="F47" s="145"/>
      <c r="G47" s="33"/>
      <c r="H47" s="159"/>
      <c r="I47" s="159"/>
      <c r="J47" s="37"/>
      <c r="K47" s="37"/>
      <c r="L47" s="159"/>
      <c r="M47" s="159"/>
      <c r="N47" s="148"/>
    </row>
    <row r="48" spans="1:14" s="3" customFormat="1" ht="15.75" x14ac:dyDescent="0.2">
      <c r="A48" s="38" t="s">
        <v>376</v>
      </c>
      <c r="B48" s="281">
        <v>6362.2570000000096</v>
      </c>
      <c r="C48" s="282">
        <v>3713.2633999999998</v>
      </c>
      <c r="D48" s="254">
        <f t="shared" si="0"/>
        <v>-41.6</v>
      </c>
      <c r="E48" s="27">
        <f>IFERROR(100/'Skjema total MA'!C48*C48,0)</f>
        <v>0.1560932776015066</v>
      </c>
      <c r="F48" s="145"/>
      <c r="G48" s="33"/>
      <c r="H48" s="145"/>
      <c r="I48" s="145"/>
      <c r="J48" s="33"/>
      <c r="K48" s="33"/>
      <c r="L48" s="159"/>
      <c r="M48" s="159"/>
      <c r="N48" s="148"/>
    </row>
    <row r="49" spans="1:14" s="3" customFormat="1" ht="15.75" x14ac:dyDescent="0.2">
      <c r="A49" s="38" t="s">
        <v>377</v>
      </c>
      <c r="B49" s="44"/>
      <c r="C49" s="287"/>
      <c r="D49" s="254"/>
      <c r="E49" s="27"/>
      <c r="F49" s="145"/>
      <c r="G49" s="33"/>
      <c r="H49" s="145"/>
      <c r="I49" s="145"/>
      <c r="J49" s="37"/>
      <c r="K49" s="37"/>
      <c r="L49" s="159"/>
      <c r="M49" s="159"/>
      <c r="N49" s="148"/>
    </row>
    <row r="50" spans="1:14" s="3" customFormat="1" x14ac:dyDescent="0.2">
      <c r="A50" s="296" t="s">
        <v>6</v>
      </c>
      <c r="B50" s="290"/>
      <c r="C50" s="291"/>
      <c r="D50" s="254"/>
      <c r="E50" s="23"/>
      <c r="F50" s="145"/>
      <c r="G50" s="33"/>
      <c r="H50" s="145"/>
      <c r="I50" s="145"/>
      <c r="J50" s="33"/>
      <c r="K50" s="33"/>
      <c r="L50" s="159"/>
      <c r="M50" s="159"/>
      <c r="N50" s="148"/>
    </row>
    <row r="51" spans="1:14" s="3" customFormat="1" x14ac:dyDescent="0.2">
      <c r="A51" s="296" t="s">
        <v>7</v>
      </c>
      <c r="B51" s="290"/>
      <c r="C51" s="291"/>
      <c r="D51" s="254"/>
      <c r="E51" s="23"/>
      <c r="F51" s="145"/>
      <c r="G51" s="33"/>
      <c r="H51" s="145"/>
      <c r="I51" s="145"/>
      <c r="J51" s="33"/>
      <c r="K51" s="33"/>
      <c r="L51" s="159"/>
      <c r="M51" s="159"/>
      <c r="N51" s="148"/>
    </row>
    <row r="52" spans="1:14" s="3" customFormat="1" x14ac:dyDescent="0.2">
      <c r="A52" s="296" t="s">
        <v>8</v>
      </c>
      <c r="B52" s="290"/>
      <c r="C52" s="291"/>
      <c r="D52" s="254"/>
      <c r="E52" s="23"/>
      <c r="F52" s="145"/>
      <c r="G52" s="33"/>
      <c r="H52" s="145"/>
      <c r="I52" s="145"/>
      <c r="J52" s="33"/>
      <c r="K52" s="33"/>
      <c r="L52" s="159"/>
      <c r="M52" s="159"/>
      <c r="N52" s="148"/>
    </row>
    <row r="53" spans="1:14" s="3" customFormat="1" ht="15.75" x14ac:dyDescent="0.2">
      <c r="A53" s="39" t="s">
        <v>378</v>
      </c>
      <c r="B53" s="310">
        <v>0</v>
      </c>
      <c r="C53" s="311">
        <v>177.88800000000001</v>
      </c>
      <c r="D53" s="428" t="str">
        <f t="shared" si="0"/>
        <v xml:space="preserve">    ---- </v>
      </c>
      <c r="E53" s="11">
        <f>IFERROR(100/'Skjema total MA'!C53*C53,0)</f>
        <v>0.11442489698652415</v>
      </c>
      <c r="F53" s="145"/>
      <c r="G53" s="33"/>
      <c r="H53" s="145"/>
      <c r="I53" s="145"/>
      <c r="J53" s="33"/>
      <c r="K53" s="33"/>
      <c r="L53" s="159"/>
      <c r="M53" s="159"/>
      <c r="N53" s="148"/>
    </row>
    <row r="54" spans="1:14" s="3" customFormat="1" ht="15.75" x14ac:dyDescent="0.2">
      <c r="A54" s="38" t="s">
        <v>376</v>
      </c>
      <c r="B54" s="281">
        <v>0</v>
      </c>
      <c r="C54" s="282">
        <v>177.88800000000001</v>
      </c>
      <c r="D54" s="254" t="str">
        <f t="shared" si="0"/>
        <v xml:space="preserve">    ---- </v>
      </c>
      <c r="E54" s="27">
        <f>IFERROR(100/'Skjema total MA'!C54*C54,0)</f>
        <v>0.11442489698652415</v>
      </c>
      <c r="F54" s="145"/>
      <c r="G54" s="33"/>
      <c r="H54" s="145"/>
      <c r="I54" s="145"/>
      <c r="J54" s="33"/>
      <c r="K54" s="33"/>
      <c r="L54" s="159"/>
      <c r="M54" s="159"/>
      <c r="N54" s="148"/>
    </row>
    <row r="55" spans="1:14" s="3" customFormat="1" ht="15.75" x14ac:dyDescent="0.2">
      <c r="A55" s="38" t="s">
        <v>377</v>
      </c>
      <c r="B55" s="281"/>
      <c r="C55" s="282"/>
      <c r="D55" s="254"/>
      <c r="E55" s="27"/>
      <c r="F55" s="145"/>
      <c r="G55" s="33"/>
      <c r="H55" s="145"/>
      <c r="I55" s="145"/>
      <c r="J55" s="33"/>
      <c r="K55" s="33"/>
      <c r="L55" s="159"/>
      <c r="M55" s="159"/>
      <c r="N55" s="148"/>
    </row>
    <row r="56" spans="1:14" s="3" customFormat="1" ht="15.75" x14ac:dyDescent="0.2">
      <c r="A56" s="39" t="s">
        <v>379</v>
      </c>
      <c r="B56" s="310"/>
      <c r="C56" s="311"/>
      <c r="D56" s="428"/>
      <c r="E56" s="11"/>
      <c r="F56" s="145"/>
      <c r="G56" s="33"/>
      <c r="H56" s="145"/>
      <c r="I56" s="145"/>
      <c r="J56" s="33"/>
      <c r="K56" s="33"/>
      <c r="L56" s="159"/>
      <c r="M56" s="159"/>
      <c r="N56" s="148"/>
    </row>
    <row r="57" spans="1:14" s="3" customFormat="1" ht="15.75" x14ac:dyDescent="0.2">
      <c r="A57" s="38" t="s">
        <v>376</v>
      </c>
      <c r="B57" s="281"/>
      <c r="C57" s="282"/>
      <c r="D57" s="254"/>
      <c r="E57" s="27"/>
      <c r="F57" s="145"/>
      <c r="G57" s="33"/>
      <c r="H57" s="145"/>
      <c r="I57" s="145"/>
      <c r="J57" s="33"/>
      <c r="K57" s="33"/>
      <c r="L57" s="159"/>
      <c r="M57" s="159"/>
      <c r="N57" s="148"/>
    </row>
    <row r="58" spans="1:14" s="3" customFormat="1" ht="15.75" x14ac:dyDescent="0.2">
      <c r="A58" s="46" t="s">
        <v>377</v>
      </c>
      <c r="B58" s="283"/>
      <c r="C58" s="284"/>
      <c r="D58" s="255"/>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274</v>
      </c>
      <c r="C61" s="26"/>
      <c r="D61" s="26"/>
      <c r="E61" s="26"/>
      <c r="F61" s="26"/>
      <c r="G61" s="26"/>
      <c r="H61" s="26"/>
      <c r="I61" s="26"/>
      <c r="J61" s="26"/>
      <c r="K61" s="26"/>
      <c r="L61" s="26"/>
      <c r="M61" s="26"/>
    </row>
    <row r="62" spans="1:14" ht="15.75" x14ac:dyDescent="0.25">
      <c r="B62" s="735"/>
      <c r="C62" s="735"/>
      <c r="D62" s="735"/>
      <c r="E62" s="299"/>
      <c r="F62" s="735"/>
      <c r="G62" s="735"/>
      <c r="H62" s="735"/>
      <c r="I62" s="299"/>
      <c r="J62" s="735"/>
      <c r="K62" s="735"/>
      <c r="L62" s="735"/>
      <c r="M62" s="299"/>
    </row>
    <row r="63" spans="1:14" x14ac:dyDescent="0.2">
      <c r="A63" s="144"/>
      <c r="B63" s="733" t="s">
        <v>0</v>
      </c>
      <c r="C63" s="734"/>
      <c r="D63" s="738"/>
      <c r="E63" s="300"/>
      <c r="F63" s="734" t="s">
        <v>1</v>
      </c>
      <c r="G63" s="734"/>
      <c r="H63" s="734"/>
      <c r="I63" s="304"/>
      <c r="J63" s="733" t="s">
        <v>2</v>
      </c>
      <c r="K63" s="734"/>
      <c r="L63" s="734"/>
      <c r="M63" s="304"/>
    </row>
    <row r="64" spans="1:14" x14ac:dyDescent="0.2">
      <c r="A64" s="140"/>
      <c r="B64" s="152" t="s">
        <v>421</v>
      </c>
      <c r="C64" s="152" t="s">
        <v>422</v>
      </c>
      <c r="D64" s="245" t="s">
        <v>3</v>
      </c>
      <c r="E64" s="305" t="s">
        <v>29</v>
      </c>
      <c r="F64" s="152" t="s">
        <v>421</v>
      </c>
      <c r="G64" s="152" t="s">
        <v>422</v>
      </c>
      <c r="H64" s="245" t="s">
        <v>3</v>
      </c>
      <c r="I64" s="305" t="s">
        <v>29</v>
      </c>
      <c r="J64" s="152" t="s">
        <v>421</v>
      </c>
      <c r="K64" s="152" t="s">
        <v>422</v>
      </c>
      <c r="L64" s="245" t="s">
        <v>3</v>
      </c>
      <c r="M64" s="162" t="s">
        <v>29</v>
      </c>
    </row>
    <row r="65" spans="1:14" x14ac:dyDescent="0.2">
      <c r="A65" s="708"/>
      <c r="B65" s="156"/>
      <c r="C65" s="156"/>
      <c r="D65" s="246" t="s">
        <v>4</v>
      </c>
      <c r="E65" s="156" t="s">
        <v>30</v>
      </c>
      <c r="F65" s="161"/>
      <c r="G65" s="161"/>
      <c r="H65" s="245" t="s">
        <v>4</v>
      </c>
      <c r="I65" s="156" t="s">
        <v>30</v>
      </c>
      <c r="J65" s="161"/>
      <c r="K65" s="206"/>
      <c r="L65" s="156" t="s">
        <v>4</v>
      </c>
      <c r="M65" s="156" t="s">
        <v>30</v>
      </c>
    </row>
    <row r="66" spans="1:14" ht="15.75" x14ac:dyDescent="0.2">
      <c r="A66" s="14" t="s">
        <v>23</v>
      </c>
      <c r="B66" s="353"/>
      <c r="C66" s="353"/>
      <c r="D66" s="350"/>
      <c r="E66" s="11"/>
      <c r="F66" s="352"/>
      <c r="G66" s="352"/>
      <c r="H66" s="350"/>
      <c r="I66" s="11"/>
      <c r="J66" s="309"/>
      <c r="K66" s="316"/>
      <c r="L66" s="428"/>
      <c r="M66" s="11"/>
    </row>
    <row r="67" spans="1:14" x14ac:dyDescent="0.2">
      <c r="A67" s="419" t="s">
        <v>9</v>
      </c>
      <c r="B67" s="44"/>
      <c r="C67" s="145"/>
      <c r="D67" s="166"/>
      <c r="E67" s="27"/>
      <c r="F67" s="234"/>
      <c r="G67" s="145"/>
      <c r="H67" s="166"/>
      <c r="I67" s="27"/>
      <c r="J67" s="287"/>
      <c r="K67" s="44"/>
      <c r="L67" s="254"/>
      <c r="M67" s="27"/>
    </row>
    <row r="68" spans="1:14" x14ac:dyDescent="0.2">
      <c r="A68" s="21" t="s">
        <v>10</v>
      </c>
      <c r="B68" s="292"/>
      <c r="C68" s="293"/>
      <c r="D68" s="166"/>
      <c r="E68" s="27"/>
      <c r="F68" s="292"/>
      <c r="G68" s="293"/>
      <c r="H68" s="166"/>
      <c r="I68" s="27"/>
      <c r="J68" s="287"/>
      <c r="K68" s="44"/>
      <c r="L68" s="254"/>
      <c r="M68" s="27"/>
    </row>
    <row r="69" spans="1:14" ht="15.75" x14ac:dyDescent="0.2">
      <c r="A69" s="296" t="s">
        <v>380</v>
      </c>
      <c r="B69" s="294"/>
      <c r="C69" s="295"/>
      <c r="D69" s="166"/>
      <c r="E69" s="417"/>
      <c r="F69" s="294"/>
      <c r="G69" s="295"/>
      <c r="H69" s="166"/>
      <c r="I69" s="417"/>
      <c r="J69" s="294"/>
      <c r="K69" s="295"/>
      <c r="L69" s="166"/>
      <c r="M69" s="23"/>
    </row>
    <row r="70" spans="1:14" x14ac:dyDescent="0.2">
      <c r="A70" s="296" t="s">
        <v>12</v>
      </c>
      <c r="B70" s="294"/>
      <c r="C70" s="295"/>
      <c r="D70" s="166"/>
      <c r="E70" s="417"/>
      <c r="F70" s="294"/>
      <c r="G70" s="295"/>
      <c r="H70" s="166"/>
      <c r="I70" s="417"/>
      <c r="J70" s="294"/>
      <c r="K70" s="295"/>
      <c r="L70" s="166"/>
      <c r="M70" s="23"/>
    </row>
    <row r="71" spans="1:14" x14ac:dyDescent="0.2">
      <c r="A71" s="296" t="s">
        <v>13</v>
      </c>
      <c r="B71" s="235"/>
      <c r="C71" s="289"/>
      <c r="D71" s="166"/>
      <c r="E71" s="417"/>
      <c r="F71" s="294"/>
      <c r="G71" s="295"/>
      <c r="H71" s="166"/>
      <c r="I71" s="417"/>
      <c r="J71" s="294"/>
      <c r="K71" s="295"/>
      <c r="L71" s="166"/>
      <c r="M71" s="23"/>
    </row>
    <row r="72" spans="1:14" ht="15.75" x14ac:dyDescent="0.2">
      <c r="A72" s="296" t="s">
        <v>381</v>
      </c>
      <c r="B72" s="294"/>
      <c r="C72" s="295"/>
      <c r="D72" s="166"/>
      <c r="E72" s="417"/>
      <c r="F72" s="294"/>
      <c r="G72" s="295"/>
      <c r="H72" s="166"/>
      <c r="I72" s="417"/>
      <c r="J72" s="294"/>
      <c r="K72" s="295"/>
      <c r="L72" s="166"/>
      <c r="M72" s="23"/>
    </row>
    <row r="73" spans="1:14" x14ac:dyDescent="0.2">
      <c r="A73" s="296" t="s">
        <v>12</v>
      </c>
      <c r="B73" s="235"/>
      <c r="C73" s="289"/>
      <c r="D73" s="166"/>
      <c r="E73" s="417"/>
      <c r="F73" s="294"/>
      <c r="G73" s="295"/>
      <c r="H73" s="166"/>
      <c r="I73" s="417"/>
      <c r="J73" s="294"/>
      <c r="K73" s="295"/>
      <c r="L73" s="166"/>
      <c r="M73" s="23"/>
    </row>
    <row r="74" spans="1:14" s="3" customFormat="1" x14ac:dyDescent="0.2">
      <c r="A74" s="296" t="s">
        <v>13</v>
      </c>
      <c r="B74" s="235"/>
      <c r="C74" s="289"/>
      <c r="D74" s="166"/>
      <c r="E74" s="417"/>
      <c r="F74" s="294"/>
      <c r="G74" s="295"/>
      <c r="H74" s="166"/>
      <c r="I74" s="417"/>
      <c r="J74" s="294"/>
      <c r="K74" s="295"/>
      <c r="L74" s="166"/>
      <c r="M74" s="23"/>
      <c r="N74" s="148"/>
    </row>
    <row r="75" spans="1:14" s="3" customFormat="1" x14ac:dyDescent="0.2">
      <c r="A75" s="21" t="s">
        <v>350</v>
      </c>
      <c r="B75" s="234"/>
      <c r="C75" s="145"/>
      <c r="D75" s="166"/>
      <c r="E75" s="27"/>
      <c r="F75" s="234"/>
      <c r="G75" s="145"/>
      <c r="H75" s="166"/>
      <c r="I75" s="27"/>
      <c r="J75" s="287"/>
      <c r="K75" s="44"/>
      <c r="L75" s="254"/>
      <c r="M75" s="27"/>
      <c r="N75" s="148"/>
    </row>
    <row r="76" spans="1:14" s="3" customFormat="1" x14ac:dyDescent="0.2">
      <c r="A76" s="21" t="s">
        <v>349</v>
      </c>
      <c r="B76" s="234"/>
      <c r="C76" s="145"/>
      <c r="D76" s="166"/>
      <c r="E76" s="27"/>
      <c r="F76" s="234"/>
      <c r="G76" s="145"/>
      <c r="H76" s="166"/>
      <c r="I76" s="27"/>
      <c r="J76" s="287"/>
      <c r="K76" s="44"/>
      <c r="L76" s="254"/>
      <c r="M76" s="27"/>
      <c r="N76" s="148"/>
    </row>
    <row r="77" spans="1:14" ht="15.75" x14ac:dyDescent="0.2">
      <c r="A77" s="21" t="s">
        <v>382</v>
      </c>
      <c r="B77" s="234"/>
      <c r="C77" s="234"/>
      <c r="D77" s="166"/>
      <c r="E77" s="27"/>
      <c r="F77" s="234"/>
      <c r="G77" s="145"/>
      <c r="H77" s="166"/>
      <c r="I77" s="27"/>
      <c r="J77" s="287"/>
      <c r="K77" s="44"/>
      <c r="L77" s="254"/>
      <c r="M77" s="27"/>
    </row>
    <row r="78" spans="1:14" x14ac:dyDescent="0.2">
      <c r="A78" s="21" t="s">
        <v>9</v>
      </c>
      <c r="B78" s="234"/>
      <c r="C78" s="145"/>
      <c r="D78" s="166"/>
      <c r="E78" s="27"/>
      <c r="F78" s="234"/>
      <c r="G78" s="145"/>
      <c r="H78" s="166"/>
      <c r="I78" s="27"/>
      <c r="J78" s="287"/>
      <c r="K78" s="44"/>
      <c r="L78" s="254"/>
      <c r="M78" s="27"/>
    </row>
    <row r="79" spans="1:14" x14ac:dyDescent="0.2">
      <c r="A79" s="21" t="s">
        <v>10</v>
      </c>
      <c r="B79" s="292"/>
      <c r="C79" s="293"/>
      <c r="D79" s="166"/>
      <c r="E79" s="27"/>
      <c r="F79" s="292"/>
      <c r="G79" s="293"/>
      <c r="H79" s="166"/>
      <c r="I79" s="27"/>
      <c r="J79" s="287"/>
      <c r="K79" s="44"/>
      <c r="L79" s="254"/>
      <c r="M79" s="27"/>
    </row>
    <row r="80" spans="1:14" ht="15.75" x14ac:dyDescent="0.2">
      <c r="A80" s="296" t="s">
        <v>380</v>
      </c>
      <c r="B80" s="294"/>
      <c r="C80" s="295"/>
      <c r="D80" s="166"/>
      <c r="E80" s="417"/>
      <c r="F80" s="294"/>
      <c r="G80" s="295"/>
      <c r="H80" s="166"/>
      <c r="I80" s="417"/>
      <c r="J80" s="294"/>
      <c r="K80" s="295"/>
      <c r="L80" s="166"/>
      <c r="M80" s="23"/>
    </row>
    <row r="81" spans="1:13" x14ac:dyDescent="0.2">
      <c r="A81" s="296" t="s">
        <v>12</v>
      </c>
      <c r="B81" s="294"/>
      <c r="C81" s="295"/>
      <c r="D81" s="166"/>
      <c r="E81" s="417"/>
      <c r="F81" s="294"/>
      <c r="G81" s="295"/>
      <c r="H81" s="166"/>
      <c r="I81" s="417"/>
      <c r="J81" s="294"/>
      <c r="K81" s="295"/>
      <c r="L81" s="166"/>
      <c r="M81" s="23"/>
    </row>
    <row r="82" spans="1:13" x14ac:dyDescent="0.2">
      <c r="A82" s="296" t="s">
        <v>13</v>
      </c>
      <c r="B82" s="294"/>
      <c r="C82" s="295"/>
      <c r="D82" s="166"/>
      <c r="E82" s="417"/>
      <c r="F82" s="294"/>
      <c r="G82" s="295"/>
      <c r="H82" s="166"/>
      <c r="I82" s="417"/>
      <c r="J82" s="294"/>
      <c r="K82" s="295"/>
      <c r="L82" s="166"/>
      <c r="M82" s="23"/>
    </row>
    <row r="83" spans="1:13" ht="15.75" x14ac:dyDescent="0.2">
      <c r="A83" s="296" t="s">
        <v>381</v>
      </c>
      <c r="B83" s="294"/>
      <c r="C83" s="295"/>
      <c r="D83" s="166"/>
      <c r="E83" s="417"/>
      <c r="F83" s="294"/>
      <c r="G83" s="295"/>
      <c r="H83" s="166"/>
      <c r="I83" s="417"/>
      <c r="J83" s="294"/>
      <c r="K83" s="295"/>
      <c r="L83" s="166"/>
      <c r="M83" s="23"/>
    </row>
    <row r="84" spans="1:13" x14ac:dyDescent="0.2">
      <c r="A84" s="296" t="s">
        <v>12</v>
      </c>
      <c r="B84" s="294"/>
      <c r="C84" s="295"/>
      <c r="D84" s="166"/>
      <c r="E84" s="417"/>
      <c r="F84" s="294"/>
      <c r="G84" s="295"/>
      <c r="H84" s="166"/>
      <c r="I84" s="417"/>
      <c r="J84" s="294"/>
      <c r="K84" s="295"/>
      <c r="L84" s="166"/>
      <c r="M84" s="23"/>
    </row>
    <row r="85" spans="1:13" x14ac:dyDescent="0.2">
      <c r="A85" s="296" t="s">
        <v>13</v>
      </c>
      <c r="B85" s="294"/>
      <c r="C85" s="295"/>
      <c r="D85" s="166"/>
      <c r="E85" s="417"/>
      <c r="F85" s="294"/>
      <c r="G85" s="295"/>
      <c r="H85" s="166"/>
      <c r="I85" s="417"/>
      <c r="J85" s="294"/>
      <c r="K85" s="295"/>
      <c r="L85" s="166"/>
      <c r="M85" s="23"/>
    </row>
    <row r="86" spans="1:13" ht="15.75" x14ac:dyDescent="0.2">
      <c r="A86" s="21" t="s">
        <v>383</v>
      </c>
      <c r="B86" s="234"/>
      <c r="C86" s="145"/>
      <c r="D86" s="166"/>
      <c r="E86" s="27"/>
      <c r="F86" s="234"/>
      <c r="G86" s="145"/>
      <c r="H86" s="166"/>
      <c r="I86" s="27"/>
      <c r="J86" s="287"/>
      <c r="K86" s="44"/>
      <c r="L86" s="254"/>
      <c r="M86" s="27"/>
    </row>
    <row r="87" spans="1:13" ht="15.75" x14ac:dyDescent="0.2">
      <c r="A87" s="13" t="s">
        <v>365</v>
      </c>
      <c r="B87" s="353"/>
      <c r="C87" s="353"/>
      <c r="D87" s="171"/>
      <c r="E87" s="11"/>
      <c r="F87" s="352"/>
      <c r="G87" s="352"/>
      <c r="H87" s="171"/>
      <c r="I87" s="11"/>
      <c r="J87" s="309"/>
      <c r="K87" s="236"/>
      <c r="L87" s="428"/>
      <c r="M87" s="11"/>
    </row>
    <row r="88" spans="1:13" x14ac:dyDescent="0.2">
      <c r="A88" s="21" t="s">
        <v>9</v>
      </c>
      <c r="B88" s="234"/>
      <c r="C88" s="145"/>
      <c r="D88" s="166"/>
      <c r="E88" s="27"/>
      <c r="F88" s="234"/>
      <c r="G88" s="145"/>
      <c r="H88" s="166"/>
      <c r="I88" s="27"/>
      <c r="J88" s="287"/>
      <c r="K88" s="44"/>
      <c r="L88" s="254"/>
      <c r="M88" s="27"/>
    </row>
    <row r="89" spans="1:13" x14ac:dyDescent="0.2">
      <c r="A89" s="21" t="s">
        <v>10</v>
      </c>
      <c r="B89" s="234"/>
      <c r="C89" s="145"/>
      <c r="D89" s="166"/>
      <c r="E89" s="27"/>
      <c r="F89" s="234"/>
      <c r="G89" s="145"/>
      <c r="H89" s="166"/>
      <c r="I89" s="27"/>
      <c r="J89" s="287"/>
      <c r="K89" s="44"/>
      <c r="L89" s="254"/>
      <c r="M89" s="27"/>
    </row>
    <row r="90" spans="1:13" ht="15.75" x14ac:dyDescent="0.2">
      <c r="A90" s="296" t="s">
        <v>380</v>
      </c>
      <c r="B90" s="294"/>
      <c r="C90" s="295"/>
      <c r="D90" s="166"/>
      <c r="E90" s="417"/>
      <c r="F90" s="294"/>
      <c r="G90" s="295"/>
      <c r="H90" s="166"/>
      <c r="I90" s="417"/>
      <c r="J90" s="294"/>
      <c r="K90" s="295"/>
      <c r="L90" s="166"/>
      <c r="M90" s="23"/>
    </row>
    <row r="91" spans="1:13" x14ac:dyDescent="0.2">
      <c r="A91" s="296" t="s">
        <v>12</v>
      </c>
      <c r="B91" s="294"/>
      <c r="C91" s="295"/>
      <c r="D91" s="166"/>
      <c r="E91" s="417"/>
      <c r="F91" s="294"/>
      <c r="G91" s="295"/>
      <c r="H91" s="166"/>
      <c r="I91" s="417"/>
      <c r="J91" s="294"/>
      <c r="K91" s="295"/>
      <c r="L91" s="166"/>
      <c r="M91" s="23"/>
    </row>
    <row r="92" spans="1:13" x14ac:dyDescent="0.2">
      <c r="A92" s="296" t="s">
        <v>13</v>
      </c>
      <c r="B92" s="294"/>
      <c r="C92" s="295"/>
      <c r="D92" s="166"/>
      <c r="E92" s="417"/>
      <c r="F92" s="294"/>
      <c r="G92" s="295"/>
      <c r="H92" s="166"/>
      <c r="I92" s="417"/>
      <c r="J92" s="294"/>
      <c r="K92" s="295"/>
      <c r="L92" s="166"/>
      <c r="M92" s="23"/>
    </row>
    <row r="93" spans="1:13" ht="15.75" x14ac:dyDescent="0.2">
      <c r="A93" s="296" t="s">
        <v>381</v>
      </c>
      <c r="B93" s="294"/>
      <c r="C93" s="295"/>
      <c r="D93" s="166"/>
      <c r="E93" s="417"/>
      <c r="F93" s="294"/>
      <c r="G93" s="295"/>
      <c r="H93" s="166"/>
      <c r="I93" s="417"/>
      <c r="J93" s="294"/>
      <c r="K93" s="295"/>
      <c r="L93" s="166"/>
      <c r="M93" s="23"/>
    </row>
    <row r="94" spans="1:13" x14ac:dyDescent="0.2">
      <c r="A94" s="296" t="s">
        <v>12</v>
      </c>
      <c r="B94" s="294"/>
      <c r="C94" s="295"/>
      <c r="D94" s="166"/>
      <c r="E94" s="417"/>
      <c r="F94" s="294"/>
      <c r="G94" s="295"/>
      <c r="H94" s="166"/>
      <c r="I94" s="417"/>
      <c r="J94" s="294"/>
      <c r="K94" s="295"/>
      <c r="L94" s="166"/>
      <c r="M94" s="23"/>
    </row>
    <row r="95" spans="1:13" x14ac:dyDescent="0.2">
      <c r="A95" s="296" t="s">
        <v>13</v>
      </c>
      <c r="B95" s="294"/>
      <c r="C95" s="295"/>
      <c r="D95" s="166"/>
      <c r="E95" s="417"/>
      <c r="F95" s="294"/>
      <c r="G95" s="295"/>
      <c r="H95" s="166"/>
      <c r="I95" s="417"/>
      <c r="J95" s="294"/>
      <c r="K95" s="295"/>
      <c r="L95" s="166"/>
      <c r="M95" s="23"/>
    </row>
    <row r="96" spans="1:13" x14ac:dyDescent="0.2">
      <c r="A96" s="21" t="s">
        <v>348</v>
      </c>
      <c r="B96" s="234"/>
      <c r="C96" s="145"/>
      <c r="D96" s="166"/>
      <c r="E96" s="27"/>
      <c r="F96" s="234"/>
      <c r="G96" s="145"/>
      <c r="H96" s="166"/>
      <c r="I96" s="27"/>
      <c r="J96" s="287"/>
      <c r="K96" s="44"/>
      <c r="L96" s="254"/>
      <c r="M96" s="27"/>
    </row>
    <row r="97" spans="1:13" x14ac:dyDescent="0.2">
      <c r="A97" s="21" t="s">
        <v>347</v>
      </c>
      <c r="B97" s="234"/>
      <c r="C97" s="145"/>
      <c r="D97" s="166"/>
      <c r="E97" s="27"/>
      <c r="F97" s="234"/>
      <c r="G97" s="145"/>
      <c r="H97" s="166"/>
      <c r="I97" s="27"/>
      <c r="J97" s="287"/>
      <c r="K97" s="44"/>
      <c r="L97" s="254"/>
      <c r="M97" s="27"/>
    </row>
    <row r="98" spans="1:13" ht="15.75" x14ac:dyDescent="0.2">
      <c r="A98" s="21" t="s">
        <v>382</v>
      </c>
      <c r="B98" s="234"/>
      <c r="C98" s="234"/>
      <c r="D98" s="166"/>
      <c r="E98" s="27"/>
      <c r="F98" s="292"/>
      <c r="G98" s="292"/>
      <c r="H98" s="166"/>
      <c r="I98" s="27"/>
      <c r="J98" s="287"/>
      <c r="K98" s="44"/>
      <c r="L98" s="254"/>
      <c r="M98" s="27"/>
    </row>
    <row r="99" spans="1:13" x14ac:dyDescent="0.2">
      <c r="A99" s="21" t="s">
        <v>9</v>
      </c>
      <c r="B99" s="292"/>
      <c r="C99" s="293"/>
      <c r="D99" s="166"/>
      <c r="E99" s="27"/>
      <c r="F99" s="234"/>
      <c r="G99" s="145"/>
      <c r="H99" s="166"/>
      <c r="I99" s="27"/>
      <c r="J99" s="287"/>
      <c r="K99" s="44"/>
      <c r="L99" s="254"/>
      <c r="M99" s="27"/>
    </row>
    <row r="100" spans="1:13" x14ac:dyDescent="0.2">
      <c r="A100" s="21" t="s">
        <v>10</v>
      </c>
      <c r="B100" s="292"/>
      <c r="C100" s="293"/>
      <c r="D100" s="166"/>
      <c r="E100" s="27"/>
      <c r="F100" s="234"/>
      <c r="G100" s="234"/>
      <c r="H100" s="166"/>
      <c r="I100" s="27"/>
      <c r="J100" s="287"/>
      <c r="K100" s="44"/>
      <c r="L100" s="254"/>
      <c r="M100" s="27"/>
    </row>
    <row r="101" spans="1:13" ht="15.75" x14ac:dyDescent="0.2">
      <c r="A101" s="296" t="s">
        <v>380</v>
      </c>
      <c r="B101" s="294"/>
      <c r="C101" s="295"/>
      <c r="D101" s="166"/>
      <c r="E101" s="417"/>
      <c r="F101" s="294"/>
      <c r="G101" s="295"/>
      <c r="H101" s="166"/>
      <c r="I101" s="417"/>
      <c r="J101" s="294"/>
      <c r="K101" s="295"/>
      <c r="L101" s="166"/>
      <c r="M101" s="23"/>
    </row>
    <row r="102" spans="1:13" x14ac:dyDescent="0.2">
      <c r="A102" s="296" t="s">
        <v>12</v>
      </c>
      <c r="B102" s="294"/>
      <c r="C102" s="295"/>
      <c r="D102" s="166"/>
      <c r="E102" s="417"/>
      <c r="F102" s="294"/>
      <c r="G102" s="295"/>
      <c r="H102" s="166"/>
      <c r="I102" s="417"/>
      <c r="J102" s="294"/>
      <c r="K102" s="295"/>
      <c r="L102" s="166"/>
      <c r="M102" s="23"/>
    </row>
    <row r="103" spans="1:13" x14ac:dyDescent="0.2">
      <c r="A103" s="296" t="s">
        <v>13</v>
      </c>
      <c r="B103" s="294"/>
      <c r="C103" s="295"/>
      <c r="D103" s="166"/>
      <c r="E103" s="417"/>
      <c r="F103" s="294"/>
      <c r="G103" s="295"/>
      <c r="H103" s="166"/>
      <c r="I103" s="417"/>
      <c r="J103" s="294"/>
      <c r="K103" s="295"/>
      <c r="L103" s="166"/>
      <c r="M103" s="23"/>
    </row>
    <row r="104" spans="1:13" ht="15.75" x14ac:dyDescent="0.2">
      <c r="A104" s="296" t="s">
        <v>381</v>
      </c>
      <c r="B104" s="294"/>
      <c r="C104" s="295"/>
      <c r="D104" s="166"/>
      <c r="E104" s="417"/>
      <c r="F104" s="294"/>
      <c r="G104" s="295"/>
      <c r="H104" s="166"/>
      <c r="I104" s="417"/>
      <c r="J104" s="294"/>
      <c r="K104" s="295"/>
      <c r="L104" s="166"/>
      <c r="M104" s="23"/>
    </row>
    <row r="105" spans="1:13" x14ac:dyDescent="0.2">
      <c r="A105" s="296" t="s">
        <v>12</v>
      </c>
      <c r="B105" s="294"/>
      <c r="C105" s="295"/>
      <c r="D105" s="166"/>
      <c r="E105" s="417"/>
      <c r="F105" s="294"/>
      <c r="G105" s="295"/>
      <c r="H105" s="166"/>
      <c r="I105" s="417"/>
      <c r="J105" s="294"/>
      <c r="K105" s="295"/>
      <c r="L105" s="166"/>
      <c r="M105" s="23"/>
    </row>
    <row r="106" spans="1:13" x14ac:dyDescent="0.2">
      <c r="A106" s="296" t="s">
        <v>13</v>
      </c>
      <c r="B106" s="294"/>
      <c r="C106" s="295"/>
      <c r="D106" s="166"/>
      <c r="E106" s="417"/>
      <c r="F106" s="294"/>
      <c r="G106" s="295"/>
      <c r="H106" s="166"/>
      <c r="I106" s="417"/>
      <c r="J106" s="294"/>
      <c r="K106" s="295"/>
      <c r="L106" s="166"/>
      <c r="M106" s="23"/>
    </row>
    <row r="107" spans="1:13" ht="15.75" x14ac:dyDescent="0.2">
      <c r="A107" s="21" t="s">
        <v>383</v>
      </c>
      <c r="B107" s="234"/>
      <c r="C107" s="145"/>
      <c r="D107" s="166"/>
      <c r="E107" s="27"/>
      <c r="F107" s="234"/>
      <c r="G107" s="145"/>
      <c r="H107" s="166"/>
      <c r="I107" s="27"/>
      <c r="J107" s="287"/>
      <c r="K107" s="44"/>
      <c r="L107" s="254"/>
      <c r="M107" s="27"/>
    </row>
    <row r="108" spans="1:13" ht="15.75" x14ac:dyDescent="0.2">
      <c r="A108" s="21" t="s">
        <v>384</v>
      </c>
      <c r="B108" s="234"/>
      <c r="C108" s="234"/>
      <c r="D108" s="166"/>
      <c r="E108" s="27"/>
      <c r="F108" s="234"/>
      <c r="G108" s="234"/>
      <c r="H108" s="166"/>
      <c r="I108" s="27"/>
      <c r="J108" s="287"/>
      <c r="K108" s="44"/>
      <c r="L108" s="254"/>
      <c r="M108" s="27"/>
    </row>
    <row r="109" spans="1:13" ht="15.75" x14ac:dyDescent="0.2">
      <c r="A109" s="21" t="s">
        <v>385</v>
      </c>
      <c r="B109" s="234"/>
      <c r="C109" s="234"/>
      <c r="D109" s="166"/>
      <c r="E109" s="27"/>
      <c r="F109" s="234"/>
      <c r="G109" s="234"/>
      <c r="H109" s="166"/>
      <c r="I109" s="27"/>
      <c r="J109" s="287"/>
      <c r="K109" s="44"/>
      <c r="L109" s="254"/>
      <c r="M109" s="27"/>
    </row>
    <row r="110" spans="1:13" ht="15.75" x14ac:dyDescent="0.2">
      <c r="A110" s="21" t="s">
        <v>386</v>
      </c>
      <c r="B110" s="234"/>
      <c r="C110" s="234"/>
      <c r="D110" s="166"/>
      <c r="E110" s="27"/>
      <c r="F110" s="234"/>
      <c r="G110" s="234"/>
      <c r="H110" s="166"/>
      <c r="I110" s="27"/>
      <c r="J110" s="287"/>
      <c r="K110" s="44"/>
      <c r="L110" s="254"/>
      <c r="M110" s="27"/>
    </row>
    <row r="111" spans="1:13" ht="15.75" x14ac:dyDescent="0.2">
      <c r="A111" s="13" t="s">
        <v>366</v>
      </c>
      <c r="B111" s="308"/>
      <c r="C111" s="159"/>
      <c r="D111" s="171"/>
      <c r="E111" s="11"/>
      <c r="F111" s="308"/>
      <c r="G111" s="159"/>
      <c r="H111" s="171"/>
      <c r="I111" s="11"/>
      <c r="J111" s="309"/>
      <c r="K111" s="236"/>
      <c r="L111" s="428"/>
      <c r="M111" s="11"/>
    </row>
    <row r="112" spans="1:13" x14ac:dyDescent="0.2">
      <c r="A112" s="21" t="s">
        <v>9</v>
      </c>
      <c r="B112" s="234"/>
      <c r="C112" s="145"/>
      <c r="D112" s="166"/>
      <c r="E112" s="27"/>
      <c r="F112" s="234"/>
      <c r="G112" s="145"/>
      <c r="H112" s="166"/>
      <c r="I112" s="27"/>
      <c r="J112" s="287"/>
      <c r="K112" s="44"/>
      <c r="L112" s="254"/>
      <c r="M112" s="27"/>
    </row>
    <row r="113" spans="1:14" x14ac:dyDescent="0.2">
      <c r="A113" s="21" t="s">
        <v>10</v>
      </c>
      <c r="B113" s="234"/>
      <c r="C113" s="145"/>
      <c r="D113" s="166"/>
      <c r="E113" s="27"/>
      <c r="F113" s="234"/>
      <c r="G113" s="145"/>
      <c r="H113" s="166"/>
      <c r="I113" s="27"/>
      <c r="J113" s="287"/>
      <c r="K113" s="44"/>
      <c r="L113" s="254"/>
      <c r="M113" s="27"/>
    </row>
    <row r="114" spans="1:14" x14ac:dyDescent="0.2">
      <c r="A114" s="21" t="s">
        <v>26</v>
      </c>
      <c r="B114" s="234"/>
      <c r="C114" s="145"/>
      <c r="D114" s="166"/>
      <c r="E114" s="27"/>
      <c r="F114" s="234"/>
      <c r="G114" s="145"/>
      <c r="H114" s="166"/>
      <c r="I114" s="27"/>
      <c r="J114" s="287"/>
      <c r="K114" s="44"/>
      <c r="L114" s="254"/>
      <c r="M114" s="27"/>
    </row>
    <row r="115" spans="1:14" x14ac:dyDescent="0.2">
      <c r="A115" s="296" t="s">
        <v>15</v>
      </c>
      <c r="B115" s="294"/>
      <c r="C115" s="295"/>
      <c r="D115" s="166"/>
      <c r="E115" s="417"/>
      <c r="F115" s="294"/>
      <c r="G115" s="295"/>
      <c r="H115" s="166"/>
      <c r="I115" s="417"/>
      <c r="J115" s="294"/>
      <c r="K115" s="295"/>
      <c r="L115" s="166"/>
      <c r="M115" s="23"/>
    </row>
    <row r="116" spans="1:14" ht="15.75" x14ac:dyDescent="0.2">
      <c r="A116" s="21" t="s">
        <v>387</v>
      </c>
      <c r="B116" s="234"/>
      <c r="C116" s="234"/>
      <c r="D116" s="166"/>
      <c r="E116" s="27"/>
      <c r="F116" s="234"/>
      <c r="G116" s="234"/>
      <c r="H116" s="166"/>
      <c r="I116" s="27"/>
      <c r="J116" s="287"/>
      <c r="K116" s="44"/>
      <c r="L116" s="254"/>
      <c r="M116" s="27"/>
    </row>
    <row r="117" spans="1:14" ht="15.75" x14ac:dyDescent="0.2">
      <c r="A117" s="21" t="s">
        <v>388</v>
      </c>
      <c r="B117" s="234"/>
      <c r="C117" s="234"/>
      <c r="D117" s="166"/>
      <c r="E117" s="27"/>
      <c r="F117" s="234"/>
      <c r="G117" s="234"/>
      <c r="H117" s="166"/>
      <c r="I117" s="27"/>
      <c r="J117" s="287"/>
      <c r="K117" s="44"/>
      <c r="L117" s="254"/>
      <c r="M117" s="27"/>
    </row>
    <row r="118" spans="1:14" ht="15.75" x14ac:dyDescent="0.2">
      <c r="A118" s="21" t="s">
        <v>386</v>
      </c>
      <c r="B118" s="234"/>
      <c r="C118" s="234"/>
      <c r="D118" s="166"/>
      <c r="E118" s="27"/>
      <c r="F118" s="234"/>
      <c r="G118" s="234"/>
      <c r="H118" s="166"/>
      <c r="I118" s="27"/>
      <c r="J118" s="287"/>
      <c r="K118" s="44"/>
      <c r="L118" s="254"/>
      <c r="M118" s="27"/>
    </row>
    <row r="119" spans="1:14" ht="15.75" x14ac:dyDescent="0.2">
      <c r="A119" s="13" t="s">
        <v>367</v>
      </c>
      <c r="B119" s="308"/>
      <c r="C119" s="159"/>
      <c r="D119" s="171"/>
      <c r="E119" s="11"/>
      <c r="F119" s="308"/>
      <c r="G119" s="159"/>
      <c r="H119" s="171"/>
      <c r="I119" s="11"/>
      <c r="J119" s="309"/>
      <c r="K119" s="236"/>
      <c r="L119" s="428"/>
      <c r="M119" s="11"/>
    </row>
    <row r="120" spans="1:14" x14ac:dyDescent="0.2">
      <c r="A120" s="21" t="s">
        <v>9</v>
      </c>
      <c r="B120" s="234"/>
      <c r="C120" s="145"/>
      <c r="D120" s="166"/>
      <c r="E120" s="27"/>
      <c r="F120" s="234"/>
      <c r="G120" s="145"/>
      <c r="H120" s="166"/>
      <c r="I120" s="27"/>
      <c r="J120" s="287"/>
      <c r="K120" s="44"/>
      <c r="L120" s="254"/>
      <c r="M120" s="27"/>
    </row>
    <row r="121" spans="1:14" x14ac:dyDescent="0.2">
      <c r="A121" s="21" t="s">
        <v>10</v>
      </c>
      <c r="B121" s="234"/>
      <c r="C121" s="145"/>
      <c r="D121" s="166"/>
      <c r="E121" s="27"/>
      <c r="F121" s="234"/>
      <c r="G121" s="145"/>
      <c r="H121" s="166"/>
      <c r="I121" s="27"/>
      <c r="J121" s="287"/>
      <c r="K121" s="44"/>
      <c r="L121" s="254"/>
      <c r="M121" s="27"/>
    </row>
    <row r="122" spans="1:14" x14ac:dyDescent="0.2">
      <c r="A122" s="21" t="s">
        <v>26</v>
      </c>
      <c r="B122" s="234"/>
      <c r="C122" s="145"/>
      <c r="D122" s="166"/>
      <c r="E122" s="27"/>
      <c r="F122" s="234"/>
      <c r="G122" s="145"/>
      <c r="H122" s="166"/>
      <c r="I122" s="27"/>
      <c r="J122" s="287"/>
      <c r="K122" s="44"/>
      <c r="L122" s="254"/>
      <c r="M122" s="27"/>
    </row>
    <row r="123" spans="1:14" x14ac:dyDescent="0.2">
      <c r="A123" s="296" t="s">
        <v>14</v>
      </c>
      <c r="B123" s="294"/>
      <c r="C123" s="295"/>
      <c r="D123" s="166"/>
      <c r="E123" s="417"/>
      <c r="F123" s="294"/>
      <c r="G123" s="295"/>
      <c r="H123" s="166"/>
      <c r="I123" s="417"/>
      <c r="J123" s="294"/>
      <c r="K123" s="295"/>
      <c r="L123" s="166"/>
      <c r="M123" s="23"/>
    </row>
    <row r="124" spans="1:14" ht="15.75" x14ac:dyDescent="0.2">
      <c r="A124" s="21" t="s">
        <v>393</v>
      </c>
      <c r="B124" s="234"/>
      <c r="C124" s="234"/>
      <c r="D124" s="166"/>
      <c r="E124" s="27"/>
      <c r="F124" s="234"/>
      <c r="G124" s="234"/>
      <c r="H124" s="166"/>
      <c r="I124" s="27"/>
      <c r="J124" s="287"/>
      <c r="K124" s="44"/>
      <c r="L124" s="254"/>
      <c r="M124" s="27"/>
    </row>
    <row r="125" spans="1:14" ht="15.75" x14ac:dyDescent="0.2">
      <c r="A125" s="21" t="s">
        <v>385</v>
      </c>
      <c r="B125" s="234"/>
      <c r="C125" s="234"/>
      <c r="D125" s="166"/>
      <c r="E125" s="27"/>
      <c r="F125" s="234"/>
      <c r="G125" s="234"/>
      <c r="H125" s="166"/>
      <c r="I125" s="27"/>
      <c r="J125" s="287"/>
      <c r="K125" s="44"/>
      <c r="L125" s="254"/>
      <c r="M125" s="27"/>
    </row>
    <row r="126" spans="1:14" ht="15.75" x14ac:dyDescent="0.2">
      <c r="A126" s="10" t="s">
        <v>386</v>
      </c>
      <c r="B126" s="45"/>
      <c r="C126" s="45"/>
      <c r="D126" s="167"/>
      <c r="E126" s="418"/>
      <c r="F126" s="45"/>
      <c r="G126" s="45"/>
      <c r="H126" s="167"/>
      <c r="I126" s="22"/>
      <c r="J126" s="288"/>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35"/>
      <c r="C130" s="735"/>
      <c r="D130" s="735"/>
      <c r="E130" s="299"/>
      <c r="F130" s="735"/>
      <c r="G130" s="735"/>
      <c r="H130" s="735"/>
      <c r="I130" s="299"/>
      <c r="J130" s="735"/>
      <c r="K130" s="735"/>
      <c r="L130" s="735"/>
      <c r="M130" s="299"/>
    </row>
    <row r="131" spans="1:14" s="3" customFormat="1" x14ac:dyDescent="0.2">
      <c r="A131" s="144"/>
      <c r="B131" s="733" t="s">
        <v>0</v>
      </c>
      <c r="C131" s="734"/>
      <c r="D131" s="734"/>
      <c r="E131" s="301"/>
      <c r="F131" s="733" t="s">
        <v>1</v>
      </c>
      <c r="G131" s="734"/>
      <c r="H131" s="734"/>
      <c r="I131" s="304"/>
      <c r="J131" s="733" t="s">
        <v>2</v>
      </c>
      <c r="K131" s="734"/>
      <c r="L131" s="734"/>
      <c r="M131" s="304"/>
      <c r="N131" s="148"/>
    </row>
    <row r="132" spans="1:14" s="3" customFormat="1" x14ac:dyDescent="0.2">
      <c r="A132" s="140"/>
      <c r="B132" s="152" t="s">
        <v>421</v>
      </c>
      <c r="C132" s="152" t="s">
        <v>422</v>
      </c>
      <c r="D132" s="245" t="s">
        <v>3</v>
      </c>
      <c r="E132" s="305" t="s">
        <v>29</v>
      </c>
      <c r="F132" s="152" t="s">
        <v>421</v>
      </c>
      <c r="G132" s="152" t="s">
        <v>422</v>
      </c>
      <c r="H132" s="206" t="s">
        <v>3</v>
      </c>
      <c r="I132" s="162" t="s">
        <v>29</v>
      </c>
      <c r="J132" s="152" t="s">
        <v>421</v>
      </c>
      <c r="K132" s="152" t="s">
        <v>422</v>
      </c>
      <c r="L132" s="246" t="s">
        <v>3</v>
      </c>
      <c r="M132" s="162" t="s">
        <v>29</v>
      </c>
      <c r="N132" s="148"/>
    </row>
    <row r="133" spans="1:14" s="3" customFormat="1" x14ac:dyDescent="0.2">
      <c r="A133" s="708"/>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389</v>
      </c>
      <c r="B134" s="236"/>
      <c r="C134" s="309"/>
      <c r="D134" s="350"/>
      <c r="E134" s="11"/>
      <c r="F134" s="316"/>
      <c r="G134" s="317"/>
      <c r="H134" s="431"/>
      <c r="I134" s="24"/>
      <c r="J134" s="318"/>
      <c r="K134" s="318"/>
      <c r="L134" s="427"/>
      <c r="M134" s="11"/>
      <c r="N134" s="148"/>
    </row>
    <row r="135" spans="1:14" s="3" customFormat="1" ht="15.75" x14ac:dyDescent="0.2">
      <c r="A135" s="13" t="s">
        <v>394</v>
      </c>
      <c r="B135" s="236"/>
      <c r="C135" s="309"/>
      <c r="D135" s="171"/>
      <c r="E135" s="11"/>
      <c r="F135" s="236"/>
      <c r="G135" s="309"/>
      <c r="H135" s="432"/>
      <c r="I135" s="24"/>
      <c r="J135" s="308"/>
      <c r="K135" s="308"/>
      <c r="L135" s="428"/>
      <c r="M135" s="11"/>
      <c r="N135" s="148"/>
    </row>
    <row r="136" spans="1:14" s="3" customFormat="1" ht="15.75" x14ac:dyDescent="0.2">
      <c r="A136" s="13" t="s">
        <v>391</v>
      </c>
      <c r="B136" s="236"/>
      <c r="C136" s="309"/>
      <c r="D136" s="171"/>
      <c r="E136" s="11"/>
      <c r="F136" s="236"/>
      <c r="G136" s="309"/>
      <c r="H136" s="432"/>
      <c r="I136" s="24"/>
      <c r="J136" s="308"/>
      <c r="K136" s="308"/>
      <c r="L136" s="428"/>
      <c r="M136" s="11"/>
      <c r="N136" s="148"/>
    </row>
    <row r="137" spans="1:14" s="3" customFormat="1" ht="15.75" x14ac:dyDescent="0.2">
      <c r="A137" s="41" t="s">
        <v>392</v>
      </c>
      <c r="B137" s="276"/>
      <c r="C137" s="315"/>
      <c r="D137" s="169"/>
      <c r="E137" s="9"/>
      <c r="F137" s="276"/>
      <c r="G137" s="315"/>
      <c r="H137" s="433"/>
      <c r="I137" s="36"/>
      <c r="J137" s="314"/>
      <c r="K137" s="314"/>
      <c r="L137" s="429"/>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364" priority="132">
      <formula>kvartal &lt; 4</formula>
    </cfRule>
  </conditionalFormatting>
  <conditionalFormatting sqref="A50:A52">
    <cfRule type="expression" dxfId="363" priority="12">
      <formula>kvartal &lt; 4</formula>
    </cfRule>
  </conditionalFormatting>
  <conditionalFormatting sqref="A69:A74">
    <cfRule type="expression" dxfId="362" priority="10">
      <formula>kvartal &lt; 4</formula>
    </cfRule>
  </conditionalFormatting>
  <conditionalFormatting sqref="A80:A85">
    <cfRule type="expression" dxfId="361" priority="9">
      <formula>kvartal &lt; 4</formula>
    </cfRule>
  </conditionalFormatting>
  <conditionalFormatting sqref="A90:A95">
    <cfRule type="expression" dxfId="360" priority="6">
      <formula>kvartal &lt; 4</formula>
    </cfRule>
  </conditionalFormatting>
  <conditionalFormatting sqref="A101:A106">
    <cfRule type="expression" dxfId="359" priority="5">
      <formula>kvartal &lt; 4</formula>
    </cfRule>
  </conditionalFormatting>
  <conditionalFormatting sqref="A115">
    <cfRule type="expression" dxfId="358" priority="4">
      <formula>kvartal &lt; 4</formula>
    </cfRule>
  </conditionalFormatting>
  <conditionalFormatting sqref="A123">
    <cfRule type="expression" dxfId="357" priority="3">
      <formula>kvartal &lt; 4</formula>
    </cfRule>
  </conditionalFormatting>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16"/>
  <dimension ref="A1:N144"/>
  <sheetViews>
    <sheetView showGridLines="0" zoomScaleNormal="100" zoomScaleSheetLayoutView="100" workbookViewId="0">
      <selection activeCell="A3" sqref="A3"/>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135</v>
      </c>
      <c r="B1" s="709"/>
      <c r="C1" s="248" t="s">
        <v>127</v>
      </c>
      <c r="D1" s="26"/>
      <c r="E1" s="26"/>
      <c r="F1" s="26"/>
      <c r="G1" s="26"/>
      <c r="H1" s="26"/>
      <c r="I1" s="26"/>
      <c r="J1" s="26"/>
      <c r="K1" s="26"/>
      <c r="L1" s="26"/>
      <c r="M1" s="26"/>
    </row>
    <row r="2" spans="1:14" ht="15.75" x14ac:dyDescent="0.25">
      <c r="A2" s="165" t="s">
        <v>28</v>
      </c>
      <c r="B2" s="732"/>
      <c r="C2" s="732"/>
      <c r="D2" s="732"/>
      <c r="E2" s="299"/>
      <c r="F2" s="732"/>
      <c r="G2" s="732"/>
      <c r="H2" s="732"/>
      <c r="I2" s="299"/>
      <c r="J2" s="732"/>
      <c r="K2" s="732"/>
      <c r="L2" s="732"/>
      <c r="M2" s="299"/>
    </row>
    <row r="3" spans="1:14" ht="15.75" x14ac:dyDescent="0.25">
      <c r="A3" s="163"/>
      <c r="B3" s="299"/>
      <c r="C3" s="299"/>
      <c r="D3" s="299"/>
      <c r="E3" s="299"/>
      <c r="F3" s="299"/>
      <c r="G3" s="299"/>
      <c r="H3" s="299"/>
      <c r="I3" s="299"/>
      <c r="J3" s="299"/>
      <c r="K3" s="299"/>
      <c r="L3" s="299"/>
      <c r="M3" s="299"/>
    </row>
    <row r="4" spans="1:14" x14ac:dyDescent="0.2">
      <c r="A4" s="144"/>
      <c r="B4" s="733" t="s">
        <v>0</v>
      </c>
      <c r="C4" s="734"/>
      <c r="D4" s="734"/>
      <c r="E4" s="301"/>
      <c r="F4" s="733" t="s">
        <v>1</v>
      </c>
      <c r="G4" s="734"/>
      <c r="H4" s="734"/>
      <c r="I4" s="304"/>
      <c r="J4" s="733" t="s">
        <v>2</v>
      </c>
      <c r="K4" s="734"/>
      <c r="L4" s="734"/>
      <c r="M4" s="304"/>
    </row>
    <row r="5" spans="1:14" x14ac:dyDescent="0.2">
      <c r="A5" s="158"/>
      <c r="B5" s="152" t="s">
        <v>421</v>
      </c>
      <c r="C5" s="152" t="s">
        <v>422</v>
      </c>
      <c r="D5" s="245" t="s">
        <v>3</v>
      </c>
      <c r="E5" s="305" t="s">
        <v>29</v>
      </c>
      <c r="F5" s="152" t="s">
        <v>421</v>
      </c>
      <c r="G5" s="152" t="s">
        <v>422</v>
      </c>
      <c r="H5" s="245" t="s">
        <v>3</v>
      </c>
      <c r="I5" s="162" t="s">
        <v>29</v>
      </c>
      <c r="J5" s="152" t="s">
        <v>421</v>
      </c>
      <c r="K5" s="152" t="s">
        <v>422</v>
      </c>
      <c r="L5" s="245" t="s">
        <v>3</v>
      </c>
      <c r="M5" s="162" t="s">
        <v>29</v>
      </c>
    </row>
    <row r="6" spans="1:14" x14ac:dyDescent="0.2">
      <c r="A6" s="707"/>
      <c r="B6" s="156"/>
      <c r="C6" s="156"/>
      <c r="D6" s="246" t="s">
        <v>4</v>
      </c>
      <c r="E6" s="156" t="s">
        <v>30</v>
      </c>
      <c r="F6" s="161"/>
      <c r="G6" s="161"/>
      <c r="H6" s="245" t="s">
        <v>4</v>
      </c>
      <c r="I6" s="156" t="s">
        <v>30</v>
      </c>
      <c r="J6" s="161"/>
      <c r="K6" s="161"/>
      <c r="L6" s="245" t="s">
        <v>4</v>
      </c>
      <c r="M6" s="156" t="s">
        <v>30</v>
      </c>
    </row>
    <row r="7" spans="1:14" ht="15.75" x14ac:dyDescent="0.2">
      <c r="A7" s="14" t="s">
        <v>23</v>
      </c>
      <c r="B7" s="306">
        <v>647211</v>
      </c>
      <c r="C7" s="307">
        <v>653121</v>
      </c>
      <c r="D7" s="350">
        <f>IF(B7=0, "    ---- ", IF(ABS(ROUND(100/B7*C7-100,1))&lt;999,ROUND(100/B7*C7-100,1),IF(ROUND(100/B7*C7-100,1)&gt;999,999,-999)))</f>
        <v>0.9</v>
      </c>
      <c r="E7" s="11">
        <f>IFERROR(100/'Skjema total MA'!C7*C7,0)</f>
        <v>17.69945831983512</v>
      </c>
      <c r="F7" s="306"/>
      <c r="G7" s="307"/>
      <c r="H7" s="350"/>
      <c r="I7" s="160"/>
      <c r="J7" s="308">
        <f t="shared" ref="J7:K9" si="0">SUM(B7,F7)</f>
        <v>647211</v>
      </c>
      <c r="K7" s="309">
        <f t="shared" si="0"/>
        <v>653121</v>
      </c>
      <c r="L7" s="427">
        <f>IF(J7=0, "    ---- ", IF(ABS(ROUND(100/J7*K7-100,1))&lt;999,ROUND(100/J7*K7-100,1),IF(ROUND(100/J7*K7-100,1)&gt;999,999,-999)))</f>
        <v>0.9</v>
      </c>
      <c r="M7" s="11">
        <f>IFERROR(100/'Skjema total MA'!I7*K7,0)</f>
        <v>6.1650233708213005</v>
      </c>
    </row>
    <row r="8" spans="1:14" ht="15.75" x14ac:dyDescent="0.2">
      <c r="A8" s="21" t="s">
        <v>25</v>
      </c>
      <c r="B8" s="281">
        <v>386854</v>
      </c>
      <c r="C8" s="282">
        <v>405176</v>
      </c>
      <c r="D8" s="166">
        <f t="shared" ref="D8:D9" si="1">IF(B8=0, "    ---- ", IF(ABS(ROUND(100/B8*C8-100,1))&lt;999,ROUND(100/B8*C8-100,1),IF(ROUND(100/B8*C8-100,1)&gt;999,999,-999)))</f>
        <v>4.7</v>
      </c>
      <c r="E8" s="27">
        <f>IFERROR(100/'Skjema total MA'!C8*C8,0)</f>
        <v>16.748852926166158</v>
      </c>
      <c r="F8" s="285"/>
      <c r="G8" s="286"/>
      <c r="H8" s="166"/>
      <c r="I8" s="175"/>
      <c r="J8" s="234">
        <f t="shared" si="0"/>
        <v>386854</v>
      </c>
      <c r="K8" s="287">
        <f t="shared" si="0"/>
        <v>405176</v>
      </c>
      <c r="L8" s="166">
        <f t="shared" ref="L8:L9" si="2">IF(J8=0, "    ---- ", IF(ABS(ROUND(100/J8*K8-100,1))&lt;999,ROUND(100/J8*K8-100,1),IF(ROUND(100/J8*K8-100,1)&gt;999,999,-999)))</f>
        <v>4.7</v>
      </c>
      <c r="M8" s="27">
        <f>IFERROR(100/'Skjema total MA'!I8*K8,0)</f>
        <v>16.748852926166158</v>
      </c>
    </row>
    <row r="9" spans="1:14" ht="15.75" x14ac:dyDescent="0.2">
      <c r="A9" s="21" t="s">
        <v>24</v>
      </c>
      <c r="B9" s="281">
        <v>260357</v>
      </c>
      <c r="C9" s="282">
        <v>247945</v>
      </c>
      <c r="D9" s="166">
        <f t="shared" si="1"/>
        <v>-4.8</v>
      </c>
      <c r="E9" s="27">
        <f>IFERROR(100/'Skjema total MA'!C9*C9,0)</f>
        <v>32.864841982829333</v>
      </c>
      <c r="F9" s="285"/>
      <c r="G9" s="286"/>
      <c r="H9" s="166"/>
      <c r="I9" s="175"/>
      <c r="J9" s="234">
        <f t="shared" si="0"/>
        <v>260357</v>
      </c>
      <c r="K9" s="287">
        <f t="shared" si="0"/>
        <v>247945</v>
      </c>
      <c r="L9" s="166">
        <f t="shared" si="2"/>
        <v>-4.8</v>
      </c>
      <c r="M9" s="27">
        <f>IFERROR(100/'Skjema total MA'!I9*K9,0)</f>
        <v>32.864841982829333</v>
      </c>
    </row>
    <row r="10" spans="1:14" ht="15.75" x14ac:dyDescent="0.2">
      <c r="A10" s="13" t="s">
        <v>365</v>
      </c>
      <c r="B10" s="310"/>
      <c r="C10" s="311"/>
      <c r="D10" s="171"/>
      <c r="E10" s="11"/>
      <c r="F10" s="310"/>
      <c r="G10" s="311"/>
      <c r="H10" s="171"/>
      <c r="I10" s="160"/>
      <c r="J10" s="308"/>
      <c r="K10" s="309"/>
      <c r="L10" s="428"/>
      <c r="M10" s="11"/>
    </row>
    <row r="11" spans="1:14" s="43" customFormat="1" ht="15.75" x14ac:dyDescent="0.2">
      <c r="A11" s="13" t="s">
        <v>366</v>
      </c>
      <c r="B11" s="310"/>
      <c r="C11" s="311"/>
      <c r="D11" s="171"/>
      <c r="E11" s="11"/>
      <c r="F11" s="310"/>
      <c r="G11" s="311"/>
      <c r="H11" s="171"/>
      <c r="I11" s="160"/>
      <c r="J11" s="308"/>
      <c r="K11" s="309"/>
      <c r="L11" s="428"/>
      <c r="M11" s="11"/>
      <c r="N11" s="143"/>
    </row>
    <row r="12" spans="1:14" s="43" customFormat="1" ht="15.75" x14ac:dyDescent="0.2">
      <c r="A12" s="41" t="s">
        <v>367</v>
      </c>
      <c r="B12" s="312"/>
      <c r="C12" s="313"/>
      <c r="D12" s="169"/>
      <c r="E12" s="36"/>
      <c r="F12" s="312"/>
      <c r="G12" s="313"/>
      <c r="H12" s="169"/>
      <c r="I12" s="169"/>
      <c r="J12" s="314"/>
      <c r="K12" s="315"/>
      <c r="L12" s="429"/>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275</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272</v>
      </c>
      <c r="B17" s="157"/>
      <c r="C17" s="157"/>
      <c r="D17" s="151"/>
      <c r="E17" s="151"/>
      <c r="F17" s="157"/>
      <c r="G17" s="157"/>
      <c r="H17" s="157"/>
      <c r="I17" s="157"/>
      <c r="J17" s="157"/>
      <c r="K17" s="157"/>
      <c r="L17" s="157"/>
      <c r="M17" s="157"/>
    </row>
    <row r="18" spans="1:14" ht="15.75" x14ac:dyDescent="0.25">
      <c r="B18" s="735"/>
      <c r="C18" s="735"/>
      <c r="D18" s="735"/>
      <c r="E18" s="299"/>
      <c r="F18" s="735"/>
      <c r="G18" s="735"/>
      <c r="H18" s="735"/>
      <c r="I18" s="299"/>
      <c r="J18" s="735"/>
      <c r="K18" s="735"/>
      <c r="L18" s="735"/>
      <c r="M18" s="299"/>
    </row>
    <row r="19" spans="1:14" x14ac:dyDescent="0.2">
      <c r="A19" s="144"/>
      <c r="B19" s="733" t="s">
        <v>0</v>
      </c>
      <c r="C19" s="734"/>
      <c r="D19" s="734"/>
      <c r="E19" s="301"/>
      <c r="F19" s="733" t="s">
        <v>1</v>
      </c>
      <c r="G19" s="734"/>
      <c r="H19" s="734"/>
      <c r="I19" s="304"/>
      <c r="J19" s="733" t="s">
        <v>2</v>
      </c>
      <c r="K19" s="734"/>
      <c r="L19" s="734"/>
      <c r="M19" s="304"/>
    </row>
    <row r="20" spans="1:14" x14ac:dyDescent="0.2">
      <c r="A20" s="140" t="s">
        <v>5</v>
      </c>
      <c r="B20" s="152" t="s">
        <v>421</v>
      </c>
      <c r="C20" s="152" t="s">
        <v>422</v>
      </c>
      <c r="D20" s="162" t="s">
        <v>3</v>
      </c>
      <c r="E20" s="305" t="s">
        <v>29</v>
      </c>
      <c r="F20" s="152" t="s">
        <v>421</v>
      </c>
      <c r="G20" s="152" t="s">
        <v>422</v>
      </c>
      <c r="H20" s="162" t="s">
        <v>3</v>
      </c>
      <c r="I20" s="162" t="s">
        <v>29</v>
      </c>
      <c r="J20" s="152" t="s">
        <v>421</v>
      </c>
      <c r="K20" s="152" t="s">
        <v>422</v>
      </c>
      <c r="L20" s="162" t="s">
        <v>3</v>
      </c>
      <c r="M20" s="162" t="s">
        <v>29</v>
      </c>
    </row>
    <row r="21" spans="1:14" x14ac:dyDescent="0.2">
      <c r="A21" s="708"/>
      <c r="B21" s="156"/>
      <c r="C21" s="156"/>
      <c r="D21" s="246" t="s">
        <v>4</v>
      </c>
      <c r="E21" s="156" t="s">
        <v>30</v>
      </c>
      <c r="F21" s="161"/>
      <c r="G21" s="161"/>
      <c r="H21" s="245" t="s">
        <v>4</v>
      </c>
      <c r="I21" s="156" t="s">
        <v>30</v>
      </c>
      <c r="J21" s="161"/>
      <c r="K21" s="161"/>
      <c r="L21" s="156" t="s">
        <v>4</v>
      </c>
      <c r="M21" s="156" t="s">
        <v>30</v>
      </c>
    </row>
    <row r="22" spans="1:14" ht="15.75" x14ac:dyDescent="0.2">
      <c r="A22" s="14" t="s">
        <v>23</v>
      </c>
      <c r="B22" s="310"/>
      <c r="C22" s="310"/>
      <c r="D22" s="350"/>
      <c r="E22" s="11"/>
      <c r="F22" s="318"/>
      <c r="G22" s="318"/>
      <c r="H22" s="350"/>
      <c r="I22" s="11"/>
      <c r="J22" s="316"/>
      <c r="K22" s="316"/>
      <c r="L22" s="427"/>
      <c r="M22" s="24"/>
    </row>
    <row r="23" spans="1:14" ht="15.75" x14ac:dyDescent="0.2">
      <c r="A23" s="584" t="s">
        <v>368</v>
      </c>
      <c r="B23" s="281"/>
      <c r="C23" s="281"/>
      <c r="D23" s="166"/>
      <c r="E23" s="11"/>
      <c r="F23" s="290"/>
      <c r="G23" s="290"/>
      <c r="H23" s="166"/>
      <c r="I23" s="417"/>
      <c r="J23" s="290"/>
      <c r="K23" s="290"/>
      <c r="L23" s="166"/>
      <c r="M23" s="23"/>
    </row>
    <row r="24" spans="1:14" ht="15.75" x14ac:dyDescent="0.2">
      <c r="A24" s="584" t="s">
        <v>369</v>
      </c>
      <c r="B24" s="281"/>
      <c r="C24" s="281"/>
      <c r="D24" s="166"/>
      <c r="E24" s="11"/>
      <c r="F24" s="290"/>
      <c r="G24" s="290"/>
      <c r="H24" s="166"/>
      <c r="I24" s="417"/>
      <c r="J24" s="290"/>
      <c r="K24" s="290"/>
      <c r="L24" s="166"/>
      <c r="M24" s="23"/>
    </row>
    <row r="25" spans="1:14" ht="15.75" x14ac:dyDescent="0.2">
      <c r="A25" s="584" t="s">
        <v>370</v>
      </c>
      <c r="B25" s="281"/>
      <c r="C25" s="281"/>
      <c r="D25" s="166"/>
      <c r="E25" s="11"/>
      <c r="F25" s="290"/>
      <c r="G25" s="290"/>
      <c r="H25" s="166"/>
      <c r="I25" s="417"/>
      <c r="J25" s="290"/>
      <c r="K25" s="290"/>
      <c r="L25" s="166"/>
      <c r="M25" s="23"/>
    </row>
    <row r="26" spans="1:14" ht="15.75" x14ac:dyDescent="0.2">
      <c r="A26" s="584" t="s">
        <v>371</v>
      </c>
      <c r="B26" s="281"/>
      <c r="C26" s="281"/>
      <c r="D26" s="166"/>
      <c r="E26" s="11"/>
      <c r="F26" s="290"/>
      <c r="G26" s="290"/>
      <c r="H26" s="166"/>
      <c r="I26" s="417"/>
      <c r="J26" s="290"/>
      <c r="K26" s="290"/>
      <c r="L26" s="166"/>
      <c r="M26" s="23"/>
    </row>
    <row r="27" spans="1:14" x14ac:dyDescent="0.2">
      <c r="A27" s="584" t="s">
        <v>11</v>
      </c>
      <c r="B27" s="281"/>
      <c r="C27" s="281"/>
      <c r="D27" s="166"/>
      <c r="E27" s="11"/>
      <c r="F27" s="290"/>
      <c r="G27" s="290"/>
      <c r="H27" s="166"/>
      <c r="I27" s="417"/>
      <c r="J27" s="290"/>
      <c r="K27" s="290"/>
      <c r="L27" s="166"/>
      <c r="M27" s="23"/>
    </row>
    <row r="28" spans="1:14" ht="15.75" x14ac:dyDescent="0.2">
      <c r="A28" s="49" t="s">
        <v>276</v>
      </c>
      <c r="B28" s="44"/>
      <c r="C28" s="287"/>
      <c r="D28" s="166"/>
      <c r="E28" s="11"/>
      <c r="F28" s="234"/>
      <c r="G28" s="287"/>
      <c r="H28" s="166"/>
      <c r="I28" s="27"/>
      <c r="J28" s="44"/>
      <c r="K28" s="44"/>
      <c r="L28" s="254"/>
      <c r="M28" s="23"/>
    </row>
    <row r="29" spans="1:14" s="3" customFormat="1" ht="15.75" x14ac:dyDescent="0.2">
      <c r="A29" s="13" t="s">
        <v>365</v>
      </c>
      <c r="B29" s="236"/>
      <c r="C29" s="236"/>
      <c r="D29" s="171"/>
      <c r="E29" s="11"/>
      <c r="F29" s="308"/>
      <c r="G29" s="308"/>
      <c r="H29" s="171"/>
      <c r="I29" s="11"/>
      <c r="J29" s="236"/>
      <c r="K29" s="236"/>
      <c r="L29" s="428"/>
      <c r="M29" s="24"/>
      <c r="N29" s="148"/>
    </row>
    <row r="30" spans="1:14" s="3" customFormat="1" ht="15.75" x14ac:dyDescent="0.2">
      <c r="A30" s="584" t="s">
        <v>368</v>
      </c>
      <c r="B30" s="281"/>
      <c r="C30" s="281"/>
      <c r="D30" s="166"/>
      <c r="E30" s="11"/>
      <c r="F30" s="290"/>
      <c r="G30" s="290"/>
      <c r="H30" s="166"/>
      <c r="I30" s="417"/>
      <c r="J30" s="290"/>
      <c r="K30" s="290"/>
      <c r="L30" s="166"/>
      <c r="M30" s="23"/>
      <c r="N30" s="148"/>
    </row>
    <row r="31" spans="1:14" s="3" customFormat="1" ht="15.75" x14ac:dyDescent="0.2">
      <c r="A31" s="584" t="s">
        <v>369</v>
      </c>
      <c r="B31" s="281"/>
      <c r="C31" s="281"/>
      <c r="D31" s="166"/>
      <c r="E31" s="11"/>
      <c r="F31" s="290"/>
      <c r="G31" s="290"/>
      <c r="H31" s="166"/>
      <c r="I31" s="417"/>
      <c r="J31" s="290"/>
      <c r="K31" s="290"/>
      <c r="L31" s="166"/>
      <c r="M31" s="23"/>
      <c r="N31" s="148"/>
    </row>
    <row r="32" spans="1:14" ht="15.75" x14ac:dyDescent="0.2">
      <c r="A32" s="584" t="s">
        <v>370</v>
      </c>
      <c r="B32" s="281"/>
      <c r="C32" s="281"/>
      <c r="D32" s="166"/>
      <c r="E32" s="11"/>
      <c r="F32" s="290"/>
      <c r="G32" s="290"/>
      <c r="H32" s="166"/>
      <c r="I32" s="417"/>
      <c r="J32" s="290"/>
      <c r="K32" s="290"/>
      <c r="L32" s="166"/>
      <c r="M32" s="23"/>
    </row>
    <row r="33" spans="1:14" ht="15.75" x14ac:dyDescent="0.2">
      <c r="A33" s="584" t="s">
        <v>371</v>
      </c>
      <c r="B33" s="281"/>
      <c r="C33" s="281"/>
      <c r="D33" s="166"/>
      <c r="E33" s="11"/>
      <c r="F33" s="290"/>
      <c r="G33" s="290"/>
      <c r="H33" s="166"/>
      <c r="I33" s="417"/>
      <c r="J33" s="290"/>
      <c r="K33" s="290"/>
      <c r="L33" s="166"/>
      <c r="M33" s="23"/>
    </row>
    <row r="34" spans="1:14" ht="15.75" x14ac:dyDescent="0.2">
      <c r="A34" s="13" t="s">
        <v>366</v>
      </c>
      <c r="B34" s="236"/>
      <c r="C34" s="309"/>
      <c r="D34" s="171"/>
      <c r="E34" s="11"/>
      <c r="F34" s="308"/>
      <c r="G34" s="309"/>
      <c r="H34" s="171"/>
      <c r="I34" s="11"/>
      <c r="J34" s="236"/>
      <c r="K34" s="236"/>
      <c r="L34" s="428"/>
      <c r="M34" s="24"/>
    </row>
    <row r="35" spans="1:14" ht="15.75" x14ac:dyDescent="0.2">
      <c r="A35" s="13" t="s">
        <v>367</v>
      </c>
      <c r="B35" s="236"/>
      <c r="C35" s="309"/>
      <c r="D35" s="171"/>
      <c r="E35" s="11"/>
      <c r="F35" s="308"/>
      <c r="G35" s="309"/>
      <c r="H35" s="171"/>
      <c r="I35" s="11"/>
      <c r="J35" s="236"/>
      <c r="K35" s="236"/>
      <c r="L35" s="428"/>
      <c r="M35" s="24"/>
    </row>
    <row r="36" spans="1:14" ht="15.75" x14ac:dyDescent="0.2">
      <c r="A36" s="12" t="s">
        <v>284</v>
      </c>
      <c r="B36" s="236"/>
      <c r="C36" s="309"/>
      <c r="D36" s="171"/>
      <c r="E36" s="11"/>
      <c r="F36" s="319"/>
      <c r="G36" s="320"/>
      <c r="H36" s="171"/>
      <c r="I36" s="434"/>
      <c r="J36" s="236"/>
      <c r="K36" s="236"/>
      <c r="L36" s="428"/>
      <c r="M36" s="24"/>
    </row>
    <row r="37" spans="1:14" ht="15.75" x14ac:dyDescent="0.2">
      <c r="A37" s="12" t="s">
        <v>373</v>
      </c>
      <c r="B37" s="236"/>
      <c r="C37" s="309"/>
      <c r="D37" s="171"/>
      <c r="E37" s="11"/>
      <c r="F37" s="319"/>
      <c r="G37" s="321"/>
      <c r="H37" s="171"/>
      <c r="I37" s="434"/>
      <c r="J37" s="236"/>
      <c r="K37" s="236"/>
      <c r="L37" s="428"/>
      <c r="M37" s="24"/>
    </row>
    <row r="38" spans="1:14" ht="15.75" x14ac:dyDescent="0.2">
      <c r="A38" s="12" t="s">
        <v>374</v>
      </c>
      <c r="B38" s="236"/>
      <c r="C38" s="309"/>
      <c r="D38" s="171"/>
      <c r="E38" s="24"/>
      <c r="F38" s="319"/>
      <c r="G38" s="320"/>
      <c r="H38" s="171"/>
      <c r="I38" s="434"/>
      <c r="J38" s="236"/>
      <c r="K38" s="236"/>
      <c r="L38" s="428"/>
      <c r="M38" s="24"/>
    </row>
    <row r="39" spans="1:14" ht="15.75" x14ac:dyDescent="0.2">
      <c r="A39" s="18" t="s">
        <v>375</v>
      </c>
      <c r="B39" s="276"/>
      <c r="C39" s="315"/>
      <c r="D39" s="169"/>
      <c r="E39" s="36"/>
      <c r="F39" s="322"/>
      <c r="G39" s="323"/>
      <c r="H39" s="169"/>
      <c r="I39" s="36"/>
      <c r="J39" s="236"/>
      <c r="K39" s="236"/>
      <c r="L39" s="429"/>
      <c r="M39" s="36"/>
    </row>
    <row r="40" spans="1:14" ht="15.75" x14ac:dyDescent="0.25">
      <c r="A40" s="47"/>
      <c r="B40" s="253"/>
      <c r="C40" s="253"/>
      <c r="D40" s="736"/>
      <c r="E40" s="736"/>
      <c r="F40" s="736"/>
      <c r="G40" s="736"/>
      <c r="H40" s="736"/>
      <c r="I40" s="736"/>
      <c r="J40" s="736"/>
      <c r="K40" s="736"/>
      <c r="L40" s="736"/>
      <c r="M40" s="302"/>
    </row>
    <row r="41" spans="1:14" x14ac:dyDescent="0.2">
      <c r="A41" s="155"/>
    </row>
    <row r="42" spans="1:14" ht="15.75" x14ac:dyDescent="0.25">
      <c r="A42" s="147" t="s">
        <v>273</v>
      </c>
      <c r="B42" s="732"/>
      <c r="C42" s="732"/>
      <c r="D42" s="732"/>
      <c r="E42" s="299"/>
      <c r="F42" s="737"/>
      <c r="G42" s="737"/>
      <c r="H42" s="737"/>
      <c r="I42" s="302"/>
      <c r="J42" s="737"/>
      <c r="K42" s="737"/>
      <c r="L42" s="737"/>
      <c r="M42" s="302"/>
    </row>
    <row r="43" spans="1:14" ht="15.75" x14ac:dyDescent="0.25">
      <c r="A43" s="163"/>
      <c r="B43" s="303"/>
      <c r="C43" s="303"/>
      <c r="D43" s="303"/>
      <c r="E43" s="303"/>
      <c r="F43" s="302"/>
      <c r="G43" s="302"/>
      <c r="H43" s="302"/>
      <c r="I43" s="302"/>
      <c r="J43" s="302"/>
      <c r="K43" s="302"/>
      <c r="L43" s="302"/>
      <c r="M43" s="302"/>
    </row>
    <row r="44" spans="1:14" ht="15.75" x14ac:dyDescent="0.25">
      <c r="A44" s="247"/>
      <c r="B44" s="733" t="s">
        <v>0</v>
      </c>
      <c r="C44" s="734"/>
      <c r="D44" s="734"/>
      <c r="E44" s="243"/>
      <c r="F44" s="302"/>
      <c r="G44" s="302"/>
      <c r="H44" s="302"/>
      <c r="I44" s="302"/>
      <c r="J44" s="302"/>
      <c r="K44" s="302"/>
      <c r="L44" s="302"/>
      <c r="M44" s="302"/>
    </row>
    <row r="45" spans="1:14" s="3" customFormat="1" x14ac:dyDescent="0.2">
      <c r="A45" s="140"/>
      <c r="B45" s="152" t="s">
        <v>421</v>
      </c>
      <c r="C45" s="152" t="s">
        <v>422</v>
      </c>
      <c r="D45" s="162" t="s">
        <v>3</v>
      </c>
      <c r="E45" s="162" t="s">
        <v>29</v>
      </c>
      <c r="F45" s="174"/>
      <c r="G45" s="174"/>
      <c r="H45" s="173"/>
      <c r="I45" s="173"/>
      <c r="J45" s="174"/>
      <c r="K45" s="174"/>
      <c r="L45" s="173"/>
      <c r="M45" s="173"/>
      <c r="N45" s="148"/>
    </row>
    <row r="46" spans="1:14" s="3" customFormat="1" x14ac:dyDescent="0.2">
      <c r="A46" s="708"/>
      <c r="B46" s="244"/>
      <c r="C46" s="244"/>
      <c r="D46" s="245" t="s">
        <v>4</v>
      </c>
      <c r="E46" s="156" t="s">
        <v>30</v>
      </c>
      <c r="F46" s="173"/>
      <c r="G46" s="173"/>
      <c r="H46" s="173"/>
      <c r="I46" s="173"/>
      <c r="J46" s="173"/>
      <c r="K46" s="173"/>
      <c r="L46" s="173"/>
      <c r="M46" s="173"/>
      <c r="N46" s="148"/>
    </row>
    <row r="47" spans="1:14" s="3" customFormat="1" ht="15.75" x14ac:dyDescent="0.2">
      <c r="A47" s="14" t="s">
        <v>23</v>
      </c>
      <c r="B47" s="310">
        <v>718448</v>
      </c>
      <c r="C47" s="311">
        <v>792024</v>
      </c>
      <c r="D47" s="427">
        <f t="shared" ref="D47:D58" si="3">IF(B47=0, "    ---- ", IF(ABS(ROUND(100/B47*C47-100,1))&lt;999,ROUND(100/B47*C47-100,1),IF(ROUND(100/B47*C47-100,1)&gt;999,999,-999)))</f>
        <v>10.199999999999999</v>
      </c>
      <c r="E47" s="11">
        <f>IFERROR(100/'Skjema total MA'!C47*C47,0)</f>
        <v>18.741319016130394</v>
      </c>
      <c r="F47" s="145"/>
      <c r="G47" s="33"/>
      <c r="H47" s="159"/>
      <c r="I47" s="159"/>
      <c r="J47" s="37"/>
      <c r="K47" s="37"/>
      <c r="L47" s="159"/>
      <c r="M47" s="159"/>
      <c r="N47" s="148"/>
    </row>
    <row r="48" spans="1:14" s="3" customFormat="1" ht="15.75" x14ac:dyDescent="0.2">
      <c r="A48" s="38" t="s">
        <v>376</v>
      </c>
      <c r="B48" s="281">
        <v>461468</v>
      </c>
      <c r="C48" s="282">
        <v>502374</v>
      </c>
      <c r="D48" s="254">
        <f t="shared" si="3"/>
        <v>8.9</v>
      </c>
      <c r="E48" s="27">
        <f>IFERROR(100/'Skjema total MA'!C48*C48,0)</f>
        <v>21.118136742408112</v>
      </c>
      <c r="F48" s="145"/>
      <c r="G48" s="33"/>
      <c r="H48" s="145"/>
      <c r="I48" s="145"/>
      <c r="J48" s="33"/>
      <c r="K48" s="33"/>
      <c r="L48" s="159"/>
      <c r="M48" s="159"/>
      <c r="N48" s="148"/>
    </row>
    <row r="49" spans="1:14" s="3" customFormat="1" ht="15.75" x14ac:dyDescent="0.2">
      <c r="A49" s="38" t="s">
        <v>377</v>
      </c>
      <c r="B49" s="44">
        <v>256980</v>
      </c>
      <c r="C49" s="287">
        <v>289650</v>
      </c>
      <c r="D49" s="254">
        <f>IF(B49=0, "    ---- ", IF(ABS(ROUND(100/B49*C49-100,1))&lt;999,ROUND(100/B49*C49-100,1),IF(ROUND(100/B49*C49-100,1)&gt;999,999,-999)))</f>
        <v>12.7</v>
      </c>
      <c r="E49" s="27">
        <f>IFERROR(100/'Skjema total MA'!C49*C49,0)</f>
        <v>15.680404719404924</v>
      </c>
      <c r="F49" s="145"/>
      <c r="G49" s="33"/>
      <c r="H49" s="145"/>
      <c r="I49" s="145"/>
      <c r="J49" s="37"/>
      <c r="K49" s="37"/>
      <c r="L49" s="159"/>
      <c r="M49" s="159"/>
      <c r="N49" s="148"/>
    </row>
    <row r="50" spans="1:14" s="3" customFormat="1" x14ac:dyDescent="0.2">
      <c r="A50" s="296" t="s">
        <v>6</v>
      </c>
      <c r="B50" s="290" t="s">
        <v>423</v>
      </c>
      <c r="C50" s="291" t="s">
        <v>423</v>
      </c>
      <c r="D50" s="254" t="e">
        <f>IF(kvartal=4,IF(B49=0, "    ---- ", IF(ABS(ROUND(100/B49*C49-100,1))&lt;999,ROUND(100/B49*C49-100,1),IF(ROUND(100/B49*C49-100,1)&gt;999,999,-999))),"")</f>
        <v>#REF!</v>
      </c>
      <c r="E50" s="23" t="e">
        <f>IF(kvartal=4,IFERROR(100/'Skjema total MA'!B50*C50,0),"")</f>
        <v>#REF!</v>
      </c>
      <c r="F50" s="145"/>
      <c r="G50" s="33"/>
      <c r="H50" s="145"/>
      <c r="I50" s="145"/>
      <c r="J50" s="33"/>
      <c r="K50" s="33"/>
      <c r="L50" s="159"/>
      <c r="M50" s="159"/>
      <c r="N50" s="148"/>
    </row>
    <row r="51" spans="1:14" s="3" customFormat="1" x14ac:dyDescent="0.2">
      <c r="A51" s="296" t="s">
        <v>7</v>
      </c>
      <c r="B51" s="290" t="s">
        <v>423</v>
      </c>
      <c r="C51" s="291" t="s">
        <v>423</v>
      </c>
      <c r="D51" s="254" t="e">
        <f>IF(kvartal=4,IF(B50=0, "    ---- ", IF(ABS(ROUND(100/B50*C50-100,1))&lt;999,ROUND(100/B50*C50-100,1),IF(ROUND(100/B50*C50-100,1)&gt;999,999,-999))),"")</f>
        <v>#REF!</v>
      </c>
      <c r="E51" s="23" t="e">
        <f>IF(kvartal=4,IFERROR(100/'Skjema total MA'!B51*C51,0),"")</f>
        <v>#REF!</v>
      </c>
      <c r="F51" s="145"/>
      <c r="G51" s="33"/>
      <c r="H51" s="145"/>
      <c r="I51" s="145"/>
      <c r="J51" s="33"/>
      <c r="K51" s="33"/>
      <c r="L51" s="159"/>
      <c r="M51" s="159"/>
      <c r="N51" s="148"/>
    </row>
    <row r="52" spans="1:14" s="3" customFormat="1" x14ac:dyDescent="0.2">
      <c r="A52" s="296" t="s">
        <v>8</v>
      </c>
      <c r="B52" s="290" t="s">
        <v>423</v>
      </c>
      <c r="C52" s="291" t="s">
        <v>423</v>
      </c>
      <c r="D52" s="254" t="e">
        <f>IF(kvartal=4,IF(B51=0, "    ---- ", IF(ABS(ROUND(100/B51*C51-100,1))&lt;999,ROUND(100/B51*C51-100,1),IF(ROUND(100/B51*C51-100,1)&gt;999,999,-999))),"")</f>
        <v>#REF!</v>
      </c>
      <c r="E52" s="23" t="e">
        <f>IF(kvartal=4,IFERROR(100/'Skjema total MA'!B52*C52,0),"")</f>
        <v>#REF!</v>
      </c>
      <c r="F52" s="145"/>
      <c r="G52" s="33"/>
      <c r="H52" s="145"/>
      <c r="I52" s="145"/>
      <c r="J52" s="33"/>
      <c r="K52" s="33"/>
      <c r="L52" s="159"/>
      <c r="M52" s="159"/>
      <c r="N52" s="148"/>
    </row>
    <row r="53" spans="1:14" s="3" customFormat="1" ht="15.75" x14ac:dyDescent="0.2">
      <c r="A53" s="39" t="s">
        <v>378</v>
      </c>
      <c r="B53" s="310">
        <v>28458</v>
      </c>
      <c r="C53" s="311">
        <v>69788</v>
      </c>
      <c r="D53" s="428">
        <f t="shared" si="3"/>
        <v>145.19999999999999</v>
      </c>
      <c r="E53" s="11">
        <f>IFERROR(100/'Skjema total MA'!C53*C53,0)</f>
        <v>44.890519376773852</v>
      </c>
      <c r="F53" s="145"/>
      <c r="G53" s="33"/>
      <c r="H53" s="145"/>
      <c r="I53" s="145"/>
      <c r="J53" s="33"/>
      <c r="K53" s="33"/>
      <c r="L53" s="159"/>
      <c r="M53" s="159"/>
      <c r="N53" s="148"/>
    </row>
    <row r="54" spans="1:14" s="3" customFormat="1" ht="15.75" x14ac:dyDescent="0.2">
      <c r="A54" s="38" t="s">
        <v>376</v>
      </c>
      <c r="B54" s="281">
        <v>28458</v>
      </c>
      <c r="C54" s="282">
        <v>69788</v>
      </c>
      <c r="D54" s="254">
        <f t="shared" si="3"/>
        <v>145.19999999999999</v>
      </c>
      <c r="E54" s="27">
        <f>IFERROR(100/'Skjema total MA'!C54*C54,0)</f>
        <v>44.890519376773852</v>
      </c>
      <c r="F54" s="145"/>
      <c r="G54" s="33"/>
      <c r="H54" s="145"/>
      <c r="I54" s="145"/>
      <c r="J54" s="33"/>
      <c r="K54" s="33"/>
      <c r="L54" s="159"/>
      <c r="M54" s="159"/>
      <c r="N54" s="148"/>
    </row>
    <row r="55" spans="1:14" s="3" customFormat="1" ht="15.75" x14ac:dyDescent="0.2">
      <c r="A55" s="38" t="s">
        <v>377</v>
      </c>
      <c r="B55" s="281">
        <v>0</v>
      </c>
      <c r="C55" s="282">
        <v>0</v>
      </c>
      <c r="D55" s="254" t="str">
        <f t="shared" si="3"/>
        <v xml:space="preserve">    ---- </v>
      </c>
      <c r="E55" s="27">
        <f>IFERROR(100/'Skjema total MA'!C55*C55,0)</f>
        <v>0</v>
      </c>
      <c r="F55" s="145"/>
      <c r="G55" s="33"/>
      <c r="H55" s="145"/>
      <c r="I55" s="145"/>
      <c r="J55" s="33"/>
      <c r="K55" s="33"/>
      <c r="L55" s="159"/>
      <c r="M55" s="159"/>
      <c r="N55" s="148"/>
    </row>
    <row r="56" spans="1:14" s="3" customFormat="1" ht="15.75" x14ac:dyDescent="0.2">
      <c r="A56" s="39" t="s">
        <v>379</v>
      </c>
      <c r="B56" s="310">
        <v>105850</v>
      </c>
      <c r="C56" s="311">
        <v>29377</v>
      </c>
      <c r="D56" s="428">
        <f t="shared" si="3"/>
        <v>-72.2</v>
      </c>
      <c r="E56" s="11">
        <f>IFERROR(100/'Skjema total MA'!C56*C56,0)</f>
        <v>24.74509903085163</v>
      </c>
      <c r="F56" s="145"/>
      <c r="G56" s="33"/>
      <c r="H56" s="145"/>
      <c r="I56" s="145"/>
      <c r="J56" s="33"/>
      <c r="K56" s="33"/>
      <c r="L56" s="159"/>
      <c r="M56" s="159"/>
      <c r="N56" s="148"/>
    </row>
    <row r="57" spans="1:14" s="3" customFormat="1" ht="15.75" x14ac:dyDescent="0.2">
      <c r="A57" s="38" t="s">
        <v>376</v>
      </c>
      <c r="B57" s="281">
        <v>39818</v>
      </c>
      <c r="C57" s="282">
        <v>29377</v>
      </c>
      <c r="D57" s="254">
        <f t="shared" si="3"/>
        <v>-26.2</v>
      </c>
      <c r="E57" s="27">
        <f>IFERROR(100/'Skjema total MA'!C57*C57,0)</f>
        <v>24.74509903085163</v>
      </c>
      <c r="F57" s="145"/>
      <c r="G57" s="33"/>
      <c r="H57" s="145"/>
      <c r="I57" s="145"/>
      <c r="J57" s="33"/>
      <c r="K57" s="33"/>
      <c r="L57" s="159"/>
      <c r="M57" s="159"/>
      <c r="N57" s="148"/>
    </row>
    <row r="58" spans="1:14" s="3" customFormat="1" ht="15.75" x14ac:dyDescent="0.2">
      <c r="A58" s="46" t="s">
        <v>377</v>
      </c>
      <c r="B58" s="283">
        <v>66032</v>
      </c>
      <c r="C58" s="284">
        <v>0</v>
      </c>
      <c r="D58" s="255">
        <f t="shared" si="3"/>
        <v>-100</v>
      </c>
      <c r="E58" s="22">
        <f>IFERROR(100/'Skjema total MA'!C58*C58,0)</f>
        <v>0</v>
      </c>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274</v>
      </c>
      <c r="C61" s="26"/>
      <c r="D61" s="26"/>
      <c r="E61" s="26"/>
      <c r="F61" s="26"/>
      <c r="G61" s="26"/>
      <c r="H61" s="26"/>
      <c r="I61" s="26"/>
      <c r="J61" s="26"/>
      <c r="K61" s="26"/>
      <c r="L61" s="26"/>
      <c r="M61" s="26"/>
    </row>
    <row r="62" spans="1:14" ht="15.75" x14ac:dyDescent="0.25">
      <c r="B62" s="735"/>
      <c r="C62" s="735"/>
      <c r="D62" s="735"/>
      <c r="E62" s="299"/>
      <c r="F62" s="735"/>
      <c r="G62" s="735"/>
      <c r="H62" s="735"/>
      <c r="I62" s="299"/>
      <c r="J62" s="735"/>
      <c r="K62" s="735"/>
      <c r="L62" s="735"/>
      <c r="M62" s="299"/>
    </row>
    <row r="63" spans="1:14" x14ac:dyDescent="0.2">
      <c r="A63" s="144"/>
      <c r="B63" s="733" t="s">
        <v>0</v>
      </c>
      <c r="C63" s="734"/>
      <c r="D63" s="738"/>
      <c r="E63" s="300"/>
      <c r="F63" s="734" t="s">
        <v>1</v>
      </c>
      <c r="G63" s="734"/>
      <c r="H63" s="734"/>
      <c r="I63" s="304"/>
      <c r="J63" s="733" t="s">
        <v>2</v>
      </c>
      <c r="K63" s="734"/>
      <c r="L63" s="734"/>
      <c r="M63" s="304"/>
    </row>
    <row r="64" spans="1:14" x14ac:dyDescent="0.2">
      <c r="A64" s="140"/>
      <c r="B64" s="152" t="s">
        <v>421</v>
      </c>
      <c r="C64" s="152" t="s">
        <v>422</v>
      </c>
      <c r="D64" s="245" t="s">
        <v>3</v>
      </c>
      <c r="E64" s="305" t="s">
        <v>29</v>
      </c>
      <c r="F64" s="152" t="s">
        <v>421</v>
      </c>
      <c r="G64" s="152" t="s">
        <v>422</v>
      </c>
      <c r="H64" s="245" t="s">
        <v>3</v>
      </c>
      <c r="I64" s="305" t="s">
        <v>29</v>
      </c>
      <c r="J64" s="152" t="s">
        <v>421</v>
      </c>
      <c r="K64" s="152" t="s">
        <v>422</v>
      </c>
      <c r="L64" s="245" t="s">
        <v>3</v>
      </c>
      <c r="M64" s="162" t="s">
        <v>29</v>
      </c>
    </row>
    <row r="65" spans="1:14" x14ac:dyDescent="0.2">
      <c r="A65" s="708"/>
      <c r="B65" s="156"/>
      <c r="C65" s="156"/>
      <c r="D65" s="246" t="s">
        <v>4</v>
      </c>
      <c r="E65" s="156" t="s">
        <v>30</v>
      </c>
      <c r="F65" s="161"/>
      <c r="G65" s="161"/>
      <c r="H65" s="245" t="s">
        <v>4</v>
      </c>
      <c r="I65" s="156" t="s">
        <v>30</v>
      </c>
      <c r="J65" s="161"/>
      <c r="K65" s="206"/>
      <c r="L65" s="156" t="s">
        <v>4</v>
      </c>
      <c r="M65" s="156" t="s">
        <v>30</v>
      </c>
    </row>
    <row r="66" spans="1:14" ht="15.75" x14ac:dyDescent="0.2">
      <c r="A66" s="14" t="s">
        <v>23</v>
      </c>
      <c r="B66" s="353"/>
      <c r="C66" s="353"/>
      <c r="D66" s="350"/>
      <c r="E66" s="11"/>
      <c r="F66" s="352"/>
      <c r="G66" s="352"/>
      <c r="H66" s="350"/>
      <c r="I66" s="11"/>
      <c r="J66" s="309"/>
      <c r="K66" s="316"/>
      <c r="L66" s="428"/>
      <c r="M66" s="11"/>
    </row>
    <row r="67" spans="1:14" x14ac:dyDescent="0.2">
      <c r="A67" s="419" t="s">
        <v>9</v>
      </c>
      <c r="B67" s="44"/>
      <c r="C67" s="145"/>
      <c r="D67" s="166"/>
      <c r="E67" s="27"/>
      <c r="F67" s="234"/>
      <c r="G67" s="145"/>
      <c r="H67" s="166"/>
      <c r="I67" s="27"/>
      <c r="J67" s="287"/>
      <c r="K67" s="44"/>
      <c r="L67" s="254"/>
      <c r="M67" s="27"/>
    </row>
    <row r="68" spans="1:14" x14ac:dyDescent="0.2">
      <c r="A68" s="21" t="s">
        <v>10</v>
      </c>
      <c r="B68" s="292"/>
      <c r="C68" s="293"/>
      <c r="D68" s="166"/>
      <c r="E68" s="27"/>
      <c r="F68" s="292"/>
      <c r="G68" s="293"/>
      <c r="H68" s="166"/>
      <c r="I68" s="27"/>
      <c r="J68" s="287"/>
      <c r="K68" s="44"/>
      <c r="L68" s="254"/>
      <c r="M68" s="27"/>
    </row>
    <row r="69" spans="1:14" ht="15.75" x14ac:dyDescent="0.2">
      <c r="A69" s="296" t="s">
        <v>380</v>
      </c>
      <c r="B69" s="294"/>
      <c r="C69" s="295"/>
      <c r="D69" s="166"/>
      <c r="E69" s="417"/>
      <c r="F69" s="294"/>
      <c r="G69" s="295"/>
      <c r="H69" s="166"/>
      <c r="I69" s="417"/>
      <c r="J69" s="294"/>
      <c r="K69" s="295"/>
      <c r="L69" s="166"/>
      <c r="M69" s="23"/>
    </row>
    <row r="70" spans="1:14" x14ac:dyDescent="0.2">
      <c r="A70" s="296" t="s">
        <v>12</v>
      </c>
      <c r="B70" s="294"/>
      <c r="C70" s="295"/>
      <c r="D70" s="166"/>
      <c r="E70" s="417"/>
      <c r="F70" s="294"/>
      <c r="G70" s="295"/>
      <c r="H70" s="166"/>
      <c r="I70" s="417"/>
      <c r="J70" s="294"/>
      <c r="K70" s="295"/>
      <c r="L70" s="166"/>
      <c r="M70" s="23"/>
    </row>
    <row r="71" spans="1:14" x14ac:dyDescent="0.2">
      <c r="A71" s="296" t="s">
        <v>13</v>
      </c>
      <c r="B71" s="235"/>
      <c r="C71" s="289"/>
      <c r="D71" s="166"/>
      <c r="E71" s="417"/>
      <c r="F71" s="294"/>
      <c r="G71" s="295"/>
      <c r="H71" s="166"/>
      <c r="I71" s="417"/>
      <c r="J71" s="294"/>
      <c r="K71" s="295"/>
      <c r="L71" s="166"/>
      <c r="M71" s="23"/>
    </row>
    <row r="72" spans="1:14" ht="15.75" x14ac:dyDescent="0.2">
      <c r="A72" s="296" t="s">
        <v>381</v>
      </c>
      <c r="B72" s="294"/>
      <c r="C72" s="295"/>
      <c r="D72" s="166"/>
      <c r="E72" s="417"/>
      <c r="F72" s="294"/>
      <c r="G72" s="295"/>
      <c r="H72" s="166"/>
      <c r="I72" s="417"/>
      <c r="J72" s="294"/>
      <c r="K72" s="295"/>
      <c r="L72" s="166"/>
      <c r="M72" s="23"/>
    </row>
    <row r="73" spans="1:14" x14ac:dyDescent="0.2">
      <c r="A73" s="296" t="s">
        <v>12</v>
      </c>
      <c r="B73" s="235"/>
      <c r="C73" s="289"/>
      <c r="D73" s="166"/>
      <c r="E73" s="417"/>
      <c r="F73" s="294"/>
      <c r="G73" s="295"/>
      <c r="H73" s="166"/>
      <c r="I73" s="417"/>
      <c r="J73" s="294"/>
      <c r="K73" s="295"/>
      <c r="L73" s="166"/>
      <c r="M73" s="23"/>
    </row>
    <row r="74" spans="1:14" s="3" customFormat="1" x14ac:dyDescent="0.2">
      <c r="A74" s="296" t="s">
        <v>13</v>
      </c>
      <c r="B74" s="235"/>
      <c r="C74" s="289"/>
      <c r="D74" s="166"/>
      <c r="E74" s="417"/>
      <c r="F74" s="294"/>
      <c r="G74" s="295"/>
      <c r="H74" s="166"/>
      <c r="I74" s="417"/>
      <c r="J74" s="294"/>
      <c r="K74" s="295"/>
      <c r="L74" s="166"/>
      <c r="M74" s="23"/>
      <c r="N74" s="148"/>
    </row>
    <row r="75" spans="1:14" s="3" customFormat="1" x14ac:dyDescent="0.2">
      <c r="A75" s="21" t="s">
        <v>350</v>
      </c>
      <c r="B75" s="234"/>
      <c r="C75" s="145"/>
      <c r="D75" s="166"/>
      <c r="E75" s="27"/>
      <c r="F75" s="234"/>
      <c r="G75" s="145"/>
      <c r="H75" s="166"/>
      <c r="I75" s="27"/>
      <c r="J75" s="287"/>
      <c r="K75" s="44"/>
      <c r="L75" s="254"/>
      <c r="M75" s="27"/>
      <c r="N75" s="148"/>
    </row>
    <row r="76" spans="1:14" s="3" customFormat="1" x14ac:dyDescent="0.2">
      <c r="A76" s="21" t="s">
        <v>349</v>
      </c>
      <c r="B76" s="234"/>
      <c r="C76" s="145"/>
      <c r="D76" s="166"/>
      <c r="E76" s="27"/>
      <c r="F76" s="234"/>
      <c r="G76" s="145"/>
      <c r="H76" s="166"/>
      <c r="I76" s="27"/>
      <c r="J76" s="287"/>
      <c r="K76" s="44"/>
      <c r="L76" s="254"/>
      <c r="M76" s="27"/>
      <c r="N76" s="148"/>
    </row>
    <row r="77" spans="1:14" ht="15.75" x14ac:dyDescent="0.2">
      <c r="A77" s="21" t="s">
        <v>382</v>
      </c>
      <c r="B77" s="234"/>
      <c r="C77" s="234"/>
      <c r="D77" s="166"/>
      <c r="E77" s="27"/>
      <c r="F77" s="234"/>
      <c r="G77" s="145"/>
      <c r="H77" s="166"/>
      <c r="I77" s="27"/>
      <c r="J77" s="287"/>
      <c r="K77" s="44"/>
      <c r="L77" s="254"/>
      <c r="M77" s="27"/>
    </row>
    <row r="78" spans="1:14" x14ac:dyDescent="0.2">
      <c r="A78" s="21" t="s">
        <v>9</v>
      </c>
      <c r="B78" s="234"/>
      <c r="C78" s="145"/>
      <c r="D78" s="166"/>
      <c r="E78" s="27"/>
      <c r="F78" s="234"/>
      <c r="G78" s="145"/>
      <c r="H78" s="166"/>
      <c r="I78" s="27"/>
      <c r="J78" s="287"/>
      <c r="K78" s="44"/>
      <c r="L78" s="254"/>
      <c r="M78" s="27"/>
    </row>
    <row r="79" spans="1:14" x14ac:dyDescent="0.2">
      <c r="A79" s="21" t="s">
        <v>10</v>
      </c>
      <c r="B79" s="292"/>
      <c r="C79" s="293"/>
      <c r="D79" s="166"/>
      <c r="E79" s="27"/>
      <c r="F79" s="292"/>
      <c r="G79" s="293"/>
      <c r="H79" s="166"/>
      <c r="I79" s="27"/>
      <c r="J79" s="287"/>
      <c r="K79" s="44"/>
      <c r="L79" s="254"/>
      <c r="M79" s="27"/>
    </row>
    <row r="80" spans="1:14" ht="15.75" x14ac:dyDescent="0.2">
      <c r="A80" s="296" t="s">
        <v>380</v>
      </c>
      <c r="B80" s="294"/>
      <c r="C80" s="295"/>
      <c r="D80" s="166"/>
      <c r="E80" s="417"/>
      <c r="F80" s="294"/>
      <c r="G80" s="295"/>
      <c r="H80" s="166"/>
      <c r="I80" s="417"/>
      <c r="J80" s="294"/>
      <c r="K80" s="295"/>
      <c r="L80" s="166"/>
      <c r="M80" s="23"/>
    </row>
    <row r="81" spans="1:13" x14ac:dyDescent="0.2">
      <c r="A81" s="296" t="s">
        <v>12</v>
      </c>
      <c r="B81" s="294"/>
      <c r="C81" s="295"/>
      <c r="D81" s="166"/>
      <c r="E81" s="417"/>
      <c r="F81" s="294"/>
      <c r="G81" s="295"/>
      <c r="H81" s="166"/>
      <c r="I81" s="417"/>
      <c r="J81" s="294"/>
      <c r="K81" s="295"/>
      <c r="L81" s="166"/>
      <c r="M81" s="23"/>
    </row>
    <row r="82" spans="1:13" x14ac:dyDescent="0.2">
      <c r="A82" s="296" t="s">
        <v>13</v>
      </c>
      <c r="B82" s="294"/>
      <c r="C82" s="295"/>
      <c r="D82" s="166"/>
      <c r="E82" s="417"/>
      <c r="F82" s="294"/>
      <c r="G82" s="295"/>
      <c r="H82" s="166"/>
      <c r="I82" s="417"/>
      <c r="J82" s="294"/>
      <c r="K82" s="295"/>
      <c r="L82" s="166"/>
      <c r="M82" s="23"/>
    </row>
    <row r="83" spans="1:13" ht="15.75" x14ac:dyDescent="0.2">
      <c r="A83" s="296" t="s">
        <v>381</v>
      </c>
      <c r="B83" s="294"/>
      <c r="C83" s="295"/>
      <c r="D83" s="166"/>
      <c r="E83" s="417"/>
      <c r="F83" s="294"/>
      <c r="G83" s="295"/>
      <c r="H83" s="166"/>
      <c r="I83" s="417"/>
      <c r="J83" s="294"/>
      <c r="K83" s="295"/>
      <c r="L83" s="166"/>
      <c r="M83" s="23"/>
    </row>
    <row r="84" spans="1:13" x14ac:dyDescent="0.2">
      <c r="A84" s="296" t="s">
        <v>12</v>
      </c>
      <c r="B84" s="294"/>
      <c r="C84" s="295"/>
      <c r="D84" s="166"/>
      <c r="E84" s="417"/>
      <c r="F84" s="294"/>
      <c r="G84" s="295"/>
      <c r="H84" s="166"/>
      <c r="I84" s="417"/>
      <c r="J84" s="294"/>
      <c r="K84" s="295"/>
      <c r="L84" s="166"/>
      <c r="M84" s="23"/>
    </row>
    <row r="85" spans="1:13" x14ac:dyDescent="0.2">
      <c r="A85" s="296" t="s">
        <v>13</v>
      </c>
      <c r="B85" s="294"/>
      <c r="C85" s="295"/>
      <c r="D85" s="166"/>
      <c r="E85" s="417"/>
      <c r="F85" s="294"/>
      <c r="G85" s="295"/>
      <c r="H85" s="166"/>
      <c r="I85" s="417"/>
      <c r="J85" s="294"/>
      <c r="K85" s="295"/>
      <c r="L85" s="166"/>
      <c r="M85" s="23"/>
    </row>
    <row r="86" spans="1:13" ht="15.75" x14ac:dyDescent="0.2">
      <c r="A86" s="21" t="s">
        <v>383</v>
      </c>
      <c r="B86" s="234"/>
      <c r="C86" s="145"/>
      <c r="D86" s="166"/>
      <c r="E86" s="27"/>
      <c r="F86" s="234"/>
      <c r="G86" s="145"/>
      <c r="H86" s="166"/>
      <c r="I86" s="27"/>
      <c r="J86" s="287"/>
      <c r="K86" s="44"/>
      <c r="L86" s="254"/>
      <c r="M86" s="27"/>
    </row>
    <row r="87" spans="1:13" ht="15.75" x14ac:dyDescent="0.2">
      <c r="A87" s="13" t="s">
        <v>365</v>
      </c>
      <c r="B87" s="353"/>
      <c r="C87" s="353"/>
      <c r="D87" s="171"/>
      <c r="E87" s="11"/>
      <c r="F87" s="352"/>
      <c r="G87" s="352"/>
      <c r="H87" s="171"/>
      <c r="I87" s="11"/>
      <c r="J87" s="309"/>
      <c r="K87" s="236"/>
      <c r="L87" s="428"/>
      <c r="M87" s="11"/>
    </row>
    <row r="88" spans="1:13" x14ac:dyDescent="0.2">
      <c r="A88" s="21" t="s">
        <v>9</v>
      </c>
      <c r="B88" s="234"/>
      <c r="C88" s="145"/>
      <c r="D88" s="166"/>
      <c r="E88" s="27"/>
      <c r="F88" s="234"/>
      <c r="G88" s="145"/>
      <c r="H88" s="166"/>
      <c r="I88" s="27"/>
      <c r="J88" s="287"/>
      <c r="K88" s="44"/>
      <c r="L88" s="254"/>
      <c r="M88" s="27"/>
    </row>
    <row r="89" spans="1:13" x14ac:dyDescent="0.2">
      <c r="A89" s="21" t="s">
        <v>10</v>
      </c>
      <c r="B89" s="234"/>
      <c r="C89" s="145"/>
      <c r="D89" s="166"/>
      <c r="E89" s="27"/>
      <c r="F89" s="234"/>
      <c r="G89" s="145"/>
      <c r="H89" s="166"/>
      <c r="I89" s="27"/>
      <c r="J89" s="287"/>
      <c r="K89" s="44"/>
      <c r="L89" s="254"/>
      <c r="M89" s="27"/>
    </row>
    <row r="90" spans="1:13" ht="15.75" x14ac:dyDescent="0.2">
      <c r="A90" s="296" t="s">
        <v>380</v>
      </c>
      <c r="B90" s="294"/>
      <c r="C90" s="295"/>
      <c r="D90" s="166"/>
      <c r="E90" s="417"/>
      <c r="F90" s="294"/>
      <c r="G90" s="295"/>
      <c r="H90" s="166"/>
      <c r="I90" s="417"/>
      <c r="J90" s="294"/>
      <c r="K90" s="295"/>
      <c r="L90" s="166"/>
      <c r="M90" s="23"/>
    </row>
    <row r="91" spans="1:13" x14ac:dyDescent="0.2">
      <c r="A91" s="296" t="s">
        <v>12</v>
      </c>
      <c r="B91" s="294"/>
      <c r="C91" s="295"/>
      <c r="D91" s="166"/>
      <c r="E91" s="417"/>
      <c r="F91" s="294"/>
      <c r="G91" s="295"/>
      <c r="H91" s="166"/>
      <c r="I91" s="417"/>
      <c r="J91" s="294"/>
      <c r="K91" s="295"/>
      <c r="L91" s="166"/>
      <c r="M91" s="23"/>
    </row>
    <row r="92" spans="1:13" x14ac:dyDescent="0.2">
      <c r="A92" s="296" t="s">
        <v>13</v>
      </c>
      <c r="B92" s="294"/>
      <c r="C92" s="295"/>
      <c r="D92" s="166"/>
      <c r="E92" s="417"/>
      <c r="F92" s="294"/>
      <c r="G92" s="295"/>
      <c r="H92" s="166"/>
      <c r="I92" s="417"/>
      <c r="J92" s="294"/>
      <c r="K92" s="295"/>
      <c r="L92" s="166"/>
      <c r="M92" s="23"/>
    </row>
    <row r="93" spans="1:13" ht="15.75" x14ac:dyDescent="0.2">
      <c r="A93" s="296" t="s">
        <v>381</v>
      </c>
      <c r="B93" s="294"/>
      <c r="C93" s="295"/>
      <c r="D93" s="166"/>
      <c r="E93" s="417"/>
      <c r="F93" s="294"/>
      <c r="G93" s="295"/>
      <c r="H93" s="166"/>
      <c r="I93" s="417"/>
      <c r="J93" s="294"/>
      <c r="K93" s="295"/>
      <c r="L93" s="166"/>
      <c r="M93" s="23"/>
    </row>
    <row r="94" spans="1:13" x14ac:dyDescent="0.2">
      <c r="A94" s="296" t="s">
        <v>12</v>
      </c>
      <c r="B94" s="294"/>
      <c r="C94" s="295"/>
      <c r="D94" s="166"/>
      <c r="E94" s="417"/>
      <c r="F94" s="294"/>
      <c r="G94" s="295"/>
      <c r="H94" s="166"/>
      <c r="I94" s="417"/>
      <c r="J94" s="294"/>
      <c r="K94" s="295"/>
      <c r="L94" s="166"/>
      <c r="M94" s="23"/>
    </row>
    <row r="95" spans="1:13" x14ac:dyDescent="0.2">
      <c r="A95" s="296" t="s">
        <v>13</v>
      </c>
      <c r="B95" s="294"/>
      <c r="C95" s="295"/>
      <c r="D95" s="166"/>
      <c r="E95" s="417"/>
      <c r="F95" s="294"/>
      <c r="G95" s="295"/>
      <c r="H95" s="166"/>
      <c r="I95" s="417"/>
      <c r="J95" s="294"/>
      <c r="K95" s="295"/>
      <c r="L95" s="166"/>
      <c r="M95" s="23"/>
    </row>
    <row r="96" spans="1:13" x14ac:dyDescent="0.2">
      <c r="A96" s="21" t="s">
        <v>348</v>
      </c>
      <c r="B96" s="234"/>
      <c r="C96" s="145"/>
      <c r="D96" s="166"/>
      <c r="E96" s="27"/>
      <c r="F96" s="234"/>
      <c r="G96" s="145"/>
      <c r="H96" s="166"/>
      <c r="I96" s="27"/>
      <c r="J96" s="287"/>
      <c r="K96" s="44"/>
      <c r="L96" s="254"/>
      <c r="M96" s="27"/>
    </row>
    <row r="97" spans="1:13" x14ac:dyDescent="0.2">
      <c r="A97" s="21" t="s">
        <v>347</v>
      </c>
      <c r="B97" s="234"/>
      <c r="C97" s="145"/>
      <c r="D97" s="166"/>
      <c r="E97" s="27"/>
      <c r="F97" s="234"/>
      <c r="G97" s="145"/>
      <c r="H97" s="166"/>
      <c r="I97" s="27"/>
      <c r="J97" s="287"/>
      <c r="K97" s="44"/>
      <c r="L97" s="254"/>
      <c r="M97" s="27"/>
    </row>
    <row r="98" spans="1:13" ht="15.75" x14ac:dyDescent="0.2">
      <c r="A98" s="21" t="s">
        <v>382</v>
      </c>
      <c r="B98" s="234"/>
      <c r="C98" s="234"/>
      <c r="D98" s="166"/>
      <c r="E98" s="27"/>
      <c r="F98" s="292"/>
      <c r="G98" s="292"/>
      <c r="H98" s="166"/>
      <c r="I98" s="27"/>
      <c r="J98" s="287"/>
      <c r="K98" s="44"/>
      <c r="L98" s="254"/>
      <c r="M98" s="27"/>
    </row>
    <row r="99" spans="1:13" x14ac:dyDescent="0.2">
      <c r="A99" s="21" t="s">
        <v>9</v>
      </c>
      <c r="B99" s="292"/>
      <c r="C99" s="293"/>
      <c r="D99" s="166"/>
      <c r="E99" s="27"/>
      <c r="F99" s="234"/>
      <c r="G99" s="145"/>
      <c r="H99" s="166"/>
      <c r="I99" s="27"/>
      <c r="J99" s="287"/>
      <c r="K99" s="44"/>
      <c r="L99" s="254"/>
      <c r="M99" s="27"/>
    </row>
    <row r="100" spans="1:13" x14ac:dyDescent="0.2">
      <c r="A100" s="21" t="s">
        <v>10</v>
      </c>
      <c r="B100" s="292"/>
      <c r="C100" s="293"/>
      <c r="D100" s="166"/>
      <c r="E100" s="27"/>
      <c r="F100" s="234"/>
      <c r="G100" s="234"/>
      <c r="H100" s="166"/>
      <c r="I100" s="27"/>
      <c r="J100" s="287"/>
      <c r="K100" s="44"/>
      <c r="L100" s="254"/>
      <c r="M100" s="27"/>
    </row>
    <row r="101" spans="1:13" ht="15.75" x14ac:dyDescent="0.2">
      <c r="A101" s="296" t="s">
        <v>380</v>
      </c>
      <c r="B101" s="294"/>
      <c r="C101" s="295"/>
      <c r="D101" s="166"/>
      <c r="E101" s="417"/>
      <c r="F101" s="294"/>
      <c r="G101" s="295"/>
      <c r="H101" s="166"/>
      <c r="I101" s="417"/>
      <c r="J101" s="294"/>
      <c r="K101" s="295"/>
      <c r="L101" s="166"/>
      <c r="M101" s="23"/>
    </row>
    <row r="102" spans="1:13" x14ac:dyDescent="0.2">
      <c r="A102" s="296" t="s">
        <v>12</v>
      </c>
      <c r="B102" s="294"/>
      <c r="C102" s="295"/>
      <c r="D102" s="166"/>
      <c r="E102" s="417"/>
      <c r="F102" s="294"/>
      <c r="G102" s="295"/>
      <c r="H102" s="166"/>
      <c r="I102" s="417"/>
      <c r="J102" s="294"/>
      <c r="K102" s="295"/>
      <c r="L102" s="166"/>
      <c r="M102" s="23"/>
    </row>
    <row r="103" spans="1:13" x14ac:dyDescent="0.2">
      <c r="A103" s="296" t="s">
        <v>13</v>
      </c>
      <c r="B103" s="294"/>
      <c r="C103" s="295"/>
      <c r="D103" s="166"/>
      <c r="E103" s="417"/>
      <c r="F103" s="294"/>
      <c r="G103" s="295"/>
      <c r="H103" s="166"/>
      <c r="I103" s="417"/>
      <c r="J103" s="294"/>
      <c r="K103" s="295"/>
      <c r="L103" s="166"/>
      <c r="M103" s="23"/>
    </row>
    <row r="104" spans="1:13" ht="15.75" x14ac:dyDescent="0.2">
      <c r="A104" s="296" t="s">
        <v>381</v>
      </c>
      <c r="B104" s="294"/>
      <c r="C104" s="295"/>
      <c r="D104" s="166"/>
      <c r="E104" s="417"/>
      <c r="F104" s="294"/>
      <c r="G104" s="295"/>
      <c r="H104" s="166"/>
      <c r="I104" s="417"/>
      <c r="J104" s="294"/>
      <c r="K104" s="295"/>
      <c r="L104" s="166"/>
      <c r="M104" s="23"/>
    </row>
    <row r="105" spans="1:13" x14ac:dyDescent="0.2">
      <c r="A105" s="296" t="s">
        <v>12</v>
      </c>
      <c r="B105" s="294"/>
      <c r="C105" s="295"/>
      <c r="D105" s="166"/>
      <c r="E105" s="417"/>
      <c r="F105" s="294"/>
      <c r="G105" s="295"/>
      <c r="H105" s="166"/>
      <c r="I105" s="417"/>
      <c r="J105" s="294"/>
      <c r="K105" s="295"/>
      <c r="L105" s="166"/>
      <c r="M105" s="23"/>
    </row>
    <row r="106" spans="1:13" x14ac:dyDescent="0.2">
      <c r="A106" s="296" t="s">
        <v>13</v>
      </c>
      <c r="B106" s="294"/>
      <c r="C106" s="295"/>
      <c r="D106" s="166"/>
      <c r="E106" s="417"/>
      <c r="F106" s="294"/>
      <c r="G106" s="295"/>
      <c r="H106" s="166"/>
      <c r="I106" s="417"/>
      <c r="J106" s="294"/>
      <c r="K106" s="295"/>
      <c r="L106" s="166"/>
      <c r="M106" s="23"/>
    </row>
    <row r="107" spans="1:13" ht="15.75" x14ac:dyDescent="0.2">
      <c r="A107" s="21" t="s">
        <v>383</v>
      </c>
      <c r="B107" s="234"/>
      <c r="C107" s="145"/>
      <c r="D107" s="166"/>
      <c r="E107" s="27"/>
      <c r="F107" s="234"/>
      <c r="G107" s="145"/>
      <c r="H107" s="166"/>
      <c r="I107" s="27"/>
      <c r="J107" s="287"/>
      <c r="K107" s="44"/>
      <c r="L107" s="254"/>
      <c r="M107" s="27"/>
    </row>
    <row r="108" spans="1:13" ht="15.75" x14ac:dyDescent="0.2">
      <c r="A108" s="21" t="s">
        <v>384</v>
      </c>
      <c r="B108" s="234"/>
      <c r="C108" s="234"/>
      <c r="D108" s="166"/>
      <c r="E108" s="27"/>
      <c r="F108" s="234"/>
      <c r="G108" s="234"/>
      <c r="H108" s="166"/>
      <c r="I108" s="27"/>
      <c r="J108" s="287"/>
      <c r="K108" s="44"/>
      <c r="L108" s="254"/>
      <c r="M108" s="27"/>
    </row>
    <row r="109" spans="1:13" ht="15.75" x14ac:dyDescent="0.2">
      <c r="A109" s="21" t="s">
        <v>385</v>
      </c>
      <c r="B109" s="234"/>
      <c r="C109" s="234"/>
      <c r="D109" s="166"/>
      <c r="E109" s="27"/>
      <c r="F109" s="234"/>
      <c r="G109" s="234"/>
      <c r="H109" s="166"/>
      <c r="I109" s="27"/>
      <c r="J109" s="287"/>
      <c r="K109" s="44"/>
      <c r="L109" s="254"/>
      <c r="M109" s="27"/>
    </row>
    <row r="110" spans="1:13" ht="15.75" x14ac:dyDescent="0.2">
      <c r="A110" s="21" t="s">
        <v>386</v>
      </c>
      <c r="B110" s="234"/>
      <c r="C110" s="234"/>
      <c r="D110" s="166"/>
      <c r="E110" s="27"/>
      <c r="F110" s="234"/>
      <c r="G110" s="234"/>
      <c r="H110" s="166"/>
      <c r="I110" s="27"/>
      <c r="J110" s="287"/>
      <c r="K110" s="44"/>
      <c r="L110" s="254"/>
      <c r="M110" s="27"/>
    </row>
    <row r="111" spans="1:13" ht="15.75" x14ac:dyDescent="0.2">
      <c r="A111" s="13" t="s">
        <v>366</v>
      </c>
      <c r="B111" s="308"/>
      <c r="C111" s="159"/>
      <c r="D111" s="171"/>
      <c r="E111" s="11"/>
      <c r="F111" s="308"/>
      <c r="G111" s="159"/>
      <c r="H111" s="171"/>
      <c r="I111" s="11"/>
      <c r="J111" s="309"/>
      <c r="K111" s="236"/>
      <c r="L111" s="428"/>
      <c r="M111" s="11"/>
    </row>
    <row r="112" spans="1:13" x14ac:dyDescent="0.2">
      <c r="A112" s="21" t="s">
        <v>9</v>
      </c>
      <c r="B112" s="234"/>
      <c r="C112" s="145"/>
      <c r="D112" s="166"/>
      <c r="E112" s="27"/>
      <c r="F112" s="234"/>
      <c r="G112" s="145"/>
      <c r="H112" s="166"/>
      <c r="I112" s="27"/>
      <c r="J112" s="287"/>
      <c r="K112" s="44"/>
      <c r="L112" s="254"/>
      <c r="M112" s="27"/>
    </row>
    <row r="113" spans="1:14" x14ac:dyDescent="0.2">
      <c r="A113" s="21" t="s">
        <v>10</v>
      </c>
      <c r="B113" s="234"/>
      <c r="C113" s="145"/>
      <c r="D113" s="166"/>
      <c r="E113" s="27"/>
      <c r="F113" s="234"/>
      <c r="G113" s="145"/>
      <c r="H113" s="166"/>
      <c r="I113" s="27"/>
      <c r="J113" s="287"/>
      <c r="K113" s="44"/>
      <c r="L113" s="254"/>
      <c r="M113" s="27"/>
    </row>
    <row r="114" spans="1:14" x14ac:dyDescent="0.2">
      <c r="A114" s="21" t="s">
        <v>26</v>
      </c>
      <c r="B114" s="234"/>
      <c r="C114" s="145"/>
      <c r="D114" s="166"/>
      <c r="E114" s="27"/>
      <c r="F114" s="234"/>
      <c r="G114" s="145"/>
      <c r="H114" s="166"/>
      <c r="I114" s="27"/>
      <c r="J114" s="287"/>
      <c r="K114" s="44"/>
      <c r="L114" s="254"/>
      <c r="M114" s="27"/>
    </row>
    <row r="115" spans="1:14" x14ac:dyDescent="0.2">
      <c r="A115" s="296" t="s">
        <v>15</v>
      </c>
      <c r="B115" s="294"/>
      <c r="C115" s="295"/>
      <c r="D115" s="166"/>
      <c r="E115" s="417"/>
      <c r="F115" s="294"/>
      <c r="G115" s="295"/>
      <c r="H115" s="166"/>
      <c r="I115" s="417"/>
      <c r="J115" s="294"/>
      <c r="K115" s="295"/>
      <c r="L115" s="166"/>
      <c r="M115" s="23"/>
    </row>
    <row r="116" spans="1:14" ht="15.75" x14ac:dyDescent="0.2">
      <c r="A116" s="21" t="s">
        <v>387</v>
      </c>
      <c r="B116" s="234"/>
      <c r="C116" s="234"/>
      <c r="D116" s="166"/>
      <c r="E116" s="27"/>
      <c r="F116" s="234"/>
      <c r="G116" s="234"/>
      <c r="H116" s="166"/>
      <c r="I116" s="27"/>
      <c r="J116" s="287"/>
      <c r="K116" s="44"/>
      <c r="L116" s="254"/>
      <c r="M116" s="27"/>
    </row>
    <row r="117" spans="1:14" ht="15.75" x14ac:dyDescent="0.2">
      <c r="A117" s="21" t="s">
        <v>388</v>
      </c>
      <c r="B117" s="234"/>
      <c r="C117" s="234"/>
      <c r="D117" s="166"/>
      <c r="E117" s="27"/>
      <c r="F117" s="234"/>
      <c r="G117" s="234"/>
      <c r="H117" s="166"/>
      <c r="I117" s="27"/>
      <c r="J117" s="287"/>
      <c r="K117" s="44"/>
      <c r="L117" s="254"/>
      <c r="M117" s="27"/>
    </row>
    <row r="118" spans="1:14" ht="15.75" x14ac:dyDescent="0.2">
      <c r="A118" s="21" t="s">
        <v>386</v>
      </c>
      <c r="B118" s="234"/>
      <c r="C118" s="234"/>
      <c r="D118" s="166"/>
      <c r="E118" s="27"/>
      <c r="F118" s="234"/>
      <c r="G118" s="234"/>
      <c r="H118" s="166"/>
      <c r="I118" s="27"/>
      <c r="J118" s="287"/>
      <c r="K118" s="44"/>
      <c r="L118" s="254"/>
      <c r="M118" s="27"/>
    </row>
    <row r="119" spans="1:14" ht="15.75" x14ac:dyDescent="0.2">
      <c r="A119" s="13" t="s">
        <v>367</v>
      </c>
      <c r="B119" s="308"/>
      <c r="C119" s="159"/>
      <c r="D119" s="171"/>
      <c r="E119" s="11"/>
      <c r="F119" s="308"/>
      <c r="G119" s="159"/>
      <c r="H119" s="171"/>
      <c r="I119" s="11"/>
      <c r="J119" s="309"/>
      <c r="K119" s="236"/>
      <c r="L119" s="428"/>
      <c r="M119" s="11"/>
    </row>
    <row r="120" spans="1:14" x14ac:dyDescent="0.2">
      <c r="A120" s="21" t="s">
        <v>9</v>
      </c>
      <c r="B120" s="234"/>
      <c r="C120" s="145"/>
      <c r="D120" s="166"/>
      <c r="E120" s="27"/>
      <c r="F120" s="234"/>
      <c r="G120" s="145"/>
      <c r="H120" s="166"/>
      <c r="I120" s="27"/>
      <c r="J120" s="287"/>
      <c r="K120" s="44"/>
      <c r="L120" s="254"/>
      <c r="M120" s="27"/>
    </row>
    <row r="121" spans="1:14" x14ac:dyDescent="0.2">
      <c r="A121" s="21" t="s">
        <v>10</v>
      </c>
      <c r="B121" s="234"/>
      <c r="C121" s="145"/>
      <c r="D121" s="166"/>
      <c r="E121" s="27"/>
      <c r="F121" s="234"/>
      <c r="G121" s="145"/>
      <c r="H121" s="166"/>
      <c r="I121" s="27"/>
      <c r="J121" s="287"/>
      <c r="K121" s="44"/>
      <c r="L121" s="254"/>
      <c r="M121" s="27"/>
    </row>
    <row r="122" spans="1:14" x14ac:dyDescent="0.2">
      <c r="A122" s="21" t="s">
        <v>26</v>
      </c>
      <c r="B122" s="234"/>
      <c r="C122" s="145"/>
      <c r="D122" s="166"/>
      <c r="E122" s="27"/>
      <c r="F122" s="234"/>
      <c r="G122" s="145"/>
      <c r="H122" s="166"/>
      <c r="I122" s="27"/>
      <c r="J122" s="287"/>
      <c r="K122" s="44"/>
      <c r="L122" s="254"/>
      <c r="M122" s="27"/>
    </row>
    <row r="123" spans="1:14" x14ac:dyDescent="0.2">
      <c r="A123" s="296" t="s">
        <v>14</v>
      </c>
      <c r="B123" s="294"/>
      <c r="C123" s="295"/>
      <c r="D123" s="166"/>
      <c r="E123" s="417"/>
      <c r="F123" s="294"/>
      <c r="G123" s="295"/>
      <c r="H123" s="166"/>
      <c r="I123" s="417"/>
      <c r="J123" s="294"/>
      <c r="K123" s="295"/>
      <c r="L123" s="166"/>
      <c r="M123" s="23"/>
    </row>
    <row r="124" spans="1:14" ht="15.75" x14ac:dyDescent="0.2">
      <c r="A124" s="21" t="s">
        <v>393</v>
      </c>
      <c r="B124" s="234"/>
      <c r="C124" s="234"/>
      <c r="D124" s="166"/>
      <c r="E124" s="27"/>
      <c r="F124" s="234"/>
      <c r="G124" s="234"/>
      <c r="H124" s="166"/>
      <c r="I124" s="27"/>
      <c r="J124" s="287"/>
      <c r="K124" s="44"/>
      <c r="L124" s="254"/>
      <c r="M124" s="27"/>
    </row>
    <row r="125" spans="1:14" ht="15.75" x14ac:dyDescent="0.2">
      <c r="A125" s="21" t="s">
        <v>385</v>
      </c>
      <c r="B125" s="234"/>
      <c r="C125" s="234"/>
      <c r="D125" s="166"/>
      <c r="E125" s="27"/>
      <c r="F125" s="234"/>
      <c r="G125" s="234"/>
      <c r="H125" s="166"/>
      <c r="I125" s="27"/>
      <c r="J125" s="287"/>
      <c r="K125" s="44"/>
      <c r="L125" s="254"/>
      <c r="M125" s="27"/>
    </row>
    <row r="126" spans="1:14" ht="15.75" x14ac:dyDescent="0.2">
      <c r="A126" s="10" t="s">
        <v>386</v>
      </c>
      <c r="B126" s="45"/>
      <c r="C126" s="45"/>
      <c r="D126" s="167"/>
      <c r="E126" s="418"/>
      <c r="F126" s="45"/>
      <c r="G126" s="45"/>
      <c r="H126" s="167"/>
      <c r="I126" s="22"/>
      <c r="J126" s="288"/>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35"/>
      <c r="C130" s="735"/>
      <c r="D130" s="735"/>
      <c r="E130" s="299"/>
      <c r="F130" s="735"/>
      <c r="G130" s="735"/>
      <c r="H130" s="735"/>
      <c r="I130" s="299"/>
      <c r="J130" s="735"/>
      <c r="K130" s="735"/>
      <c r="L130" s="735"/>
      <c r="M130" s="299"/>
    </row>
    <row r="131" spans="1:14" s="3" customFormat="1" x14ac:dyDescent="0.2">
      <c r="A131" s="144"/>
      <c r="B131" s="733" t="s">
        <v>0</v>
      </c>
      <c r="C131" s="734"/>
      <c r="D131" s="734"/>
      <c r="E131" s="301"/>
      <c r="F131" s="733" t="s">
        <v>1</v>
      </c>
      <c r="G131" s="734"/>
      <c r="H131" s="734"/>
      <c r="I131" s="304"/>
      <c r="J131" s="733" t="s">
        <v>2</v>
      </c>
      <c r="K131" s="734"/>
      <c r="L131" s="734"/>
      <c r="M131" s="304"/>
      <c r="N131" s="148"/>
    </row>
    <row r="132" spans="1:14" s="3" customFormat="1" x14ac:dyDescent="0.2">
      <c r="A132" s="140"/>
      <c r="B132" s="152" t="s">
        <v>421</v>
      </c>
      <c r="C132" s="152" t="s">
        <v>422</v>
      </c>
      <c r="D132" s="245" t="s">
        <v>3</v>
      </c>
      <c r="E132" s="305" t="s">
        <v>29</v>
      </c>
      <c r="F132" s="152" t="s">
        <v>421</v>
      </c>
      <c r="G132" s="152" t="s">
        <v>422</v>
      </c>
      <c r="H132" s="206" t="s">
        <v>3</v>
      </c>
      <c r="I132" s="162" t="s">
        <v>29</v>
      </c>
      <c r="J132" s="152" t="s">
        <v>421</v>
      </c>
      <c r="K132" s="152" t="s">
        <v>422</v>
      </c>
      <c r="L132" s="246" t="s">
        <v>3</v>
      </c>
      <c r="M132" s="162" t="s">
        <v>29</v>
      </c>
      <c r="N132" s="148"/>
    </row>
    <row r="133" spans="1:14" s="3" customFormat="1" x14ac:dyDescent="0.2">
      <c r="A133" s="708"/>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389</v>
      </c>
      <c r="B134" s="236"/>
      <c r="C134" s="309"/>
      <c r="D134" s="350"/>
      <c r="E134" s="11"/>
      <c r="F134" s="316"/>
      <c r="G134" s="317"/>
      <c r="H134" s="431"/>
      <c r="I134" s="24"/>
      <c r="J134" s="318"/>
      <c r="K134" s="318"/>
      <c r="L134" s="427"/>
      <c r="M134" s="11"/>
      <c r="N134" s="148"/>
    </row>
    <row r="135" spans="1:14" s="3" customFormat="1" ht="15.75" x14ac:dyDescent="0.2">
      <c r="A135" s="13" t="s">
        <v>394</v>
      </c>
      <c r="B135" s="236"/>
      <c r="C135" s="309"/>
      <c r="D135" s="171"/>
      <c r="E135" s="11"/>
      <c r="F135" s="236"/>
      <c r="G135" s="309"/>
      <c r="H135" s="432"/>
      <c r="I135" s="24"/>
      <c r="J135" s="308"/>
      <c r="K135" s="308"/>
      <c r="L135" s="428"/>
      <c r="M135" s="11"/>
      <c r="N135" s="148"/>
    </row>
    <row r="136" spans="1:14" s="3" customFormat="1" ht="15.75" x14ac:dyDescent="0.2">
      <c r="A136" s="13" t="s">
        <v>391</v>
      </c>
      <c r="B136" s="236"/>
      <c r="C136" s="309"/>
      <c r="D136" s="171"/>
      <c r="E136" s="11"/>
      <c r="F136" s="236"/>
      <c r="G136" s="309"/>
      <c r="H136" s="432"/>
      <c r="I136" s="24"/>
      <c r="J136" s="308"/>
      <c r="K136" s="308"/>
      <c r="L136" s="428"/>
      <c r="M136" s="11"/>
      <c r="N136" s="148"/>
    </row>
    <row r="137" spans="1:14" s="3" customFormat="1" ht="15.75" x14ac:dyDescent="0.2">
      <c r="A137" s="41" t="s">
        <v>392</v>
      </c>
      <c r="B137" s="276"/>
      <c r="C137" s="315"/>
      <c r="D137" s="169"/>
      <c r="E137" s="9"/>
      <c r="F137" s="276"/>
      <c r="G137" s="315"/>
      <c r="H137" s="433"/>
      <c r="I137" s="36"/>
      <c r="J137" s="314"/>
      <c r="K137" s="314"/>
      <c r="L137" s="429"/>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356" priority="132">
      <formula>kvartal &lt; 4</formula>
    </cfRule>
  </conditionalFormatting>
  <conditionalFormatting sqref="A50:A52">
    <cfRule type="expression" dxfId="355" priority="12">
      <formula>kvartal &lt; 4</formula>
    </cfRule>
  </conditionalFormatting>
  <conditionalFormatting sqref="A69:A74">
    <cfRule type="expression" dxfId="354" priority="10">
      <formula>kvartal &lt; 4</formula>
    </cfRule>
  </conditionalFormatting>
  <conditionalFormatting sqref="A80:A85">
    <cfRule type="expression" dxfId="353" priority="9">
      <formula>kvartal &lt; 4</formula>
    </cfRule>
  </conditionalFormatting>
  <conditionalFormatting sqref="A90:A95">
    <cfRule type="expression" dxfId="352" priority="6">
      <formula>kvartal &lt; 4</formula>
    </cfRule>
  </conditionalFormatting>
  <conditionalFormatting sqref="A101:A106">
    <cfRule type="expression" dxfId="351" priority="5">
      <formula>kvartal &lt; 4</formula>
    </cfRule>
  </conditionalFormatting>
  <conditionalFormatting sqref="A115">
    <cfRule type="expression" dxfId="350" priority="4">
      <formula>kvartal &lt; 4</formula>
    </cfRule>
  </conditionalFormatting>
  <conditionalFormatting sqref="A123">
    <cfRule type="expression" dxfId="349" priority="3">
      <formula>kvartal &lt; 4</formula>
    </cfRule>
  </conditionalFormatting>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17"/>
  <dimension ref="A1:N144"/>
  <sheetViews>
    <sheetView showGridLines="0" zoomScaleNormal="100" workbookViewId="0">
      <selection activeCell="A3" sqref="A3"/>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135</v>
      </c>
      <c r="B1" s="709"/>
      <c r="C1" s="248" t="s">
        <v>128</v>
      </c>
      <c r="D1" s="26"/>
      <c r="E1" s="26"/>
      <c r="F1" s="26"/>
      <c r="G1" s="26"/>
      <c r="H1" s="26"/>
      <c r="I1" s="26"/>
      <c r="J1" s="26"/>
      <c r="K1" s="26"/>
      <c r="L1" s="26"/>
      <c r="M1" s="26"/>
    </row>
    <row r="2" spans="1:14" ht="15.75" x14ac:dyDescent="0.25">
      <c r="A2" s="165" t="s">
        <v>28</v>
      </c>
      <c r="B2" s="732"/>
      <c r="C2" s="732"/>
      <c r="D2" s="732"/>
      <c r="E2" s="299"/>
      <c r="F2" s="732"/>
      <c r="G2" s="732"/>
      <c r="H2" s="732"/>
      <c r="I2" s="299"/>
      <c r="J2" s="732"/>
      <c r="K2" s="732"/>
      <c r="L2" s="732"/>
      <c r="M2" s="299"/>
    </row>
    <row r="3" spans="1:14" ht="15.75" x14ac:dyDescent="0.25">
      <c r="A3" s="163"/>
      <c r="B3" s="299"/>
      <c r="C3" s="299"/>
      <c r="D3" s="299"/>
      <c r="E3" s="299"/>
      <c r="F3" s="299"/>
      <c r="G3" s="299"/>
      <c r="H3" s="299"/>
      <c r="I3" s="299"/>
      <c r="J3" s="299"/>
      <c r="K3" s="299"/>
      <c r="L3" s="299"/>
      <c r="M3" s="299"/>
    </row>
    <row r="4" spans="1:14" x14ac:dyDescent="0.2">
      <c r="A4" s="144"/>
      <c r="B4" s="733" t="s">
        <v>0</v>
      </c>
      <c r="C4" s="734"/>
      <c r="D4" s="734"/>
      <c r="E4" s="301"/>
      <c r="F4" s="733" t="s">
        <v>1</v>
      </c>
      <c r="G4" s="734"/>
      <c r="H4" s="734"/>
      <c r="I4" s="304"/>
      <c r="J4" s="733" t="s">
        <v>2</v>
      </c>
      <c r="K4" s="734"/>
      <c r="L4" s="734"/>
      <c r="M4" s="304"/>
    </row>
    <row r="5" spans="1:14" x14ac:dyDescent="0.2">
      <c r="A5" s="158"/>
      <c r="B5" s="152" t="s">
        <v>421</v>
      </c>
      <c r="C5" s="152" t="s">
        <v>422</v>
      </c>
      <c r="D5" s="245" t="s">
        <v>3</v>
      </c>
      <c r="E5" s="305" t="s">
        <v>29</v>
      </c>
      <c r="F5" s="152" t="s">
        <v>421</v>
      </c>
      <c r="G5" s="152" t="s">
        <v>422</v>
      </c>
      <c r="H5" s="245" t="s">
        <v>3</v>
      </c>
      <c r="I5" s="162" t="s">
        <v>29</v>
      </c>
      <c r="J5" s="152" t="s">
        <v>421</v>
      </c>
      <c r="K5" s="152" t="s">
        <v>422</v>
      </c>
      <c r="L5" s="245" t="s">
        <v>3</v>
      </c>
      <c r="M5" s="162" t="s">
        <v>29</v>
      </c>
    </row>
    <row r="6" spans="1:14" x14ac:dyDescent="0.2">
      <c r="A6" s="707"/>
      <c r="B6" s="156"/>
      <c r="C6" s="156"/>
      <c r="D6" s="246" t="s">
        <v>4</v>
      </c>
      <c r="E6" s="156" t="s">
        <v>30</v>
      </c>
      <c r="F6" s="161"/>
      <c r="G6" s="161"/>
      <c r="H6" s="245" t="s">
        <v>4</v>
      </c>
      <c r="I6" s="156" t="s">
        <v>30</v>
      </c>
      <c r="J6" s="161"/>
      <c r="K6" s="161"/>
      <c r="L6" s="245" t="s">
        <v>4</v>
      </c>
      <c r="M6" s="156" t="s">
        <v>30</v>
      </c>
    </row>
    <row r="7" spans="1:14" ht="15.75" x14ac:dyDescent="0.2">
      <c r="A7" s="14" t="s">
        <v>23</v>
      </c>
      <c r="B7" s="306"/>
      <c r="C7" s="307"/>
      <c r="D7" s="350"/>
      <c r="E7" s="11"/>
      <c r="F7" s="306">
        <v>102692</v>
      </c>
      <c r="G7" s="307">
        <v>96452</v>
      </c>
      <c r="H7" s="350">
        <v>-6.1</v>
      </c>
      <c r="I7" s="160">
        <v>1.3970629262456571</v>
      </c>
      <c r="J7" s="308">
        <f t="shared" ref="J7:K12" si="0">SUM(B7,F7)</f>
        <v>102692</v>
      </c>
      <c r="K7" s="309">
        <f t="shared" si="0"/>
        <v>96452</v>
      </c>
      <c r="L7" s="427">
        <f>IF(J7=0, "    ---- ", IF(ABS(ROUND(100/J7*K7-100,1))&lt;999,ROUND(100/J7*K7-100,1),IF(ROUND(100/J7*K7-100,1)&gt;999,999,-999)))</f>
        <v>-6.1</v>
      </c>
      <c r="M7" s="11">
        <f>IFERROR(100/'Skjema total MA'!I7*K7,0)</f>
        <v>0.91044206841068664</v>
      </c>
    </row>
    <row r="8" spans="1:14" ht="15.75" x14ac:dyDescent="0.2">
      <c r="A8" s="21" t="s">
        <v>25</v>
      </c>
      <c r="B8" s="281"/>
      <c r="C8" s="282"/>
      <c r="D8" s="166"/>
      <c r="E8" s="27"/>
      <c r="F8" s="285"/>
      <c r="G8" s="286"/>
      <c r="H8" s="166"/>
      <c r="I8" s="175"/>
      <c r="J8" s="234"/>
      <c r="K8" s="287"/>
      <c r="L8" s="166"/>
      <c r="M8" s="27"/>
    </row>
    <row r="9" spans="1:14" ht="15.75" x14ac:dyDescent="0.2">
      <c r="A9" s="21" t="s">
        <v>24</v>
      </c>
      <c r="B9" s="281"/>
      <c r="C9" s="282"/>
      <c r="D9" s="166"/>
      <c r="E9" s="27"/>
      <c r="F9" s="285"/>
      <c r="G9" s="286"/>
      <c r="H9" s="166"/>
      <c r="I9" s="175"/>
      <c r="J9" s="234"/>
      <c r="K9" s="287"/>
      <c r="L9" s="166"/>
      <c r="M9" s="27"/>
    </row>
    <row r="10" spans="1:14" ht="15.75" x14ac:dyDescent="0.2">
      <c r="A10" s="13" t="s">
        <v>365</v>
      </c>
      <c r="B10" s="310"/>
      <c r="C10" s="311"/>
      <c r="D10" s="171"/>
      <c r="E10" s="11"/>
      <c r="F10" s="310">
        <v>609724</v>
      </c>
      <c r="G10" s="311">
        <v>737415</v>
      </c>
      <c r="H10" s="171">
        <v>20.9</v>
      </c>
      <c r="I10" s="160">
        <v>1.3311956874358721</v>
      </c>
      <c r="J10" s="308">
        <f t="shared" si="0"/>
        <v>609724</v>
      </c>
      <c r="K10" s="309">
        <f t="shared" si="0"/>
        <v>737415</v>
      </c>
      <c r="L10" s="428">
        <f t="shared" ref="L10:L12" si="1">IF(J10=0, "    ---- ", IF(ABS(ROUND(100/J10*K10-100,1))&lt;999,ROUND(100/J10*K10-100,1),IF(ROUND(100/J10*K10-100,1)&gt;999,999,-999)))</f>
        <v>20.9</v>
      </c>
      <c r="M10" s="11">
        <f>IFERROR(100/'Skjema total MA'!I10*K10,0)</f>
        <v>1.004309938788728</v>
      </c>
    </row>
    <row r="11" spans="1:14" s="43" customFormat="1" ht="15.75" x14ac:dyDescent="0.2">
      <c r="A11" s="13" t="s">
        <v>366</v>
      </c>
      <c r="B11" s="310"/>
      <c r="C11" s="311"/>
      <c r="D11" s="171"/>
      <c r="E11" s="11"/>
      <c r="F11" s="310">
        <v>4596</v>
      </c>
      <c r="G11" s="311">
        <v>3963</v>
      </c>
      <c r="H11" s="171">
        <v>-13.8</v>
      </c>
      <c r="I11" s="160">
        <v>1.5296521484318739</v>
      </c>
      <c r="J11" s="308">
        <f t="shared" si="0"/>
        <v>4596</v>
      </c>
      <c r="K11" s="309">
        <f t="shared" si="0"/>
        <v>3963</v>
      </c>
      <c r="L11" s="428">
        <f t="shared" si="1"/>
        <v>-13.8</v>
      </c>
      <c r="M11" s="11">
        <f>IFERROR(100/'Skjema total MA'!I11*K11,0)</f>
        <v>1.3710169354416519</v>
      </c>
      <c r="N11" s="143"/>
    </row>
    <row r="12" spans="1:14" s="43" customFormat="1" ht="15.75" x14ac:dyDescent="0.2">
      <c r="A12" s="41" t="s">
        <v>367</v>
      </c>
      <c r="B12" s="312"/>
      <c r="C12" s="313"/>
      <c r="D12" s="169"/>
      <c r="E12" s="36"/>
      <c r="F12" s="312">
        <v>12919</v>
      </c>
      <c r="G12" s="313">
        <v>4258</v>
      </c>
      <c r="H12" s="169">
        <v>-67</v>
      </c>
      <c r="I12" s="169">
        <v>2.1651840129541537</v>
      </c>
      <c r="J12" s="314">
        <f t="shared" si="0"/>
        <v>12919</v>
      </c>
      <c r="K12" s="315">
        <f t="shared" si="0"/>
        <v>4258</v>
      </c>
      <c r="L12" s="429">
        <f t="shared" si="1"/>
        <v>-67</v>
      </c>
      <c r="M12" s="36">
        <f>IFERROR(100/'Skjema total MA'!I12*K12,0)</f>
        <v>2.1390895496708193</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275</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272</v>
      </c>
      <c r="B17" s="157"/>
      <c r="C17" s="157"/>
      <c r="D17" s="151"/>
      <c r="E17" s="151"/>
      <c r="F17" s="157"/>
      <c r="G17" s="157"/>
      <c r="H17" s="157"/>
      <c r="I17" s="157"/>
      <c r="J17" s="157"/>
      <c r="K17" s="157"/>
      <c r="L17" s="157"/>
      <c r="M17" s="157"/>
    </row>
    <row r="18" spans="1:14" ht="15.75" x14ac:dyDescent="0.25">
      <c r="B18" s="735"/>
      <c r="C18" s="735"/>
      <c r="D18" s="735"/>
      <c r="E18" s="299"/>
      <c r="F18" s="735"/>
      <c r="G18" s="735"/>
      <c r="H18" s="735"/>
      <c r="I18" s="299"/>
      <c r="J18" s="735"/>
      <c r="K18" s="735"/>
      <c r="L18" s="735"/>
      <c r="M18" s="299"/>
    </row>
    <row r="19" spans="1:14" x14ac:dyDescent="0.2">
      <c r="A19" s="144"/>
      <c r="B19" s="733" t="s">
        <v>0</v>
      </c>
      <c r="C19" s="734"/>
      <c r="D19" s="734"/>
      <c r="E19" s="301"/>
      <c r="F19" s="733" t="s">
        <v>1</v>
      </c>
      <c r="G19" s="734"/>
      <c r="H19" s="734"/>
      <c r="I19" s="304"/>
      <c r="J19" s="733" t="s">
        <v>2</v>
      </c>
      <c r="K19" s="734"/>
      <c r="L19" s="734"/>
      <c r="M19" s="304"/>
    </row>
    <row r="20" spans="1:14" x14ac:dyDescent="0.2">
      <c r="A20" s="140" t="s">
        <v>5</v>
      </c>
      <c r="B20" s="152" t="s">
        <v>421</v>
      </c>
      <c r="C20" s="152" t="s">
        <v>422</v>
      </c>
      <c r="D20" s="162" t="s">
        <v>3</v>
      </c>
      <c r="E20" s="305" t="s">
        <v>29</v>
      </c>
      <c r="F20" s="152" t="s">
        <v>421</v>
      </c>
      <c r="G20" s="152" t="s">
        <v>422</v>
      </c>
      <c r="H20" s="162" t="s">
        <v>3</v>
      </c>
      <c r="I20" s="162" t="s">
        <v>29</v>
      </c>
      <c r="J20" s="152" t="s">
        <v>421</v>
      </c>
      <c r="K20" s="152" t="s">
        <v>422</v>
      </c>
      <c r="L20" s="162" t="s">
        <v>3</v>
      </c>
      <c r="M20" s="162" t="s">
        <v>29</v>
      </c>
    </row>
    <row r="21" spans="1:14" x14ac:dyDescent="0.2">
      <c r="A21" s="708"/>
      <c r="B21" s="156"/>
      <c r="C21" s="156"/>
      <c r="D21" s="246" t="s">
        <v>4</v>
      </c>
      <c r="E21" s="156" t="s">
        <v>30</v>
      </c>
      <c r="F21" s="161"/>
      <c r="G21" s="161"/>
      <c r="H21" s="245" t="s">
        <v>4</v>
      </c>
      <c r="I21" s="156" t="s">
        <v>30</v>
      </c>
      <c r="J21" s="161"/>
      <c r="K21" s="161"/>
      <c r="L21" s="156" t="s">
        <v>4</v>
      </c>
      <c r="M21" s="156" t="s">
        <v>30</v>
      </c>
    </row>
    <row r="22" spans="1:14" ht="15.75" x14ac:dyDescent="0.2">
      <c r="A22" s="14" t="s">
        <v>23</v>
      </c>
      <c r="B22" s="310">
        <v>303125</v>
      </c>
      <c r="C22" s="310">
        <v>325289</v>
      </c>
      <c r="D22" s="350">
        <f t="shared" ref="D22:D29" si="2">IF(B22=0, "    ---- ", IF(ABS(ROUND(100/B22*C22-100,1))&lt;999,ROUND(100/B22*C22-100,1),IF(ROUND(100/B22*C22-100,1)&gt;999,999,-999)))</f>
        <v>7.3</v>
      </c>
      <c r="E22" s="11">
        <f>IFERROR(100/'Skjema total MA'!C22*C22,0)</f>
        <v>24.302162619377281</v>
      </c>
      <c r="F22" s="318">
        <v>45722</v>
      </c>
      <c r="G22" s="318">
        <v>51990</v>
      </c>
      <c r="H22" s="350">
        <f t="shared" ref="H22:H35" si="3">IF(F22=0, "    ---- ", IF(ABS(ROUND(100/F22*G22-100,1))&lt;999,ROUND(100/F22*G22-100,1),IF(ROUND(100/F22*G22-100,1)&gt;999,999,-999)))</f>
        <v>13.7</v>
      </c>
      <c r="I22" s="11">
        <f>IFERROR(100/'Skjema total MA'!F22*G22,0)</f>
        <v>5.6285636543553235</v>
      </c>
      <c r="J22" s="316">
        <f t="shared" ref="J22:K35" si="4">SUM(B22,F22)</f>
        <v>348847</v>
      </c>
      <c r="K22" s="316">
        <f t="shared" si="4"/>
        <v>377279</v>
      </c>
      <c r="L22" s="427">
        <f t="shared" ref="L22:L35" si="5">IF(J22=0, "    ---- ", IF(ABS(ROUND(100/J22*K22-100,1))&lt;999,ROUND(100/J22*K22-100,1),IF(ROUND(100/J22*K22-100,1)&gt;999,999,-999)))</f>
        <v>8.1999999999999993</v>
      </c>
      <c r="M22" s="24">
        <f>IFERROR(100/'Skjema total MA'!I22*K22,0)</f>
        <v>16.677524715351481</v>
      </c>
    </row>
    <row r="23" spans="1:14" ht="15.75" x14ac:dyDescent="0.2">
      <c r="A23" s="584" t="s">
        <v>368</v>
      </c>
      <c r="B23" s="281"/>
      <c r="C23" s="281"/>
      <c r="D23" s="166"/>
      <c r="E23" s="11"/>
      <c r="F23" s="290">
        <v>10</v>
      </c>
      <c r="G23" s="290">
        <v>0</v>
      </c>
      <c r="H23" s="166">
        <f t="shared" si="3"/>
        <v>-100</v>
      </c>
      <c r="I23" s="417">
        <f>IFERROR(100/'Skjema total MA'!F23*G23,0)</f>
        <v>0</v>
      </c>
      <c r="J23" s="290">
        <f t="shared" ref="J23:J26" si="6">SUM(B23,F23)</f>
        <v>10</v>
      </c>
      <c r="K23" s="290">
        <f t="shared" ref="K23:K26" si="7">SUM(C23,G23)</f>
        <v>0</v>
      </c>
      <c r="L23" s="166">
        <f t="shared" si="5"/>
        <v>-100</v>
      </c>
      <c r="M23" s="23">
        <f>IFERROR(100/'Skjema total MA'!I23*K23,0)</f>
        <v>0</v>
      </c>
    </row>
    <row r="24" spans="1:14" ht="15.75" x14ac:dyDescent="0.2">
      <c r="A24" s="584" t="s">
        <v>369</v>
      </c>
      <c r="B24" s="281"/>
      <c r="C24" s="281"/>
      <c r="D24" s="166"/>
      <c r="E24" s="11"/>
      <c r="F24" s="290">
        <v>0</v>
      </c>
      <c r="G24" s="290">
        <v>22</v>
      </c>
      <c r="H24" s="166" t="str">
        <f t="shared" si="3"/>
        <v xml:space="preserve">    ---- </v>
      </c>
      <c r="I24" s="417">
        <f>IFERROR(100/'Skjema total MA'!F24*G24,0)</f>
        <v>2.2661324994075609</v>
      </c>
      <c r="J24" s="290">
        <f t="shared" si="6"/>
        <v>0</v>
      </c>
      <c r="K24" s="290">
        <f t="shared" si="7"/>
        <v>22</v>
      </c>
      <c r="L24" s="166" t="str">
        <f t="shared" si="5"/>
        <v xml:space="preserve">    ---- </v>
      </c>
      <c r="M24" s="23">
        <f>IFERROR(100/'Skjema total MA'!I24*K24,0)</f>
        <v>8.724415198364642E-2</v>
      </c>
    </row>
    <row r="25" spans="1:14" ht="15.75" x14ac:dyDescent="0.2">
      <c r="A25" s="584" t="s">
        <v>370</v>
      </c>
      <c r="B25" s="281"/>
      <c r="C25" s="281"/>
      <c r="D25" s="166"/>
      <c r="E25" s="11"/>
      <c r="F25" s="290"/>
      <c r="G25" s="290"/>
      <c r="H25" s="166"/>
      <c r="I25" s="417"/>
      <c r="J25" s="290"/>
      <c r="K25" s="290"/>
      <c r="L25" s="166"/>
      <c r="M25" s="23"/>
    </row>
    <row r="26" spans="1:14" ht="15.75" x14ac:dyDescent="0.2">
      <c r="A26" s="584" t="s">
        <v>371</v>
      </c>
      <c r="B26" s="281"/>
      <c r="C26" s="281"/>
      <c r="D26" s="166"/>
      <c r="E26" s="11"/>
      <c r="F26" s="290">
        <v>45712</v>
      </c>
      <c r="G26" s="290">
        <v>51968</v>
      </c>
      <c r="H26" s="166">
        <f t="shared" si="3"/>
        <v>13.7</v>
      </c>
      <c r="I26" s="417">
        <f>IFERROR(100/'Skjema total MA'!F26*G26,0)</f>
        <v>6.6182171784967059</v>
      </c>
      <c r="J26" s="290">
        <f t="shared" si="6"/>
        <v>45712</v>
      </c>
      <c r="K26" s="290">
        <f t="shared" si="7"/>
        <v>51968</v>
      </c>
      <c r="L26" s="166">
        <f t="shared" si="5"/>
        <v>13.7</v>
      </c>
      <c r="M26" s="23">
        <f>IFERROR(100/'Skjema total MA'!I26*K26,0)</f>
        <v>6.6182171784967059</v>
      </c>
    </row>
    <row r="27" spans="1:14" x14ac:dyDescent="0.2">
      <c r="A27" s="584" t="s">
        <v>11</v>
      </c>
      <c r="B27" s="281"/>
      <c r="C27" s="281"/>
      <c r="D27" s="166"/>
      <c r="E27" s="11"/>
      <c r="F27" s="290"/>
      <c r="G27" s="290"/>
      <c r="H27" s="166"/>
      <c r="I27" s="417"/>
      <c r="J27" s="290"/>
      <c r="K27" s="290"/>
      <c r="L27" s="166"/>
      <c r="M27" s="23"/>
    </row>
    <row r="28" spans="1:14" ht="15.75" x14ac:dyDescent="0.2">
      <c r="A28" s="49" t="s">
        <v>276</v>
      </c>
      <c r="B28" s="44">
        <v>303125</v>
      </c>
      <c r="C28" s="287">
        <v>325289</v>
      </c>
      <c r="D28" s="166">
        <f t="shared" si="2"/>
        <v>7.3</v>
      </c>
      <c r="E28" s="11">
        <f>IFERROR(100/'Skjema total MA'!C28*C28,0)</f>
        <v>21.962647913736014</v>
      </c>
      <c r="F28" s="234"/>
      <c r="G28" s="287"/>
      <c r="H28" s="166"/>
      <c r="I28" s="27"/>
      <c r="J28" s="44">
        <f t="shared" si="4"/>
        <v>303125</v>
      </c>
      <c r="K28" s="44">
        <f t="shared" si="4"/>
        <v>325289</v>
      </c>
      <c r="L28" s="254">
        <f t="shared" si="5"/>
        <v>7.3</v>
      </c>
      <c r="M28" s="23">
        <f>IFERROR(100/'Skjema total MA'!I28*K28,0)</f>
        <v>21.962647913736014</v>
      </c>
    </row>
    <row r="29" spans="1:14" s="3" customFormat="1" ht="15.75" x14ac:dyDescent="0.2">
      <c r="A29" s="13" t="s">
        <v>365</v>
      </c>
      <c r="B29" s="236">
        <v>1845676</v>
      </c>
      <c r="C29" s="236">
        <v>2184145</v>
      </c>
      <c r="D29" s="171">
        <f t="shared" si="2"/>
        <v>18.3</v>
      </c>
      <c r="E29" s="11">
        <f>IFERROR(100/'Skjema total MA'!C29*C29,0)</f>
        <v>4.7517826063375601</v>
      </c>
      <c r="F29" s="308">
        <v>1548474</v>
      </c>
      <c r="G29" s="308">
        <v>1570269</v>
      </c>
      <c r="H29" s="171">
        <f t="shared" si="3"/>
        <v>1.4</v>
      </c>
      <c r="I29" s="11">
        <f>IFERROR(100/'Skjema total MA'!F29*G29,0)</f>
        <v>6.8663634850703312</v>
      </c>
      <c r="J29" s="236">
        <f t="shared" si="4"/>
        <v>3394150</v>
      </c>
      <c r="K29" s="236">
        <f t="shared" si="4"/>
        <v>3754414</v>
      </c>
      <c r="L29" s="428">
        <f t="shared" si="5"/>
        <v>10.6</v>
      </c>
      <c r="M29" s="24">
        <f>IFERROR(100/'Skjema total MA'!I29*K29,0)</f>
        <v>5.4543210693852293</v>
      </c>
      <c r="N29" s="148"/>
    </row>
    <row r="30" spans="1:14" s="3" customFormat="1" ht="15.75" x14ac:dyDescent="0.2">
      <c r="A30" s="584" t="s">
        <v>368</v>
      </c>
      <c r="B30" s="281"/>
      <c r="C30" s="281"/>
      <c r="D30" s="166"/>
      <c r="E30" s="11"/>
      <c r="F30" s="290">
        <v>28160</v>
      </c>
      <c r="G30" s="290">
        <v>26330</v>
      </c>
      <c r="H30" s="166">
        <f t="shared" si="3"/>
        <v>-6.5</v>
      </c>
      <c r="I30" s="417">
        <f>IFERROR(100/'Skjema total MA'!F30*G30,0)</f>
        <v>0.59336162450612351</v>
      </c>
      <c r="J30" s="290">
        <f t="shared" ref="J30:J33" si="8">SUM(B30,F30)</f>
        <v>28160</v>
      </c>
      <c r="K30" s="290">
        <f t="shared" ref="K30:K33" si="9">SUM(C30,G30)</f>
        <v>26330</v>
      </c>
      <c r="L30" s="166">
        <f t="shared" si="5"/>
        <v>-6.5</v>
      </c>
      <c r="M30" s="23">
        <f>IFERROR(100/'Skjema total MA'!I30*K30,0)</f>
        <v>0.14503746023732753</v>
      </c>
      <c r="N30" s="148"/>
    </row>
    <row r="31" spans="1:14" s="3" customFormat="1" ht="15.75" x14ac:dyDescent="0.2">
      <c r="A31" s="584" t="s">
        <v>369</v>
      </c>
      <c r="B31" s="281"/>
      <c r="C31" s="281"/>
      <c r="D31" s="166"/>
      <c r="E31" s="11"/>
      <c r="F31" s="290">
        <v>1173731</v>
      </c>
      <c r="G31" s="290">
        <v>1091439</v>
      </c>
      <c r="H31" s="166">
        <f t="shared" si="3"/>
        <v>-7</v>
      </c>
      <c r="I31" s="417">
        <f>IFERROR(100/'Skjema total MA'!F31*G31,0)</f>
        <v>11.794281940583677</v>
      </c>
      <c r="J31" s="290">
        <f t="shared" si="8"/>
        <v>1173731</v>
      </c>
      <c r="K31" s="290">
        <f t="shared" si="9"/>
        <v>1091439</v>
      </c>
      <c r="L31" s="166">
        <f t="shared" si="5"/>
        <v>-7</v>
      </c>
      <c r="M31" s="23">
        <f>IFERROR(100/'Skjema total MA'!I31*K31,0)</f>
        <v>3.299896906453168</v>
      </c>
      <c r="N31" s="148"/>
    </row>
    <row r="32" spans="1:14" ht="15.75" x14ac:dyDescent="0.2">
      <c r="A32" s="584" t="s">
        <v>370</v>
      </c>
      <c r="B32" s="281"/>
      <c r="C32" s="281"/>
      <c r="D32" s="166"/>
      <c r="E32" s="11"/>
      <c r="F32" s="290">
        <v>123934</v>
      </c>
      <c r="G32" s="290">
        <v>124420</v>
      </c>
      <c r="H32" s="166">
        <f t="shared" si="3"/>
        <v>0.4</v>
      </c>
      <c r="I32" s="417">
        <f>IFERROR(100/'Skjema total MA'!F32*G32,0)</f>
        <v>2.5391027899016461</v>
      </c>
      <c r="J32" s="290">
        <f t="shared" si="8"/>
        <v>123934</v>
      </c>
      <c r="K32" s="290">
        <f t="shared" si="9"/>
        <v>124420</v>
      </c>
      <c r="L32" s="166">
        <f t="shared" si="5"/>
        <v>0.4</v>
      </c>
      <c r="M32" s="23">
        <f>IFERROR(100/'Skjema total MA'!I32*K32,0)</f>
        <v>1.5847137576325379</v>
      </c>
    </row>
    <row r="33" spans="1:14" ht="15.75" x14ac:dyDescent="0.2">
      <c r="A33" s="584" t="s">
        <v>371</v>
      </c>
      <c r="B33" s="281"/>
      <c r="C33" s="281"/>
      <c r="D33" s="166"/>
      <c r="E33" s="11"/>
      <c r="F33" s="290">
        <v>222649</v>
      </c>
      <c r="G33" s="290">
        <v>328080</v>
      </c>
      <c r="H33" s="166">
        <f t="shared" si="3"/>
        <v>47.4</v>
      </c>
      <c r="I33" s="417">
        <f>IFERROR(100/'Skjema total MA'!F34*G33,0)</f>
        <v>3013.2057959630683</v>
      </c>
      <c r="J33" s="290">
        <f t="shared" si="8"/>
        <v>222649</v>
      </c>
      <c r="K33" s="290">
        <f t="shared" si="9"/>
        <v>328080</v>
      </c>
      <c r="L33" s="166">
        <f t="shared" si="5"/>
        <v>47.4</v>
      </c>
      <c r="M33" s="23">
        <f>IFERROR(100/'Skjema total MA'!I34*K33,0)</f>
        <v>1306.5633107970214</v>
      </c>
    </row>
    <row r="34" spans="1:14" ht="15.75" x14ac:dyDescent="0.2">
      <c r="A34" s="13" t="s">
        <v>366</v>
      </c>
      <c r="B34" s="236"/>
      <c r="C34" s="309"/>
      <c r="D34" s="171"/>
      <c r="E34" s="11"/>
      <c r="F34" s="308">
        <v>7733</v>
      </c>
      <c r="G34" s="309">
        <v>9736</v>
      </c>
      <c r="H34" s="171">
        <f t="shared" si="3"/>
        <v>25.9</v>
      </c>
      <c r="I34" s="11">
        <f>IFERROR(100/'Skjema total MA'!F34*G34,0)</f>
        <v>89.41895766123028</v>
      </c>
      <c r="J34" s="236">
        <f t="shared" si="4"/>
        <v>7733</v>
      </c>
      <c r="K34" s="236">
        <f t="shared" si="4"/>
        <v>9736</v>
      </c>
      <c r="L34" s="428">
        <f t="shared" si="5"/>
        <v>25.9</v>
      </c>
      <c r="M34" s="24">
        <f>IFERROR(100/'Skjema total MA'!I34*K34,0)</f>
        <v>38.773166282369544</v>
      </c>
    </row>
    <row r="35" spans="1:14" ht="15.75" x14ac:dyDescent="0.2">
      <c r="A35" s="13" t="s">
        <v>367</v>
      </c>
      <c r="B35" s="236"/>
      <c r="C35" s="309"/>
      <c r="D35" s="171"/>
      <c r="E35" s="11"/>
      <c r="F35" s="308">
        <v>7975</v>
      </c>
      <c r="G35" s="309">
        <v>7057</v>
      </c>
      <c r="H35" s="171">
        <f t="shared" si="3"/>
        <v>-11.5</v>
      </c>
      <c r="I35" s="11">
        <f>IFERROR(100/'Skjema total MA'!F35*G35,0)</f>
        <v>6.0971205892612321</v>
      </c>
      <c r="J35" s="236">
        <f t="shared" si="4"/>
        <v>7975</v>
      </c>
      <c r="K35" s="236">
        <f t="shared" si="4"/>
        <v>7057</v>
      </c>
      <c r="L35" s="428">
        <f t="shared" si="5"/>
        <v>-11.5</v>
      </c>
      <c r="M35" s="24">
        <f>IFERROR(100/'Skjema total MA'!I35*K35,0)</f>
        <v>18.220257096306476</v>
      </c>
    </row>
    <row r="36" spans="1:14" ht="15.75" x14ac:dyDescent="0.2">
      <c r="A36" s="12" t="s">
        <v>284</v>
      </c>
      <c r="B36" s="236"/>
      <c r="C36" s="309"/>
      <c r="D36" s="171"/>
      <c r="E36" s="11"/>
      <c r="F36" s="319"/>
      <c r="G36" s="320"/>
      <c r="H36" s="171"/>
      <c r="I36" s="434"/>
      <c r="J36" s="236"/>
      <c r="K36" s="236"/>
      <c r="L36" s="428"/>
      <c r="M36" s="24"/>
    </row>
    <row r="37" spans="1:14" ht="15.75" x14ac:dyDescent="0.2">
      <c r="A37" s="12" t="s">
        <v>373</v>
      </c>
      <c r="B37" s="236"/>
      <c r="C37" s="309"/>
      <c r="D37" s="171"/>
      <c r="E37" s="11"/>
      <c r="F37" s="319"/>
      <c r="G37" s="321"/>
      <c r="H37" s="171"/>
      <c r="I37" s="434"/>
      <c r="J37" s="236"/>
      <c r="K37" s="236"/>
      <c r="L37" s="428"/>
      <c r="M37" s="24"/>
    </row>
    <row r="38" spans="1:14" ht="15.75" x14ac:dyDescent="0.2">
      <c r="A38" s="12" t="s">
        <v>374</v>
      </c>
      <c r="B38" s="236"/>
      <c r="C38" s="309"/>
      <c r="D38" s="171"/>
      <c r="E38" s="24"/>
      <c r="F38" s="319"/>
      <c r="G38" s="320"/>
      <c r="H38" s="171"/>
      <c r="I38" s="434"/>
      <c r="J38" s="236"/>
      <c r="K38" s="236"/>
      <c r="L38" s="428"/>
      <c r="M38" s="24"/>
    </row>
    <row r="39" spans="1:14" ht="15.75" x14ac:dyDescent="0.2">
      <c r="A39" s="18" t="s">
        <v>375</v>
      </c>
      <c r="B39" s="276"/>
      <c r="C39" s="315"/>
      <c r="D39" s="169"/>
      <c r="E39" s="36"/>
      <c r="F39" s="322"/>
      <c r="G39" s="323"/>
      <c r="H39" s="169"/>
      <c r="I39" s="36"/>
      <c r="J39" s="236"/>
      <c r="K39" s="236"/>
      <c r="L39" s="429"/>
      <c r="M39" s="36"/>
    </row>
    <row r="40" spans="1:14" ht="15.75" x14ac:dyDescent="0.25">
      <c r="A40" s="47"/>
      <c r="B40" s="253"/>
      <c r="C40" s="253"/>
      <c r="D40" s="736"/>
      <c r="E40" s="736"/>
      <c r="F40" s="736"/>
      <c r="G40" s="736"/>
      <c r="H40" s="736"/>
      <c r="I40" s="736"/>
      <c r="J40" s="736"/>
      <c r="K40" s="736"/>
      <c r="L40" s="736"/>
      <c r="M40" s="302"/>
    </row>
    <row r="41" spans="1:14" x14ac:dyDescent="0.2">
      <c r="A41" s="155"/>
    </row>
    <row r="42" spans="1:14" ht="15.75" x14ac:dyDescent="0.25">
      <c r="A42" s="147" t="s">
        <v>273</v>
      </c>
      <c r="B42" s="732"/>
      <c r="C42" s="732"/>
      <c r="D42" s="732"/>
      <c r="E42" s="299"/>
      <c r="F42" s="737"/>
      <c r="G42" s="737"/>
      <c r="H42" s="737"/>
      <c r="I42" s="302"/>
      <c r="J42" s="737"/>
      <c r="K42" s="737"/>
      <c r="L42" s="737"/>
      <c r="M42" s="302"/>
    </row>
    <row r="43" spans="1:14" ht="15.75" x14ac:dyDescent="0.25">
      <c r="A43" s="163"/>
      <c r="B43" s="303"/>
      <c r="C43" s="303"/>
      <c r="D43" s="303"/>
      <c r="E43" s="303"/>
      <c r="F43" s="302"/>
      <c r="G43" s="302"/>
      <c r="H43" s="302"/>
      <c r="I43" s="302"/>
      <c r="J43" s="302"/>
      <c r="K43" s="302"/>
      <c r="L43" s="302"/>
      <c r="M43" s="302"/>
    </row>
    <row r="44" spans="1:14" ht="15.75" x14ac:dyDescent="0.25">
      <c r="A44" s="247"/>
      <c r="B44" s="733" t="s">
        <v>0</v>
      </c>
      <c r="C44" s="734"/>
      <c r="D44" s="734"/>
      <c r="E44" s="243"/>
      <c r="F44" s="302"/>
      <c r="G44" s="302"/>
      <c r="H44" s="302"/>
      <c r="I44" s="302"/>
      <c r="J44" s="302"/>
      <c r="K44" s="302"/>
      <c r="L44" s="302"/>
      <c r="M44" s="302"/>
    </row>
    <row r="45" spans="1:14" s="3" customFormat="1" x14ac:dyDescent="0.2">
      <c r="A45" s="140"/>
      <c r="B45" s="152" t="s">
        <v>421</v>
      </c>
      <c r="C45" s="152" t="s">
        <v>422</v>
      </c>
      <c r="D45" s="162" t="s">
        <v>3</v>
      </c>
      <c r="E45" s="162" t="s">
        <v>29</v>
      </c>
      <c r="F45" s="174"/>
      <c r="G45" s="174"/>
      <c r="H45" s="173"/>
      <c r="I45" s="173"/>
      <c r="J45" s="174"/>
      <c r="K45" s="174"/>
      <c r="L45" s="173"/>
      <c r="M45" s="173"/>
      <c r="N45" s="148"/>
    </row>
    <row r="46" spans="1:14" s="3" customFormat="1" x14ac:dyDescent="0.2">
      <c r="A46" s="708"/>
      <c r="B46" s="244"/>
      <c r="C46" s="244"/>
      <c r="D46" s="245" t="s">
        <v>4</v>
      </c>
      <c r="E46" s="156" t="s">
        <v>30</v>
      </c>
      <c r="F46" s="173"/>
      <c r="G46" s="173"/>
      <c r="H46" s="173"/>
      <c r="I46" s="173"/>
      <c r="J46" s="173"/>
      <c r="K46" s="173"/>
      <c r="L46" s="173"/>
      <c r="M46" s="173"/>
      <c r="N46" s="148"/>
    </row>
    <row r="47" spans="1:14" s="3" customFormat="1" ht="15.75" x14ac:dyDescent="0.2">
      <c r="A47" s="14" t="s">
        <v>23</v>
      </c>
      <c r="B47" s="310"/>
      <c r="C47" s="311"/>
      <c r="D47" s="427"/>
      <c r="E47" s="11"/>
      <c r="F47" s="145"/>
      <c r="G47" s="33"/>
      <c r="H47" s="159"/>
      <c r="I47" s="159"/>
      <c r="J47" s="37"/>
      <c r="K47" s="37"/>
      <c r="L47" s="159"/>
      <c r="M47" s="159"/>
      <c r="N47" s="148"/>
    </row>
    <row r="48" spans="1:14" s="3" customFormat="1" ht="15.75" x14ac:dyDescent="0.2">
      <c r="A48" s="38" t="s">
        <v>376</v>
      </c>
      <c r="B48" s="281"/>
      <c r="C48" s="282"/>
      <c r="D48" s="254"/>
      <c r="E48" s="27"/>
      <c r="F48" s="145"/>
      <c r="G48" s="33"/>
      <c r="H48" s="145"/>
      <c r="I48" s="145"/>
      <c r="J48" s="33"/>
      <c r="K48" s="33"/>
      <c r="L48" s="159"/>
      <c r="M48" s="159"/>
      <c r="N48" s="148"/>
    </row>
    <row r="49" spans="1:14" s="3" customFormat="1" ht="15.75" x14ac:dyDescent="0.2">
      <c r="A49" s="38" t="s">
        <v>377</v>
      </c>
      <c r="B49" s="44"/>
      <c r="C49" s="287"/>
      <c r="D49" s="254"/>
      <c r="E49" s="27"/>
      <c r="F49" s="145"/>
      <c r="G49" s="33"/>
      <c r="H49" s="145"/>
      <c r="I49" s="145"/>
      <c r="J49" s="37"/>
      <c r="K49" s="37"/>
      <c r="L49" s="159"/>
      <c r="M49" s="159"/>
      <c r="N49" s="148"/>
    </row>
    <row r="50" spans="1:14" s="3" customFormat="1" x14ac:dyDescent="0.2">
      <c r="A50" s="296" t="s">
        <v>6</v>
      </c>
      <c r="B50" s="290"/>
      <c r="C50" s="291"/>
      <c r="D50" s="254"/>
      <c r="E50" s="23"/>
      <c r="F50" s="145"/>
      <c r="G50" s="33"/>
      <c r="H50" s="145"/>
      <c r="I50" s="145"/>
      <c r="J50" s="33"/>
      <c r="K50" s="33"/>
      <c r="L50" s="159"/>
      <c r="M50" s="159"/>
      <c r="N50" s="148"/>
    </row>
    <row r="51" spans="1:14" s="3" customFormat="1" x14ac:dyDescent="0.2">
      <c r="A51" s="296" t="s">
        <v>7</v>
      </c>
      <c r="B51" s="290"/>
      <c r="C51" s="291"/>
      <c r="D51" s="254"/>
      <c r="E51" s="23"/>
      <c r="F51" s="145"/>
      <c r="G51" s="33"/>
      <c r="H51" s="145"/>
      <c r="I51" s="145"/>
      <c r="J51" s="33"/>
      <c r="K51" s="33"/>
      <c r="L51" s="159"/>
      <c r="M51" s="159"/>
      <c r="N51" s="148"/>
    </row>
    <row r="52" spans="1:14" s="3" customFormat="1" x14ac:dyDescent="0.2">
      <c r="A52" s="296" t="s">
        <v>8</v>
      </c>
      <c r="B52" s="290"/>
      <c r="C52" s="291"/>
      <c r="D52" s="254"/>
      <c r="E52" s="23"/>
      <c r="F52" s="145"/>
      <c r="G52" s="33"/>
      <c r="H52" s="145"/>
      <c r="I52" s="145"/>
      <c r="J52" s="33"/>
      <c r="K52" s="33"/>
      <c r="L52" s="159"/>
      <c r="M52" s="159"/>
      <c r="N52" s="148"/>
    </row>
    <row r="53" spans="1:14" s="3" customFormat="1" ht="15.75" x14ac:dyDescent="0.2">
      <c r="A53" s="39" t="s">
        <v>378</v>
      </c>
      <c r="B53" s="310"/>
      <c r="C53" s="311"/>
      <c r="D53" s="428"/>
      <c r="E53" s="11"/>
      <c r="F53" s="145"/>
      <c r="G53" s="33"/>
      <c r="H53" s="145"/>
      <c r="I53" s="145"/>
      <c r="J53" s="33"/>
      <c r="K53" s="33"/>
      <c r="L53" s="159"/>
      <c r="M53" s="159"/>
      <c r="N53" s="148"/>
    </row>
    <row r="54" spans="1:14" s="3" customFormat="1" ht="15.75" x14ac:dyDescent="0.2">
      <c r="A54" s="38" t="s">
        <v>376</v>
      </c>
      <c r="B54" s="281"/>
      <c r="C54" s="282"/>
      <c r="D54" s="254"/>
      <c r="E54" s="27"/>
      <c r="F54" s="145"/>
      <c r="G54" s="33"/>
      <c r="H54" s="145"/>
      <c r="I54" s="145"/>
      <c r="J54" s="33"/>
      <c r="K54" s="33"/>
      <c r="L54" s="159"/>
      <c r="M54" s="159"/>
      <c r="N54" s="148"/>
    </row>
    <row r="55" spans="1:14" s="3" customFormat="1" ht="15.75" x14ac:dyDescent="0.2">
      <c r="A55" s="38" t="s">
        <v>377</v>
      </c>
      <c r="B55" s="281"/>
      <c r="C55" s="282"/>
      <c r="D55" s="254"/>
      <c r="E55" s="27"/>
      <c r="F55" s="145"/>
      <c r="G55" s="33"/>
      <c r="H55" s="145"/>
      <c r="I55" s="145"/>
      <c r="J55" s="33"/>
      <c r="K55" s="33"/>
      <c r="L55" s="159"/>
      <c r="M55" s="159"/>
      <c r="N55" s="148"/>
    </row>
    <row r="56" spans="1:14" s="3" customFormat="1" ht="15.75" x14ac:dyDescent="0.2">
      <c r="A56" s="39" t="s">
        <v>379</v>
      </c>
      <c r="B56" s="310"/>
      <c r="C56" s="311"/>
      <c r="D56" s="428"/>
      <c r="E56" s="11"/>
      <c r="F56" s="145"/>
      <c r="G56" s="33"/>
      <c r="H56" s="145"/>
      <c r="I56" s="145"/>
      <c r="J56" s="33"/>
      <c r="K56" s="33"/>
      <c r="L56" s="159"/>
      <c r="M56" s="159"/>
      <c r="N56" s="148"/>
    </row>
    <row r="57" spans="1:14" s="3" customFormat="1" ht="15.75" x14ac:dyDescent="0.2">
      <c r="A57" s="38" t="s">
        <v>376</v>
      </c>
      <c r="B57" s="281"/>
      <c r="C57" s="282"/>
      <c r="D57" s="254"/>
      <c r="E57" s="27"/>
      <c r="F57" s="145"/>
      <c r="G57" s="33"/>
      <c r="H57" s="145"/>
      <c r="I57" s="145"/>
      <c r="J57" s="33"/>
      <c r="K57" s="33"/>
      <c r="L57" s="159"/>
      <c r="M57" s="159"/>
      <c r="N57" s="148"/>
    </row>
    <row r="58" spans="1:14" s="3" customFormat="1" ht="15.75" x14ac:dyDescent="0.2">
      <c r="A58" s="46" t="s">
        <v>377</v>
      </c>
      <c r="B58" s="283"/>
      <c r="C58" s="284"/>
      <c r="D58" s="255"/>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274</v>
      </c>
      <c r="C61" s="26"/>
      <c r="D61" s="26"/>
      <c r="E61" s="26"/>
      <c r="F61" s="26"/>
      <c r="G61" s="26"/>
      <c r="H61" s="26"/>
      <c r="I61" s="26"/>
      <c r="J61" s="26"/>
      <c r="K61" s="26"/>
      <c r="L61" s="26"/>
      <c r="M61" s="26"/>
    </row>
    <row r="62" spans="1:14" ht="15.75" x14ac:dyDescent="0.25">
      <c r="B62" s="735"/>
      <c r="C62" s="735"/>
      <c r="D62" s="735"/>
      <c r="E62" s="299"/>
      <c r="F62" s="735"/>
      <c r="G62" s="735"/>
      <c r="H62" s="735"/>
      <c r="I62" s="299"/>
      <c r="J62" s="735"/>
      <c r="K62" s="735"/>
      <c r="L62" s="735"/>
      <c r="M62" s="299"/>
    </row>
    <row r="63" spans="1:14" x14ac:dyDescent="0.2">
      <c r="A63" s="144"/>
      <c r="B63" s="733" t="s">
        <v>0</v>
      </c>
      <c r="C63" s="734"/>
      <c r="D63" s="738"/>
      <c r="E63" s="300"/>
      <c r="F63" s="734" t="s">
        <v>1</v>
      </c>
      <c r="G63" s="734"/>
      <c r="H63" s="734"/>
      <c r="I63" s="304"/>
      <c r="J63" s="733" t="s">
        <v>2</v>
      </c>
      <c r="K63" s="734"/>
      <c r="L63" s="734"/>
      <c r="M63" s="304"/>
    </row>
    <row r="64" spans="1:14" x14ac:dyDescent="0.2">
      <c r="A64" s="140"/>
      <c r="B64" s="152" t="s">
        <v>421</v>
      </c>
      <c r="C64" s="152" t="s">
        <v>422</v>
      </c>
      <c r="D64" s="245" t="s">
        <v>3</v>
      </c>
      <c r="E64" s="305" t="s">
        <v>29</v>
      </c>
      <c r="F64" s="152" t="s">
        <v>421</v>
      </c>
      <c r="G64" s="152" t="s">
        <v>422</v>
      </c>
      <c r="H64" s="245" t="s">
        <v>3</v>
      </c>
      <c r="I64" s="305" t="s">
        <v>29</v>
      </c>
      <c r="J64" s="152" t="s">
        <v>421</v>
      </c>
      <c r="K64" s="152" t="s">
        <v>422</v>
      </c>
      <c r="L64" s="245" t="s">
        <v>3</v>
      </c>
      <c r="M64" s="162" t="s">
        <v>29</v>
      </c>
    </row>
    <row r="65" spans="1:14" x14ac:dyDescent="0.2">
      <c r="A65" s="708"/>
      <c r="B65" s="156"/>
      <c r="C65" s="156"/>
      <c r="D65" s="246" t="s">
        <v>4</v>
      </c>
      <c r="E65" s="156" t="s">
        <v>30</v>
      </c>
      <c r="F65" s="161"/>
      <c r="G65" s="161"/>
      <c r="H65" s="245" t="s">
        <v>4</v>
      </c>
      <c r="I65" s="156" t="s">
        <v>30</v>
      </c>
      <c r="J65" s="161"/>
      <c r="K65" s="206"/>
      <c r="L65" s="156" t="s">
        <v>4</v>
      </c>
      <c r="M65" s="156" t="s">
        <v>30</v>
      </c>
    </row>
    <row r="66" spans="1:14" ht="15.75" x14ac:dyDescent="0.2">
      <c r="A66" s="14" t="s">
        <v>23</v>
      </c>
      <c r="B66" s="353">
        <v>192609</v>
      </c>
      <c r="C66" s="353">
        <v>183550</v>
      </c>
      <c r="D66" s="350">
        <f t="shared" ref="D66:D111" si="10">IF(B66=0, "    ---- ", IF(ABS(ROUND(100/B66*C66-100,1))&lt;999,ROUND(100/B66*C66-100,1),IF(ROUND(100/B66*C66-100,1)&gt;999,999,-999)))</f>
        <v>-4.7</v>
      </c>
      <c r="E66" s="11">
        <f>IFERROR(100/'Skjema total MA'!C66*C66,0)</f>
        <v>3.0980725978876933</v>
      </c>
      <c r="F66" s="352">
        <v>2235279</v>
      </c>
      <c r="G66" s="352">
        <v>2213570</v>
      </c>
      <c r="H66" s="350">
        <f t="shared" ref="H66:H111" si="11">IF(F66=0, "    ---- ", IF(ABS(ROUND(100/F66*G66-100,1))&lt;999,ROUND(100/F66*G66-100,1),IF(ROUND(100/F66*G66-100,1)&gt;999,999,-999)))</f>
        <v>-1</v>
      </c>
      <c r="I66" s="11">
        <f>IFERROR(100/'Skjema total MA'!F66*G66,0)</f>
        <v>8.5083530477520419</v>
      </c>
      <c r="J66" s="309">
        <f t="shared" ref="J66:K79" si="12">SUM(B66,F66)</f>
        <v>2427888</v>
      </c>
      <c r="K66" s="316">
        <f t="shared" si="12"/>
        <v>2397120</v>
      </c>
      <c r="L66" s="428">
        <f t="shared" ref="L66:L111" si="13">IF(J66=0, "    ---- ", IF(ABS(ROUND(100/J66*K66-100,1))&lt;999,ROUND(100/J66*K66-100,1),IF(ROUND(100/J66*K66-100,1)&gt;999,999,-999)))</f>
        <v>-1.3</v>
      </c>
      <c r="M66" s="11">
        <f>IFERROR(100/'Skjema total MA'!I66*K66,0)</f>
        <v>7.5048171418421088</v>
      </c>
    </row>
    <row r="67" spans="1:14" x14ac:dyDescent="0.2">
      <c r="A67" s="419" t="s">
        <v>9</v>
      </c>
      <c r="B67" s="44">
        <v>192609</v>
      </c>
      <c r="C67" s="145">
        <v>183550</v>
      </c>
      <c r="D67" s="166">
        <f t="shared" si="10"/>
        <v>-4.7</v>
      </c>
      <c r="E67" s="27">
        <f>IFERROR(100/'Skjema total MA'!C67*C67,0)</f>
        <v>4.4060264319102336</v>
      </c>
      <c r="F67" s="234"/>
      <c r="G67" s="145"/>
      <c r="H67" s="166"/>
      <c r="I67" s="27"/>
      <c r="J67" s="287">
        <f t="shared" si="12"/>
        <v>192609</v>
      </c>
      <c r="K67" s="44">
        <f t="shared" si="12"/>
        <v>183550</v>
      </c>
      <c r="L67" s="254">
        <f t="shared" si="13"/>
        <v>-4.7</v>
      </c>
      <c r="M67" s="27">
        <f>IFERROR(100/'Skjema total MA'!I67*K67,0)</f>
        <v>4.4060264319102336</v>
      </c>
    </row>
    <row r="68" spans="1:14" x14ac:dyDescent="0.2">
      <c r="A68" s="21" t="s">
        <v>10</v>
      </c>
      <c r="B68" s="292"/>
      <c r="C68" s="293"/>
      <c r="D68" s="166"/>
      <c r="E68" s="27"/>
      <c r="F68" s="292">
        <v>2235279</v>
      </c>
      <c r="G68" s="293">
        <v>2213570</v>
      </c>
      <c r="H68" s="166">
        <f t="shared" si="11"/>
        <v>-1</v>
      </c>
      <c r="I68" s="27">
        <f>IFERROR(100/'Skjema total MA'!F68*G68,0)</f>
        <v>8.8587386276084814</v>
      </c>
      <c r="J68" s="287">
        <f t="shared" si="12"/>
        <v>2235279</v>
      </c>
      <c r="K68" s="44">
        <f t="shared" si="12"/>
        <v>2213570</v>
      </c>
      <c r="L68" s="254">
        <f t="shared" si="13"/>
        <v>-1</v>
      </c>
      <c r="M68" s="27">
        <f>IFERROR(100/'Skjema total MA'!I68*K68,0)</f>
        <v>8.8169584436172599</v>
      </c>
    </row>
    <row r="69" spans="1:14" ht="15.75" x14ac:dyDescent="0.2">
      <c r="A69" s="296" t="s">
        <v>380</v>
      </c>
      <c r="B69" s="294"/>
      <c r="C69" s="295"/>
      <c r="D69" s="166"/>
      <c r="E69" s="417"/>
      <c r="F69" s="294"/>
      <c r="G69" s="295"/>
      <c r="H69" s="166"/>
      <c r="I69" s="417"/>
      <c r="J69" s="294"/>
      <c r="K69" s="295"/>
      <c r="L69" s="166"/>
      <c r="M69" s="23"/>
    </row>
    <row r="70" spans="1:14" x14ac:dyDescent="0.2">
      <c r="A70" s="296" t="s">
        <v>12</v>
      </c>
      <c r="B70" s="294"/>
      <c r="C70" s="295"/>
      <c r="D70" s="166"/>
      <c r="E70" s="417"/>
      <c r="F70" s="294"/>
      <c r="G70" s="295"/>
      <c r="H70" s="166"/>
      <c r="I70" s="417"/>
      <c r="J70" s="294"/>
      <c r="K70" s="295"/>
      <c r="L70" s="166"/>
      <c r="M70" s="23"/>
    </row>
    <row r="71" spans="1:14" x14ac:dyDescent="0.2">
      <c r="A71" s="296" t="s">
        <v>13</v>
      </c>
      <c r="B71" s="235"/>
      <c r="C71" s="289"/>
      <c r="D71" s="166"/>
      <c r="E71" s="417"/>
      <c r="F71" s="294"/>
      <c r="G71" s="295"/>
      <c r="H71" s="166"/>
      <c r="I71" s="417"/>
      <c r="J71" s="294"/>
      <c r="K71" s="295"/>
      <c r="L71" s="166"/>
      <c r="M71" s="23"/>
    </row>
    <row r="72" spans="1:14" ht="15.75" x14ac:dyDescent="0.2">
      <c r="A72" s="296" t="s">
        <v>381</v>
      </c>
      <c r="B72" s="294"/>
      <c r="C72" s="295"/>
      <c r="D72" s="166"/>
      <c r="E72" s="417"/>
      <c r="F72" s="294"/>
      <c r="G72" s="295"/>
      <c r="H72" s="166"/>
      <c r="I72" s="417"/>
      <c r="J72" s="294"/>
      <c r="K72" s="295"/>
      <c r="L72" s="166"/>
      <c r="M72" s="23"/>
    </row>
    <row r="73" spans="1:14" x14ac:dyDescent="0.2">
      <c r="A73" s="296" t="s">
        <v>12</v>
      </c>
      <c r="B73" s="235"/>
      <c r="C73" s="289"/>
      <c r="D73" s="166"/>
      <c r="E73" s="417"/>
      <c r="F73" s="294"/>
      <c r="G73" s="295"/>
      <c r="H73" s="166"/>
      <c r="I73" s="417"/>
      <c r="J73" s="294"/>
      <c r="K73" s="295"/>
      <c r="L73" s="166"/>
      <c r="M73" s="23"/>
    </row>
    <row r="74" spans="1:14" s="3" customFormat="1" x14ac:dyDescent="0.2">
      <c r="A74" s="296" t="s">
        <v>13</v>
      </c>
      <c r="B74" s="235"/>
      <c r="C74" s="289"/>
      <c r="D74" s="166"/>
      <c r="E74" s="417"/>
      <c r="F74" s="294"/>
      <c r="G74" s="295"/>
      <c r="H74" s="166"/>
      <c r="I74" s="417"/>
      <c r="J74" s="294"/>
      <c r="K74" s="295"/>
      <c r="L74" s="166"/>
      <c r="M74" s="23"/>
      <c r="N74" s="148"/>
    </row>
    <row r="75" spans="1:14" s="3" customFormat="1" x14ac:dyDescent="0.2">
      <c r="A75" s="21" t="s">
        <v>350</v>
      </c>
      <c r="B75" s="234"/>
      <c r="C75" s="145"/>
      <c r="D75" s="166"/>
      <c r="E75" s="27"/>
      <c r="F75" s="234"/>
      <c r="G75" s="145"/>
      <c r="H75" s="166"/>
      <c r="I75" s="27"/>
      <c r="J75" s="287"/>
      <c r="K75" s="44"/>
      <c r="L75" s="254"/>
      <c r="M75" s="27"/>
      <c r="N75" s="148"/>
    </row>
    <row r="76" spans="1:14" s="3" customFormat="1" x14ac:dyDescent="0.2">
      <c r="A76" s="21" t="s">
        <v>349</v>
      </c>
      <c r="B76" s="234"/>
      <c r="C76" s="145"/>
      <c r="D76" s="166"/>
      <c r="E76" s="27"/>
      <c r="F76" s="234"/>
      <c r="G76" s="145"/>
      <c r="H76" s="166"/>
      <c r="I76" s="27"/>
      <c r="J76" s="287"/>
      <c r="K76" s="44"/>
      <c r="L76" s="254"/>
      <c r="M76" s="27"/>
      <c r="N76" s="148"/>
    </row>
    <row r="77" spans="1:14" ht="15.75" x14ac:dyDescent="0.2">
      <c r="A77" s="21" t="s">
        <v>382</v>
      </c>
      <c r="B77" s="234">
        <v>192609</v>
      </c>
      <c r="C77" s="234">
        <v>183550</v>
      </c>
      <c r="D77" s="166">
        <f t="shared" si="10"/>
        <v>-4.7</v>
      </c>
      <c r="E77" s="27">
        <f>IFERROR(100/'Skjema total MA'!C77*C77,0)</f>
        <v>4.4268922015863321</v>
      </c>
      <c r="F77" s="234">
        <v>2235279</v>
      </c>
      <c r="G77" s="145">
        <v>2213570</v>
      </c>
      <c r="H77" s="166">
        <f t="shared" si="11"/>
        <v>-1</v>
      </c>
      <c r="I77" s="27">
        <f>IFERROR(100/'Skjema total MA'!F77*G77,0)</f>
        <v>8.8627799634680056</v>
      </c>
      <c r="J77" s="287">
        <f t="shared" si="12"/>
        <v>2427888</v>
      </c>
      <c r="K77" s="44">
        <f t="shared" si="12"/>
        <v>2397120</v>
      </c>
      <c r="L77" s="254">
        <f t="shared" si="13"/>
        <v>-1.3</v>
      </c>
      <c r="M77" s="27">
        <f>IFERROR(100/'Skjema total MA'!I77*K77,0)</f>
        <v>8.23122562621705</v>
      </c>
    </row>
    <row r="78" spans="1:14" x14ac:dyDescent="0.2">
      <c r="A78" s="21" t="s">
        <v>9</v>
      </c>
      <c r="B78" s="234">
        <v>192609</v>
      </c>
      <c r="C78" s="145">
        <v>183550</v>
      </c>
      <c r="D78" s="166">
        <f t="shared" si="10"/>
        <v>-4.7</v>
      </c>
      <c r="E78" s="27">
        <f>IFERROR(100/'Skjema total MA'!C78*C78,0)</f>
        <v>4.554883015552452</v>
      </c>
      <c r="F78" s="234"/>
      <c r="G78" s="145"/>
      <c r="H78" s="166"/>
      <c r="I78" s="27"/>
      <c r="J78" s="287">
        <f t="shared" si="12"/>
        <v>192609</v>
      </c>
      <c r="K78" s="44">
        <f t="shared" si="12"/>
        <v>183550</v>
      </c>
      <c r="L78" s="254">
        <f t="shared" si="13"/>
        <v>-4.7</v>
      </c>
      <c r="M78" s="27">
        <f>IFERROR(100/'Skjema total MA'!I78*K78,0)</f>
        <v>4.554883015552452</v>
      </c>
    </row>
    <row r="79" spans="1:14" x14ac:dyDescent="0.2">
      <c r="A79" s="21" t="s">
        <v>10</v>
      </c>
      <c r="B79" s="292"/>
      <c r="C79" s="293"/>
      <c r="D79" s="166"/>
      <c r="E79" s="27"/>
      <c r="F79" s="292">
        <v>2235279</v>
      </c>
      <c r="G79" s="293">
        <v>2213570</v>
      </c>
      <c r="H79" s="166">
        <f t="shared" si="11"/>
        <v>-1</v>
      </c>
      <c r="I79" s="27">
        <f>IFERROR(100/'Skjema total MA'!F79*G79,0)</f>
        <v>8.8627799634680056</v>
      </c>
      <c r="J79" s="287">
        <f t="shared" si="12"/>
        <v>2235279</v>
      </c>
      <c r="K79" s="44">
        <f t="shared" si="12"/>
        <v>2213570</v>
      </c>
      <c r="L79" s="254">
        <f t="shared" si="13"/>
        <v>-1</v>
      </c>
      <c r="M79" s="27">
        <f>IFERROR(100/'Skjema total MA'!I79*K79,0)</f>
        <v>8.8216287638208044</v>
      </c>
    </row>
    <row r="80" spans="1:14" ht="15.75" x14ac:dyDescent="0.2">
      <c r="A80" s="296" t="s">
        <v>380</v>
      </c>
      <c r="B80" s="294"/>
      <c r="C80" s="295"/>
      <c r="D80" s="166"/>
      <c r="E80" s="417"/>
      <c r="F80" s="294"/>
      <c r="G80" s="295"/>
      <c r="H80" s="166"/>
      <c r="I80" s="417"/>
      <c r="J80" s="294"/>
      <c r="K80" s="295"/>
      <c r="L80" s="166"/>
      <c r="M80" s="23"/>
    </row>
    <row r="81" spans="1:13" x14ac:dyDescent="0.2">
      <c r="A81" s="296" t="s">
        <v>12</v>
      </c>
      <c r="B81" s="294"/>
      <c r="C81" s="295"/>
      <c r="D81" s="166"/>
      <c r="E81" s="417"/>
      <c r="F81" s="294"/>
      <c r="G81" s="295"/>
      <c r="H81" s="166"/>
      <c r="I81" s="417"/>
      <c r="J81" s="294"/>
      <c r="K81" s="295"/>
      <c r="L81" s="166"/>
      <c r="M81" s="23"/>
    </row>
    <row r="82" spans="1:13" x14ac:dyDescent="0.2">
      <c r="A82" s="296" t="s">
        <v>13</v>
      </c>
      <c r="B82" s="294"/>
      <c r="C82" s="295"/>
      <c r="D82" s="166"/>
      <c r="E82" s="417"/>
      <c r="F82" s="294"/>
      <c r="G82" s="295"/>
      <c r="H82" s="166"/>
      <c r="I82" s="417"/>
      <c r="J82" s="294"/>
      <c r="K82" s="295"/>
      <c r="L82" s="166"/>
      <c r="M82" s="23"/>
    </row>
    <row r="83" spans="1:13" ht="15.75" x14ac:dyDescent="0.2">
      <c r="A83" s="296" t="s">
        <v>381</v>
      </c>
      <c r="B83" s="294"/>
      <c r="C83" s="295"/>
      <c r="D83" s="166"/>
      <c r="E83" s="417"/>
      <c r="F83" s="294"/>
      <c r="G83" s="295"/>
      <c r="H83" s="166"/>
      <c r="I83" s="417"/>
      <c r="J83" s="294"/>
      <c r="K83" s="295"/>
      <c r="L83" s="166"/>
      <c r="M83" s="23"/>
    </row>
    <row r="84" spans="1:13" x14ac:dyDescent="0.2">
      <c r="A84" s="296" t="s">
        <v>12</v>
      </c>
      <c r="B84" s="294"/>
      <c r="C84" s="295"/>
      <c r="D84" s="166"/>
      <c r="E84" s="417"/>
      <c r="F84" s="294"/>
      <c r="G84" s="295"/>
      <c r="H84" s="166"/>
      <c r="I84" s="417"/>
      <c r="J84" s="294"/>
      <c r="K84" s="295"/>
      <c r="L84" s="166"/>
      <c r="M84" s="23"/>
    </row>
    <row r="85" spans="1:13" x14ac:dyDescent="0.2">
      <c r="A85" s="296" t="s">
        <v>13</v>
      </c>
      <c r="B85" s="294"/>
      <c r="C85" s="295"/>
      <c r="D85" s="166"/>
      <c r="E85" s="417"/>
      <c r="F85" s="294"/>
      <c r="G85" s="295"/>
      <c r="H85" s="166"/>
      <c r="I85" s="417"/>
      <c r="J85" s="294"/>
      <c r="K85" s="295"/>
      <c r="L85" s="166"/>
      <c r="M85" s="23"/>
    </row>
    <row r="86" spans="1:13" ht="15.75" x14ac:dyDescent="0.2">
      <c r="A86" s="21" t="s">
        <v>383</v>
      </c>
      <c r="B86" s="234"/>
      <c r="C86" s="145"/>
      <c r="D86" s="166"/>
      <c r="E86" s="27"/>
      <c r="F86" s="234"/>
      <c r="G86" s="145"/>
      <c r="H86" s="166"/>
      <c r="I86" s="27"/>
      <c r="J86" s="287"/>
      <c r="K86" s="44"/>
      <c r="L86" s="254"/>
      <c r="M86" s="27"/>
    </row>
    <row r="87" spans="1:13" ht="15.75" x14ac:dyDescent="0.2">
      <c r="A87" s="13" t="s">
        <v>365</v>
      </c>
      <c r="B87" s="353">
        <v>5236858</v>
      </c>
      <c r="C87" s="353">
        <v>5303510</v>
      </c>
      <c r="D87" s="171">
        <f t="shared" si="10"/>
        <v>1.3</v>
      </c>
      <c r="E87" s="11">
        <f>IFERROR(100/'Skjema total MA'!C87*C87,0)</f>
        <v>1.3480228453319192</v>
      </c>
      <c r="F87" s="352">
        <v>26131349</v>
      </c>
      <c r="G87" s="352">
        <v>29221246</v>
      </c>
      <c r="H87" s="171">
        <f t="shared" si="11"/>
        <v>11.8</v>
      </c>
      <c r="I87" s="11">
        <f>IFERROR(100/'Skjema total MA'!F87*G87,0)</f>
        <v>8.6382916828738114</v>
      </c>
      <c r="J87" s="309">
        <f t="shared" ref="J87:K111" si="14">SUM(B87,F87)</f>
        <v>31368207</v>
      </c>
      <c r="K87" s="236">
        <f t="shared" si="14"/>
        <v>34524756</v>
      </c>
      <c r="L87" s="428">
        <f t="shared" si="13"/>
        <v>10.1</v>
      </c>
      <c r="M87" s="11">
        <f>IFERROR(100/'Skjema total MA'!I87*K87,0)</f>
        <v>4.7184012115408311</v>
      </c>
    </row>
    <row r="88" spans="1:13" x14ac:dyDescent="0.2">
      <c r="A88" s="21" t="s">
        <v>9</v>
      </c>
      <c r="B88" s="234">
        <v>5236858</v>
      </c>
      <c r="C88" s="145">
        <v>5303510</v>
      </c>
      <c r="D88" s="166">
        <f t="shared" si="10"/>
        <v>1.3</v>
      </c>
      <c r="E88" s="27">
        <f>IFERROR(100/'Skjema total MA'!C88*C88,0)</f>
        <v>1.3888214748113379</v>
      </c>
      <c r="F88" s="234"/>
      <c r="G88" s="145"/>
      <c r="H88" s="166"/>
      <c r="I88" s="27"/>
      <c r="J88" s="287">
        <f t="shared" si="14"/>
        <v>5236858</v>
      </c>
      <c r="K88" s="44">
        <f t="shared" si="14"/>
        <v>5303510</v>
      </c>
      <c r="L88" s="254">
        <f t="shared" si="13"/>
        <v>1.3</v>
      </c>
      <c r="M88" s="27">
        <f>IFERROR(100/'Skjema total MA'!I88*K88,0)</f>
        <v>1.3888214748113379</v>
      </c>
    </row>
    <row r="89" spans="1:13" x14ac:dyDescent="0.2">
      <c r="A89" s="21" t="s">
        <v>10</v>
      </c>
      <c r="B89" s="234"/>
      <c r="C89" s="145"/>
      <c r="D89" s="166"/>
      <c r="E89" s="27"/>
      <c r="F89" s="234">
        <v>26131349</v>
      </c>
      <c r="G89" s="145">
        <v>29221246</v>
      </c>
      <c r="H89" s="166">
        <f t="shared" si="11"/>
        <v>11.8</v>
      </c>
      <c r="I89" s="27">
        <f>IFERROR(100/'Skjema total MA'!F89*G89,0)</f>
        <v>8.7044818540525526</v>
      </c>
      <c r="J89" s="287">
        <f t="shared" si="14"/>
        <v>26131349</v>
      </c>
      <c r="K89" s="44">
        <f t="shared" si="14"/>
        <v>29221246</v>
      </c>
      <c r="L89" s="254">
        <f t="shared" si="13"/>
        <v>11.8</v>
      </c>
      <c r="M89" s="27">
        <f>IFERROR(100/'Skjema total MA'!I89*K89,0)</f>
        <v>8.6231048380172801</v>
      </c>
    </row>
    <row r="90" spans="1:13" ht="15.75" x14ac:dyDescent="0.2">
      <c r="A90" s="296" t="s">
        <v>380</v>
      </c>
      <c r="B90" s="294"/>
      <c r="C90" s="295"/>
      <c r="D90" s="166"/>
      <c r="E90" s="417"/>
      <c r="F90" s="294"/>
      <c r="G90" s="295"/>
      <c r="H90" s="166"/>
      <c r="I90" s="417"/>
      <c r="J90" s="294"/>
      <c r="K90" s="295"/>
      <c r="L90" s="166"/>
      <c r="M90" s="23"/>
    </row>
    <row r="91" spans="1:13" x14ac:dyDescent="0.2">
      <c r="A91" s="296" t="s">
        <v>12</v>
      </c>
      <c r="B91" s="294"/>
      <c r="C91" s="295"/>
      <c r="D91" s="166"/>
      <c r="E91" s="417"/>
      <c r="F91" s="294"/>
      <c r="G91" s="295"/>
      <c r="H91" s="166"/>
      <c r="I91" s="417"/>
      <c r="J91" s="294"/>
      <c r="K91" s="295"/>
      <c r="L91" s="166"/>
      <c r="M91" s="23"/>
    </row>
    <row r="92" spans="1:13" x14ac:dyDescent="0.2">
      <c r="A92" s="296" t="s">
        <v>13</v>
      </c>
      <c r="B92" s="294"/>
      <c r="C92" s="295"/>
      <c r="D92" s="166"/>
      <c r="E92" s="417"/>
      <c r="F92" s="294"/>
      <c r="G92" s="295"/>
      <c r="H92" s="166"/>
      <c r="I92" s="417"/>
      <c r="J92" s="294"/>
      <c r="K92" s="295"/>
      <c r="L92" s="166"/>
      <c r="M92" s="23"/>
    </row>
    <row r="93" spans="1:13" ht="15.75" x14ac:dyDescent="0.2">
      <c r="A93" s="296" t="s">
        <v>381</v>
      </c>
      <c r="B93" s="294"/>
      <c r="C93" s="295"/>
      <c r="D93" s="166"/>
      <c r="E93" s="417"/>
      <c r="F93" s="294"/>
      <c r="G93" s="295"/>
      <c r="H93" s="166"/>
      <c r="I93" s="417"/>
      <c r="J93" s="294"/>
      <c r="K93" s="295"/>
      <c r="L93" s="166"/>
      <c r="M93" s="23"/>
    </row>
    <row r="94" spans="1:13" x14ac:dyDescent="0.2">
      <c r="A94" s="296" t="s">
        <v>12</v>
      </c>
      <c r="B94" s="294"/>
      <c r="C94" s="295"/>
      <c r="D94" s="166"/>
      <c r="E94" s="417"/>
      <c r="F94" s="294"/>
      <c r="G94" s="295"/>
      <c r="H94" s="166"/>
      <c r="I94" s="417"/>
      <c r="J94" s="294"/>
      <c r="K94" s="295"/>
      <c r="L94" s="166"/>
      <c r="M94" s="23"/>
    </row>
    <row r="95" spans="1:13" x14ac:dyDescent="0.2">
      <c r="A95" s="296" t="s">
        <v>13</v>
      </c>
      <c r="B95" s="294"/>
      <c r="C95" s="295"/>
      <c r="D95" s="166"/>
      <c r="E95" s="417"/>
      <c r="F95" s="294"/>
      <c r="G95" s="295"/>
      <c r="H95" s="166"/>
      <c r="I95" s="417"/>
      <c r="J95" s="294"/>
      <c r="K95" s="295"/>
      <c r="L95" s="166"/>
      <c r="M95" s="23"/>
    </row>
    <row r="96" spans="1:13" x14ac:dyDescent="0.2">
      <c r="A96" s="21" t="s">
        <v>348</v>
      </c>
      <c r="B96" s="234"/>
      <c r="C96" s="145"/>
      <c r="D96" s="166"/>
      <c r="E96" s="27"/>
      <c r="F96" s="234"/>
      <c r="G96" s="145"/>
      <c r="H96" s="166"/>
      <c r="I96" s="27"/>
      <c r="J96" s="287"/>
      <c r="K96" s="44"/>
      <c r="L96" s="254"/>
      <c r="M96" s="27"/>
    </row>
    <row r="97" spans="1:13" x14ac:dyDescent="0.2">
      <c r="A97" s="21" t="s">
        <v>347</v>
      </c>
      <c r="B97" s="234"/>
      <c r="C97" s="145"/>
      <c r="D97" s="166"/>
      <c r="E97" s="27"/>
      <c r="F97" s="234"/>
      <c r="G97" s="145"/>
      <c r="H97" s="166"/>
      <c r="I97" s="27"/>
      <c r="J97" s="287"/>
      <c r="K97" s="44"/>
      <c r="L97" s="254"/>
      <c r="M97" s="27"/>
    </row>
    <row r="98" spans="1:13" ht="15.75" x14ac:dyDescent="0.2">
      <c r="A98" s="21" t="s">
        <v>382</v>
      </c>
      <c r="B98" s="234">
        <v>5236858</v>
      </c>
      <c r="C98" s="234">
        <v>5303510</v>
      </c>
      <c r="D98" s="166">
        <f t="shared" si="10"/>
        <v>1.3</v>
      </c>
      <c r="E98" s="27">
        <f>IFERROR(100/'Skjema total MA'!C98*C98,0)</f>
        <v>1.39336751439189</v>
      </c>
      <c r="F98" s="292">
        <v>26131349</v>
      </c>
      <c r="G98" s="292">
        <v>29221246</v>
      </c>
      <c r="H98" s="166">
        <f t="shared" si="11"/>
        <v>11.8</v>
      </c>
      <c r="I98" s="27">
        <f>IFERROR(100/'Skjema total MA'!F98*G98,0)</f>
        <v>8.7289986018760821</v>
      </c>
      <c r="J98" s="287">
        <f t="shared" si="14"/>
        <v>31368207</v>
      </c>
      <c r="K98" s="44">
        <f t="shared" si="14"/>
        <v>34524756</v>
      </c>
      <c r="L98" s="254">
        <f t="shared" si="13"/>
        <v>10.1</v>
      </c>
      <c r="M98" s="27">
        <f>IFERROR(100/'Skjema total MA'!I98*K98,0)</f>
        <v>4.8260323092507669</v>
      </c>
    </row>
    <row r="99" spans="1:13" x14ac:dyDescent="0.2">
      <c r="A99" s="21" t="s">
        <v>9</v>
      </c>
      <c r="B99" s="292">
        <v>5236858</v>
      </c>
      <c r="C99" s="293">
        <v>5303510</v>
      </c>
      <c r="D99" s="166">
        <f t="shared" si="10"/>
        <v>1.3</v>
      </c>
      <c r="E99" s="27">
        <f>IFERROR(100/'Skjema total MA'!C99*C99,0)</f>
        <v>1.4050622865938682</v>
      </c>
      <c r="F99" s="234"/>
      <c r="G99" s="145"/>
      <c r="H99" s="166"/>
      <c r="I99" s="27"/>
      <c r="J99" s="287">
        <f t="shared" si="14"/>
        <v>5236858</v>
      </c>
      <c r="K99" s="44">
        <f t="shared" si="14"/>
        <v>5303510</v>
      </c>
      <c r="L99" s="254">
        <f t="shared" si="13"/>
        <v>1.3</v>
      </c>
      <c r="M99" s="27">
        <f>IFERROR(100/'Skjema total MA'!I99*K99,0)</f>
        <v>1.4050622865938682</v>
      </c>
    </row>
    <row r="100" spans="1:13" x14ac:dyDescent="0.2">
      <c r="A100" s="21" t="s">
        <v>10</v>
      </c>
      <c r="B100" s="292"/>
      <c r="C100" s="293"/>
      <c r="D100" s="166"/>
      <c r="E100" s="27"/>
      <c r="F100" s="234">
        <v>26131349</v>
      </c>
      <c r="G100" s="234">
        <v>29221246</v>
      </c>
      <c r="H100" s="166">
        <f t="shared" si="11"/>
        <v>11.8</v>
      </c>
      <c r="I100" s="27">
        <f>IFERROR(100/'Skjema total MA'!F100*G100,0)</f>
        <v>8.7289986018760821</v>
      </c>
      <c r="J100" s="287">
        <f t="shared" si="14"/>
        <v>26131349</v>
      </c>
      <c r="K100" s="44">
        <f t="shared" si="14"/>
        <v>29221246</v>
      </c>
      <c r="L100" s="254">
        <f t="shared" si="13"/>
        <v>11.8</v>
      </c>
      <c r="M100" s="27">
        <f>IFERROR(100/'Skjema total MA'!I100*K100,0)</f>
        <v>8.647164687622233</v>
      </c>
    </row>
    <row r="101" spans="1:13" ht="15.75" x14ac:dyDescent="0.2">
      <c r="A101" s="296" t="s">
        <v>380</v>
      </c>
      <c r="B101" s="294"/>
      <c r="C101" s="295"/>
      <c r="D101" s="166"/>
      <c r="E101" s="417"/>
      <c r="F101" s="294"/>
      <c r="G101" s="295"/>
      <c r="H101" s="166"/>
      <c r="I101" s="417"/>
      <c r="J101" s="294"/>
      <c r="K101" s="295"/>
      <c r="L101" s="166"/>
      <c r="M101" s="23"/>
    </row>
    <row r="102" spans="1:13" x14ac:dyDescent="0.2">
      <c r="A102" s="296" t="s">
        <v>12</v>
      </c>
      <c r="B102" s="294"/>
      <c r="C102" s="295"/>
      <c r="D102" s="166"/>
      <c r="E102" s="417"/>
      <c r="F102" s="294"/>
      <c r="G102" s="295"/>
      <c r="H102" s="166"/>
      <c r="I102" s="417"/>
      <c r="J102" s="294"/>
      <c r="K102" s="295"/>
      <c r="L102" s="166"/>
      <c r="M102" s="23"/>
    </row>
    <row r="103" spans="1:13" x14ac:dyDescent="0.2">
      <c r="A103" s="296" t="s">
        <v>13</v>
      </c>
      <c r="B103" s="294"/>
      <c r="C103" s="295"/>
      <c r="D103" s="166"/>
      <c r="E103" s="417"/>
      <c r="F103" s="294"/>
      <c r="G103" s="295"/>
      <c r="H103" s="166"/>
      <c r="I103" s="417"/>
      <c r="J103" s="294"/>
      <c r="K103" s="295"/>
      <c r="L103" s="166"/>
      <c r="M103" s="23"/>
    </row>
    <row r="104" spans="1:13" ht="15.75" x14ac:dyDescent="0.2">
      <c r="A104" s="296" t="s">
        <v>381</v>
      </c>
      <c r="B104" s="294"/>
      <c r="C104" s="295"/>
      <c r="D104" s="166"/>
      <c r="E104" s="417"/>
      <c r="F104" s="294"/>
      <c r="G104" s="295"/>
      <c r="H104" s="166"/>
      <c r="I104" s="417"/>
      <c r="J104" s="294"/>
      <c r="K104" s="295"/>
      <c r="L104" s="166"/>
      <c r="M104" s="23"/>
    </row>
    <row r="105" spans="1:13" x14ac:dyDescent="0.2">
      <c r="A105" s="296" t="s">
        <v>12</v>
      </c>
      <c r="B105" s="294"/>
      <c r="C105" s="295"/>
      <c r="D105" s="166"/>
      <c r="E105" s="417"/>
      <c r="F105" s="294"/>
      <c r="G105" s="295"/>
      <c r="H105" s="166"/>
      <c r="I105" s="417"/>
      <c r="J105" s="294"/>
      <c r="K105" s="295"/>
      <c r="L105" s="166"/>
      <c r="M105" s="23"/>
    </row>
    <row r="106" spans="1:13" x14ac:dyDescent="0.2">
      <c r="A106" s="296" t="s">
        <v>13</v>
      </c>
      <c r="B106" s="294"/>
      <c r="C106" s="295"/>
      <c r="D106" s="166"/>
      <c r="E106" s="417"/>
      <c r="F106" s="294"/>
      <c r="G106" s="295"/>
      <c r="H106" s="166"/>
      <c r="I106" s="417"/>
      <c r="J106" s="294"/>
      <c r="K106" s="295"/>
      <c r="L106" s="166"/>
      <c r="M106" s="23"/>
    </row>
    <row r="107" spans="1:13" ht="15.75" x14ac:dyDescent="0.2">
      <c r="A107" s="21" t="s">
        <v>383</v>
      </c>
      <c r="B107" s="234"/>
      <c r="C107" s="145"/>
      <c r="D107" s="166"/>
      <c r="E107" s="27"/>
      <c r="F107" s="234"/>
      <c r="G107" s="145"/>
      <c r="H107" s="166"/>
      <c r="I107" s="27"/>
      <c r="J107" s="287"/>
      <c r="K107" s="44"/>
      <c r="L107" s="254"/>
      <c r="M107" s="27"/>
    </row>
    <row r="108" spans="1:13" ht="15.75" x14ac:dyDescent="0.2">
      <c r="A108" s="21" t="s">
        <v>384</v>
      </c>
      <c r="B108" s="234">
        <v>4147811</v>
      </c>
      <c r="C108" s="234">
        <v>4090860</v>
      </c>
      <c r="D108" s="166">
        <f t="shared" si="10"/>
        <v>-1.4</v>
      </c>
      <c r="E108" s="27">
        <f>IFERROR(100/'Skjema total MA'!C108*C108,0)</f>
        <v>1.25735373559631</v>
      </c>
      <c r="F108" s="234"/>
      <c r="G108" s="234"/>
      <c r="H108" s="166"/>
      <c r="I108" s="27"/>
      <c r="J108" s="287">
        <f t="shared" si="14"/>
        <v>4147811</v>
      </c>
      <c r="K108" s="44">
        <f t="shared" si="14"/>
        <v>4090860</v>
      </c>
      <c r="L108" s="254">
        <f t="shared" si="13"/>
        <v>-1.4</v>
      </c>
      <c r="M108" s="27">
        <f>IFERROR(100/'Skjema total MA'!I108*K108,0)</f>
        <v>1.1937209144219205</v>
      </c>
    </row>
    <row r="109" spans="1:13" ht="15.75" x14ac:dyDescent="0.2">
      <c r="A109" s="21" t="s">
        <v>385</v>
      </c>
      <c r="B109" s="234"/>
      <c r="C109" s="234"/>
      <c r="D109" s="166"/>
      <c r="E109" s="27"/>
      <c r="F109" s="234">
        <v>9165954</v>
      </c>
      <c r="G109" s="234">
        <v>10820701</v>
      </c>
      <c r="H109" s="166">
        <f t="shared" si="11"/>
        <v>18.100000000000001</v>
      </c>
      <c r="I109" s="27">
        <f>IFERROR(100/'Skjema total MA'!F109*G109,0)</f>
        <v>9.1533173214216337</v>
      </c>
      <c r="J109" s="287">
        <f t="shared" si="14"/>
        <v>9165954</v>
      </c>
      <c r="K109" s="44">
        <f t="shared" si="14"/>
        <v>10820701</v>
      </c>
      <c r="L109" s="254">
        <f t="shared" si="13"/>
        <v>18.100000000000001</v>
      </c>
      <c r="M109" s="27">
        <f>IFERROR(100/'Skjema total MA'!I109*K109,0)</f>
        <v>9.0729680543330851</v>
      </c>
    </row>
    <row r="110" spans="1:13" ht="15.75" x14ac:dyDescent="0.2">
      <c r="A110" s="21" t="s">
        <v>386</v>
      </c>
      <c r="B110" s="234"/>
      <c r="C110" s="234"/>
      <c r="D110" s="166"/>
      <c r="E110" s="27"/>
      <c r="F110" s="234"/>
      <c r="G110" s="234"/>
      <c r="H110" s="166"/>
      <c r="I110" s="27"/>
      <c r="J110" s="287"/>
      <c r="K110" s="44"/>
      <c r="L110" s="254"/>
      <c r="M110" s="27"/>
    </row>
    <row r="111" spans="1:13" ht="15.75" x14ac:dyDescent="0.2">
      <c r="A111" s="13" t="s">
        <v>366</v>
      </c>
      <c r="B111" s="308">
        <v>71509</v>
      </c>
      <c r="C111" s="159">
        <v>57072</v>
      </c>
      <c r="D111" s="171">
        <f t="shared" si="10"/>
        <v>-20.2</v>
      </c>
      <c r="E111" s="11">
        <f>IFERROR(100/'Skjema total MA'!C111*C111,0)</f>
        <v>8.5880198940299906</v>
      </c>
      <c r="F111" s="308">
        <v>1380660</v>
      </c>
      <c r="G111" s="159">
        <v>1270549</v>
      </c>
      <c r="H111" s="171">
        <f t="shared" si="11"/>
        <v>-8</v>
      </c>
      <c r="I111" s="11">
        <f>IFERROR(100/'Skjema total MA'!F111*G111,0)</f>
        <v>8.6167684509590039</v>
      </c>
      <c r="J111" s="309">
        <f t="shared" si="14"/>
        <v>1452169</v>
      </c>
      <c r="K111" s="236">
        <f t="shared" si="14"/>
        <v>1327621</v>
      </c>
      <c r="L111" s="428">
        <f t="shared" si="13"/>
        <v>-8.6</v>
      </c>
      <c r="M111" s="11">
        <f>IFERROR(100/'Skjema total MA'!I111*K111,0)</f>
        <v>8.6155286444355959</v>
      </c>
    </row>
    <row r="112" spans="1:13" x14ac:dyDescent="0.2">
      <c r="A112" s="21" t="s">
        <v>9</v>
      </c>
      <c r="B112" s="234">
        <v>71509</v>
      </c>
      <c r="C112" s="145">
        <v>57072</v>
      </c>
      <c r="D112" s="166">
        <f t="shared" ref="D112:D120" si="15">IF(B112=0, "    ---- ", IF(ABS(ROUND(100/B112*C112-100,1))&lt;999,ROUND(100/B112*C112-100,1),IF(ROUND(100/B112*C112-100,1)&gt;999,999,-999)))</f>
        <v>-20.2</v>
      </c>
      <c r="E112" s="27">
        <f>IFERROR(100/'Skjema total MA'!C112*C112,0)</f>
        <v>21.652655344567677</v>
      </c>
      <c r="F112" s="234"/>
      <c r="G112" s="145"/>
      <c r="H112" s="166"/>
      <c r="I112" s="27"/>
      <c r="J112" s="287">
        <f t="shared" ref="J112:K125" si="16">SUM(B112,F112)</f>
        <v>71509</v>
      </c>
      <c r="K112" s="44">
        <f t="shared" si="16"/>
        <v>57072</v>
      </c>
      <c r="L112" s="254">
        <f t="shared" ref="L112:L125" si="17">IF(J112=0, "    ---- ", IF(ABS(ROUND(100/J112*K112-100,1))&lt;999,ROUND(100/J112*K112-100,1),IF(ROUND(100/J112*K112-100,1)&gt;999,999,-999)))</f>
        <v>-20.2</v>
      </c>
      <c r="M112" s="27">
        <f>IFERROR(100/'Skjema total MA'!I112*K112,0)</f>
        <v>21.314135312221794</v>
      </c>
    </row>
    <row r="113" spans="1:14" x14ac:dyDescent="0.2">
      <c r="A113" s="21" t="s">
        <v>10</v>
      </c>
      <c r="B113" s="234"/>
      <c r="C113" s="145"/>
      <c r="D113" s="166"/>
      <c r="E113" s="27"/>
      <c r="F113" s="234">
        <v>1380660</v>
      </c>
      <c r="G113" s="145">
        <v>1270549</v>
      </c>
      <c r="H113" s="166">
        <f t="shared" ref="H113:H125" si="18">IF(F113=0, "    ---- ", IF(ABS(ROUND(100/F113*G113-100,1))&lt;999,ROUND(100/F113*G113-100,1),IF(ROUND(100/F113*G113-100,1)&gt;999,999,-999)))</f>
        <v>-8</v>
      </c>
      <c r="I113" s="27">
        <f>IFERROR(100/'Skjema total MA'!F113*G113,0)</f>
        <v>8.6597194238140265</v>
      </c>
      <c r="J113" s="287">
        <f t="shared" si="16"/>
        <v>1380660</v>
      </c>
      <c r="K113" s="44">
        <f t="shared" si="16"/>
        <v>1270549</v>
      </c>
      <c r="L113" s="254">
        <f t="shared" si="17"/>
        <v>-8</v>
      </c>
      <c r="M113" s="27">
        <f>IFERROR(100/'Skjema total MA'!I113*K113,0)</f>
        <v>8.6567129227187376</v>
      </c>
    </row>
    <row r="114" spans="1:14" x14ac:dyDescent="0.2">
      <c r="A114" s="21" t="s">
        <v>26</v>
      </c>
      <c r="B114" s="234"/>
      <c r="C114" s="145"/>
      <c r="D114" s="166"/>
      <c r="E114" s="27"/>
      <c r="F114" s="234"/>
      <c r="G114" s="145"/>
      <c r="H114" s="166"/>
      <c r="I114" s="27"/>
      <c r="J114" s="287"/>
      <c r="K114" s="44"/>
      <c r="L114" s="254"/>
      <c r="M114" s="27"/>
    </row>
    <row r="115" spans="1:14" x14ac:dyDescent="0.2">
      <c r="A115" s="296" t="s">
        <v>15</v>
      </c>
      <c r="B115" s="294"/>
      <c r="C115" s="295"/>
      <c r="D115" s="166"/>
      <c r="E115" s="417"/>
      <c r="F115" s="294"/>
      <c r="G115" s="295"/>
      <c r="H115" s="166"/>
      <c r="I115" s="417"/>
      <c r="J115" s="294"/>
      <c r="K115" s="295"/>
      <c r="L115" s="166"/>
      <c r="M115" s="23"/>
    </row>
    <row r="116" spans="1:14" ht="15.75" x14ac:dyDescent="0.2">
      <c r="A116" s="21" t="s">
        <v>387</v>
      </c>
      <c r="B116" s="234">
        <v>12498</v>
      </c>
      <c r="C116" s="234">
        <v>4194</v>
      </c>
      <c r="D116" s="166">
        <f t="shared" si="15"/>
        <v>-66.400000000000006</v>
      </c>
      <c r="E116" s="27">
        <f>IFERROR(100/'Skjema total MA'!C116*C116,0)</f>
        <v>6.581650151476631</v>
      </c>
      <c r="F116" s="234"/>
      <c r="G116" s="234"/>
      <c r="H116" s="166"/>
      <c r="I116" s="27"/>
      <c r="J116" s="287">
        <f t="shared" si="16"/>
        <v>12498</v>
      </c>
      <c r="K116" s="44">
        <f t="shared" si="16"/>
        <v>4194</v>
      </c>
      <c r="L116" s="254">
        <f t="shared" si="17"/>
        <v>-66.400000000000006</v>
      </c>
      <c r="M116" s="27">
        <f>IFERROR(100/'Skjema total MA'!I116*K116,0)</f>
        <v>6.1759205872434961</v>
      </c>
    </row>
    <row r="117" spans="1:14" ht="15.75" x14ac:dyDescent="0.2">
      <c r="A117" s="21" t="s">
        <v>388</v>
      </c>
      <c r="B117" s="234"/>
      <c r="C117" s="234"/>
      <c r="D117" s="166"/>
      <c r="E117" s="27"/>
      <c r="F117" s="234">
        <v>163678</v>
      </c>
      <c r="G117" s="234">
        <v>145648</v>
      </c>
      <c r="H117" s="166">
        <f t="shared" si="18"/>
        <v>-11</v>
      </c>
      <c r="I117" s="27">
        <f>IFERROR(100/'Skjema total MA'!F117*G117,0)</f>
        <v>6.1497654413872818</v>
      </c>
      <c r="J117" s="287">
        <f t="shared" si="16"/>
        <v>163678</v>
      </c>
      <c r="K117" s="44">
        <f t="shared" si="16"/>
        <v>145648</v>
      </c>
      <c r="L117" s="254">
        <f t="shared" si="17"/>
        <v>-11</v>
      </c>
      <c r="M117" s="27">
        <f>IFERROR(100/'Skjema total MA'!I117*K117,0)</f>
        <v>6.1497654413872818</v>
      </c>
    </row>
    <row r="118" spans="1:14" ht="15.75" x14ac:dyDescent="0.2">
      <c r="A118" s="21" t="s">
        <v>386</v>
      </c>
      <c r="B118" s="234"/>
      <c r="C118" s="234"/>
      <c r="D118" s="166"/>
      <c r="E118" s="27"/>
      <c r="F118" s="234"/>
      <c r="G118" s="234"/>
      <c r="H118" s="166"/>
      <c r="I118" s="27"/>
      <c r="J118" s="287"/>
      <c r="K118" s="44"/>
      <c r="L118" s="254"/>
      <c r="M118" s="27"/>
    </row>
    <row r="119" spans="1:14" ht="15.75" x14ac:dyDescent="0.2">
      <c r="A119" s="13" t="s">
        <v>367</v>
      </c>
      <c r="B119" s="308">
        <v>31866</v>
      </c>
      <c r="C119" s="159">
        <v>111893</v>
      </c>
      <c r="D119" s="171">
        <f t="shared" si="15"/>
        <v>251.1</v>
      </c>
      <c r="E119" s="11">
        <f>IFERROR(100/'Skjema total MA'!C119*C119,0)</f>
        <v>15.221135707375158</v>
      </c>
      <c r="F119" s="308">
        <v>1791365</v>
      </c>
      <c r="G119" s="159">
        <v>2239488</v>
      </c>
      <c r="H119" s="171">
        <f t="shared" si="18"/>
        <v>25</v>
      </c>
      <c r="I119" s="11">
        <f>IFERROR(100/'Skjema total MA'!F119*G119,0)</f>
        <v>15.269987398285616</v>
      </c>
      <c r="J119" s="309">
        <f t="shared" si="16"/>
        <v>1823231</v>
      </c>
      <c r="K119" s="236">
        <f t="shared" si="16"/>
        <v>2351381</v>
      </c>
      <c r="L119" s="428">
        <f t="shared" si="17"/>
        <v>29</v>
      </c>
      <c r="M119" s="11">
        <f>IFERROR(100/'Skjema total MA'!I119*K119,0)</f>
        <v>15.267655633111094</v>
      </c>
    </row>
    <row r="120" spans="1:14" x14ac:dyDescent="0.2">
      <c r="A120" s="21" t="s">
        <v>9</v>
      </c>
      <c r="B120" s="234">
        <v>31866</v>
      </c>
      <c r="C120" s="145">
        <v>111893</v>
      </c>
      <c r="D120" s="166">
        <f t="shared" si="15"/>
        <v>251.1</v>
      </c>
      <c r="E120" s="27">
        <f>IFERROR(100/'Skjema total MA'!C120*C120,0)</f>
        <v>19.899046338386519</v>
      </c>
      <c r="F120" s="234"/>
      <c r="G120" s="145"/>
      <c r="H120" s="166"/>
      <c r="I120" s="27"/>
      <c r="J120" s="287">
        <f t="shared" si="16"/>
        <v>31866</v>
      </c>
      <c r="K120" s="44">
        <f t="shared" si="16"/>
        <v>111893</v>
      </c>
      <c r="L120" s="254">
        <f t="shared" si="17"/>
        <v>251.1</v>
      </c>
      <c r="M120" s="27">
        <f>IFERROR(100/'Skjema total MA'!I120*K120,0)</f>
        <v>19.899046338386519</v>
      </c>
    </row>
    <row r="121" spans="1:14" x14ac:dyDescent="0.2">
      <c r="A121" s="21" t="s">
        <v>10</v>
      </c>
      <c r="B121" s="234"/>
      <c r="C121" s="145"/>
      <c r="D121" s="166"/>
      <c r="E121" s="27"/>
      <c r="F121" s="234">
        <v>1791365</v>
      </c>
      <c r="G121" s="145">
        <v>2239488</v>
      </c>
      <c r="H121" s="166">
        <f t="shared" si="18"/>
        <v>25</v>
      </c>
      <c r="I121" s="27">
        <f>IFERROR(100/'Skjema total MA'!F121*G121,0)</f>
        <v>15.269987398285616</v>
      </c>
      <c r="J121" s="287">
        <f t="shared" si="16"/>
        <v>1791365</v>
      </c>
      <c r="K121" s="44">
        <f t="shared" si="16"/>
        <v>2239488</v>
      </c>
      <c r="L121" s="254">
        <f t="shared" si="17"/>
        <v>25</v>
      </c>
      <c r="M121" s="27">
        <f>IFERROR(100/'Skjema total MA'!I121*K121,0)</f>
        <v>15.264256658002925</v>
      </c>
    </row>
    <row r="122" spans="1:14" x14ac:dyDescent="0.2">
      <c r="A122" s="21" t="s">
        <v>26</v>
      </c>
      <c r="B122" s="234"/>
      <c r="C122" s="145"/>
      <c r="D122" s="166"/>
      <c r="E122" s="27"/>
      <c r="F122" s="234"/>
      <c r="G122" s="145"/>
      <c r="H122" s="166"/>
      <c r="I122" s="27"/>
      <c r="J122" s="287"/>
      <c r="K122" s="44"/>
      <c r="L122" s="254"/>
      <c r="M122" s="27"/>
    </row>
    <row r="123" spans="1:14" x14ac:dyDescent="0.2">
      <c r="A123" s="296" t="s">
        <v>14</v>
      </c>
      <c r="B123" s="294"/>
      <c r="C123" s="295"/>
      <c r="D123" s="166"/>
      <c r="E123" s="417"/>
      <c r="F123" s="294"/>
      <c r="G123" s="295"/>
      <c r="H123" s="166"/>
      <c r="I123" s="417"/>
      <c r="J123" s="294"/>
      <c r="K123" s="295"/>
      <c r="L123" s="166"/>
      <c r="M123" s="23"/>
    </row>
    <row r="124" spans="1:14" ht="15.75" x14ac:dyDescent="0.2">
      <c r="A124" s="21" t="s">
        <v>393</v>
      </c>
      <c r="B124" s="234"/>
      <c r="C124" s="234"/>
      <c r="D124" s="166"/>
      <c r="E124" s="27"/>
      <c r="F124" s="234"/>
      <c r="G124" s="234"/>
      <c r="H124" s="166"/>
      <c r="I124" s="27"/>
      <c r="J124" s="287"/>
      <c r="K124" s="44"/>
      <c r="L124" s="254"/>
      <c r="M124" s="27"/>
    </row>
    <row r="125" spans="1:14" ht="15.75" x14ac:dyDescent="0.2">
      <c r="A125" s="21" t="s">
        <v>385</v>
      </c>
      <c r="B125" s="234"/>
      <c r="C125" s="234"/>
      <c r="D125" s="166"/>
      <c r="E125" s="27"/>
      <c r="F125" s="234">
        <v>503473</v>
      </c>
      <c r="G125" s="234">
        <v>319086</v>
      </c>
      <c r="H125" s="166">
        <f t="shared" si="18"/>
        <v>-36.6</v>
      </c>
      <c r="I125" s="27">
        <f>IFERROR(100/'Skjema total MA'!F125*G125,0)</f>
        <v>12.173891496113407</v>
      </c>
      <c r="J125" s="287">
        <f t="shared" si="16"/>
        <v>503473</v>
      </c>
      <c r="K125" s="44">
        <f t="shared" si="16"/>
        <v>319086</v>
      </c>
      <c r="L125" s="254">
        <f t="shared" si="17"/>
        <v>-36.6</v>
      </c>
      <c r="M125" s="27">
        <f>IFERROR(100/'Skjema total MA'!I125*K125,0)</f>
        <v>12.167545382119135</v>
      </c>
    </row>
    <row r="126" spans="1:14" ht="15.75" x14ac:dyDescent="0.2">
      <c r="A126" s="10" t="s">
        <v>386</v>
      </c>
      <c r="B126" s="45"/>
      <c r="C126" s="45"/>
      <c r="D126" s="167"/>
      <c r="E126" s="418"/>
      <c r="F126" s="45"/>
      <c r="G126" s="45"/>
      <c r="H126" s="167"/>
      <c r="I126" s="22"/>
      <c r="J126" s="288"/>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35"/>
      <c r="C130" s="735"/>
      <c r="D130" s="735"/>
      <c r="E130" s="299"/>
      <c r="F130" s="735"/>
      <c r="G130" s="735"/>
      <c r="H130" s="735"/>
      <c r="I130" s="299"/>
      <c r="J130" s="735"/>
      <c r="K130" s="735"/>
      <c r="L130" s="735"/>
      <c r="M130" s="299"/>
    </row>
    <row r="131" spans="1:14" s="3" customFormat="1" x14ac:dyDescent="0.2">
      <c r="A131" s="144"/>
      <c r="B131" s="733" t="s">
        <v>0</v>
      </c>
      <c r="C131" s="734"/>
      <c r="D131" s="734"/>
      <c r="E131" s="301"/>
      <c r="F131" s="733" t="s">
        <v>1</v>
      </c>
      <c r="G131" s="734"/>
      <c r="H131" s="734"/>
      <c r="I131" s="304"/>
      <c r="J131" s="733" t="s">
        <v>2</v>
      </c>
      <c r="K131" s="734"/>
      <c r="L131" s="734"/>
      <c r="M131" s="304"/>
      <c r="N131" s="148"/>
    </row>
    <row r="132" spans="1:14" s="3" customFormat="1" x14ac:dyDescent="0.2">
      <c r="A132" s="140"/>
      <c r="B132" s="152" t="s">
        <v>421</v>
      </c>
      <c r="C132" s="152" t="s">
        <v>422</v>
      </c>
      <c r="D132" s="245" t="s">
        <v>3</v>
      </c>
      <c r="E132" s="305" t="s">
        <v>29</v>
      </c>
      <c r="F132" s="152" t="s">
        <v>421</v>
      </c>
      <c r="G132" s="152" t="s">
        <v>422</v>
      </c>
      <c r="H132" s="206" t="s">
        <v>3</v>
      </c>
      <c r="I132" s="162" t="s">
        <v>29</v>
      </c>
      <c r="J132" s="152" t="s">
        <v>421</v>
      </c>
      <c r="K132" s="152" t="s">
        <v>422</v>
      </c>
      <c r="L132" s="246" t="s">
        <v>3</v>
      </c>
      <c r="M132" s="162" t="s">
        <v>29</v>
      </c>
      <c r="N132" s="148"/>
    </row>
    <row r="133" spans="1:14" s="3" customFormat="1" x14ac:dyDescent="0.2">
      <c r="A133" s="708"/>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389</v>
      </c>
      <c r="B134" s="236"/>
      <c r="C134" s="309"/>
      <c r="D134" s="350"/>
      <c r="E134" s="11"/>
      <c r="F134" s="316"/>
      <c r="G134" s="317"/>
      <c r="H134" s="431"/>
      <c r="I134" s="24"/>
      <c r="J134" s="318"/>
      <c r="K134" s="318"/>
      <c r="L134" s="427"/>
      <c r="M134" s="11"/>
      <c r="N134" s="148"/>
    </row>
    <row r="135" spans="1:14" s="3" customFormat="1" ht="15.75" x14ac:dyDescent="0.2">
      <c r="A135" s="13" t="s">
        <v>394</v>
      </c>
      <c r="B135" s="236"/>
      <c r="C135" s="309"/>
      <c r="D135" s="171"/>
      <c r="E135" s="11"/>
      <c r="F135" s="236"/>
      <c r="G135" s="309"/>
      <c r="H135" s="432"/>
      <c r="I135" s="24"/>
      <c r="J135" s="308"/>
      <c r="K135" s="308"/>
      <c r="L135" s="428"/>
      <c r="M135" s="11"/>
      <c r="N135" s="148"/>
    </row>
    <row r="136" spans="1:14" s="3" customFormat="1" ht="15.75" x14ac:dyDescent="0.2">
      <c r="A136" s="13" t="s">
        <v>391</v>
      </c>
      <c r="B136" s="236"/>
      <c r="C136" s="309"/>
      <c r="D136" s="171"/>
      <c r="E136" s="11"/>
      <c r="F136" s="236"/>
      <c r="G136" s="309"/>
      <c r="H136" s="432"/>
      <c r="I136" s="24"/>
      <c r="J136" s="308"/>
      <c r="K136" s="308"/>
      <c r="L136" s="428"/>
      <c r="M136" s="11"/>
      <c r="N136" s="148"/>
    </row>
    <row r="137" spans="1:14" s="3" customFormat="1" ht="15.75" x14ac:dyDescent="0.2">
      <c r="A137" s="41" t="s">
        <v>392</v>
      </c>
      <c r="B137" s="276"/>
      <c r="C137" s="315"/>
      <c r="D137" s="169"/>
      <c r="E137" s="9"/>
      <c r="F137" s="276"/>
      <c r="G137" s="315"/>
      <c r="H137" s="433"/>
      <c r="I137" s="36"/>
      <c r="J137" s="314"/>
      <c r="K137" s="314"/>
      <c r="L137" s="429"/>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348" priority="132">
      <formula>kvartal &lt; 4</formula>
    </cfRule>
  </conditionalFormatting>
  <conditionalFormatting sqref="A50:A52">
    <cfRule type="expression" dxfId="347" priority="12">
      <formula>kvartal &lt; 4</formula>
    </cfRule>
  </conditionalFormatting>
  <conditionalFormatting sqref="A69:A74">
    <cfRule type="expression" dxfId="346" priority="10">
      <formula>kvartal &lt; 4</formula>
    </cfRule>
  </conditionalFormatting>
  <conditionalFormatting sqref="A80:A85">
    <cfRule type="expression" dxfId="345" priority="9">
      <formula>kvartal &lt; 4</formula>
    </cfRule>
  </conditionalFormatting>
  <conditionalFormatting sqref="A90:A95">
    <cfRule type="expression" dxfId="344" priority="6">
      <formula>kvartal &lt; 4</formula>
    </cfRule>
  </conditionalFormatting>
  <conditionalFormatting sqref="A101:A106">
    <cfRule type="expression" dxfId="343" priority="5">
      <formula>kvartal &lt; 4</formula>
    </cfRule>
  </conditionalFormatting>
  <conditionalFormatting sqref="A115">
    <cfRule type="expression" dxfId="342" priority="4">
      <formula>kvartal &lt; 4</formula>
    </cfRule>
  </conditionalFormatting>
  <conditionalFormatting sqref="A123">
    <cfRule type="expression" dxfId="341" priority="3">
      <formula>kvartal &lt; 4</formula>
    </cfRule>
  </conditionalFormatting>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18"/>
  <dimension ref="A1:N144"/>
  <sheetViews>
    <sheetView showGridLines="0" zoomScaleNormal="100" workbookViewId="0">
      <selection activeCell="A3" sqref="A3"/>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135</v>
      </c>
      <c r="B1" s="709"/>
      <c r="C1" s="248" t="s">
        <v>90</v>
      </c>
      <c r="D1" s="26"/>
      <c r="E1" s="26"/>
      <c r="F1" s="26"/>
      <c r="G1" s="26"/>
      <c r="H1" s="26"/>
      <c r="I1" s="26"/>
      <c r="J1" s="26"/>
      <c r="K1" s="26"/>
      <c r="L1" s="26"/>
      <c r="M1" s="26"/>
    </row>
    <row r="2" spans="1:14" ht="15.75" x14ac:dyDescent="0.25">
      <c r="A2" s="165" t="s">
        <v>28</v>
      </c>
      <c r="B2" s="732"/>
      <c r="C2" s="732"/>
      <c r="D2" s="732"/>
      <c r="E2" s="299"/>
      <c r="F2" s="732"/>
      <c r="G2" s="732"/>
      <c r="H2" s="732"/>
      <c r="I2" s="299"/>
      <c r="J2" s="732"/>
      <c r="K2" s="732"/>
      <c r="L2" s="732"/>
      <c r="M2" s="299"/>
    </row>
    <row r="3" spans="1:14" ht="15.75" x14ac:dyDescent="0.25">
      <c r="A3" s="163"/>
      <c r="B3" s="299"/>
      <c r="C3" s="299"/>
      <c r="D3" s="299"/>
      <c r="E3" s="299"/>
      <c r="F3" s="299"/>
      <c r="G3" s="299"/>
      <c r="H3" s="299"/>
      <c r="I3" s="299"/>
      <c r="J3" s="299"/>
      <c r="K3" s="299"/>
      <c r="L3" s="299"/>
      <c r="M3" s="299"/>
    </row>
    <row r="4" spans="1:14" x14ac:dyDescent="0.2">
      <c r="A4" s="144"/>
      <c r="B4" s="733" t="s">
        <v>0</v>
      </c>
      <c r="C4" s="734"/>
      <c r="D4" s="734"/>
      <c r="E4" s="301"/>
      <c r="F4" s="733" t="s">
        <v>1</v>
      </c>
      <c r="G4" s="734"/>
      <c r="H4" s="734"/>
      <c r="I4" s="304"/>
      <c r="J4" s="733" t="s">
        <v>2</v>
      </c>
      <c r="K4" s="734"/>
      <c r="L4" s="734"/>
      <c r="M4" s="304"/>
    </row>
    <row r="5" spans="1:14" x14ac:dyDescent="0.2">
      <c r="A5" s="158"/>
      <c r="B5" s="152" t="s">
        <v>421</v>
      </c>
      <c r="C5" s="152" t="s">
        <v>422</v>
      </c>
      <c r="D5" s="245" t="s">
        <v>3</v>
      </c>
      <c r="E5" s="305" t="s">
        <v>29</v>
      </c>
      <c r="F5" s="152" t="s">
        <v>421</v>
      </c>
      <c r="G5" s="152" t="s">
        <v>422</v>
      </c>
      <c r="H5" s="245" t="s">
        <v>3</v>
      </c>
      <c r="I5" s="162" t="s">
        <v>29</v>
      </c>
      <c r="J5" s="152" t="s">
        <v>421</v>
      </c>
      <c r="K5" s="152" t="s">
        <v>422</v>
      </c>
      <c r="L5" s="245" t="s">
        <v>3</v>
      </c>
      <c r="M5" s="162" t="s">
        <v>29</v>
      </c>
    </row>
    <row r="6" spans="1:14" x14ac:dyDescent="0.2">
      <c r="A6" s="707"/>
      <c r="B6" s="156"/>
      <c r="C6" s="156"/>
      <c r="D6" s="246" t="s">
        <v>4</v>
      </c>
      <c r="E6" s="156" t="s">
        <v>30</v>
      </c>
      <c r="F6" s="161"/>
      <c r="G6" s="161"/>
      <c r="H6" s="245" t="s">
        <v>4</v>
      </c>
      <c r="I6" s="156" t="s">
        <v>30</v>
      </c>
      <c r="J6" s="161"/>
      <c r="K6" s="161"/>
      <c r="L6" s="245" t="s">
        <v>4</v>
      </c>
      <c r="M6" s="156" t="s">
        <v>30</v>
      </c>
    </row>
    <row r="7" spans="1:14" ht="15.75" x14ac:dyDescent="0.2">
      <c r="A7" s="14" t="s">
        <v>23</v>
      </c>
      <c r="B7" s="306">
        <v>26473.682000000001</v>
      </c>
      <c r="C7" s="307">
        <v>26019.714</v>
      </c>
      <c r="D7" s="350">
        <f>IF(B7=0, "    ---- ", IF(ABS(ROUND(100/B7*C7-100,1))&lt;999,ROUND(100/B7*C7-100,1),IF(ROUND(100/B7*C7-100,1)&gt;999,999,-999)))</f>
        <v>-1.7</v>
      </c>
      <c r="E7" s="11">
        <f>IFERROR(100/'Skjema total MA'!C7*C7,0)</f>
        <v>0.7051294376341144</v>
      </c>
      <c r="F7" s="306"/>
      <c r="G7" s="307"/>
      <c r="H7" s="350"/>
      <c r="I7" s="160"/>
      <c r="J7" s="308">
        <f t="shared" ref="J7:K10" si="0">SUM(B7,F7)</f>
        <v>26473.682000000001</v>
      </c>
      <c r="K7" s="309">
        <f t="shared" si="0"/>
        <v>26019.714</v>
      </c>
      <c r="L7" s="427">
        <f>IF(J7=0, "    ---- ", IF(ABS(ROUND(100/J7*K7-100,1))&lt;999,ROUND(100/J7*K7-100,1),IF(ROUND(100/J7*K7-100,1)&gt;999,999,-999)))</f>
        <v>-1.7</v>
      </c>
      <c r="M7" s="11">
        <f>IFERROR(100/'Skjema total MA'!I7*K7,0)</f>
        <v>0.24560861603299572</v>
      </c>
    </row>
    <row r="8" spans="1:14" ht="15.75" x14ac:dyDescent="0.2">
      <c r="A8" s="21" t="s">
        <v>25</v>
      </c>
      <c r="B8" s="281">
        <v>16314.1776749</v>
      </c>
      <c r="C8" s="282">
        <v>16053.1136198</v>
      </c>
      <c r="D8" s="166">
        <f t="shared" ref="D8:D10" si="1">IF(B8=0, "    ---- ", IF(ABS(ROUND(100/B8*C8-100,1))&lt;999,ROUND(100/B8*C8-100,1),IF(ROUND(100/B8*C8-100,1)&gt;999,999,-999)))</f>
        <v>-1.6</v>
      </c>
      <c r="E8" s="27">
        <f>IFERROR(100/'Skjema total MA'!C8*C8,0)</f>
        <v>0.66359122708419316</v>
      </c>
      <c r="F8" s="285"/>
      <c r="G8" s="286"/>
      <c r="H8" s="166"/>
      <c r="I8" s="175"/>
      <c r="J8" s="234">
        <f t="shared" si="0"/>
        <v>16314.1776749</v>
      </c>
      <c r="K8" s="287">
        <f t="shared" si="0"/>
        <v>16053.1136198</v>
      </c>
      <c r="L8" s="166">
        <f t="shared" ref="L8:L9" si="2">IF(J8=0, "    ---- ", IF(ABS(ROUND(100/J8*K8-100,1))&lt;999,ROUND(100/J8*K8-100,1),IF(ROUND(100/J8*K8-100,1)&gt;999,999,-999)))</f>
        <v>-1.6</v>
      </c>
      <c r="M8" s="27">
        <f>IFERROR(100/'Skjema total MA'!I8*K8,0)</f>
        <v>0.66359122708419316</v>
      </c>
    </row>
    <row r="9" spans="1:14" ht="15.75" x14ac:dyDescent="0.2">
      <c r="A9" s="21" t="s">
        <v>24</v>
      </c>
      <c r="B9" s="281">
        <v>9789.5200932999996</v>
      </c>
      <c r="C9" s="282">
        <v>9615.7472765999992</v>
      </c>
      <c r="D9" s="166">
        <f t="shared" si="1"/>
        <v>-1.8</v>
      </c>
      <c r="E9" s="27">
        <f>IFERROR(100/'Skjema total MA'!C9*C9,0)</f>
        <v>1.2745569170270845</v>
      </c>
      <c r="F9" s="285"/>
      <c r="G9" s="286"/>
      <c r="H9" s="166"/>
      <c r="I9" s="175"/>
      <c r="J9" s="234">
        <f t="shared" si="0"/>
        <v>9789.5200932999996</v>
      </c>
      <c r="K9" s="287">
        <f t="shared" si="0"/>
        <v>9615.7472765999992</v>
      </c>
      <c r="L9" s="166">
        <f t="shared" si="2"/>
        <v>-1.8</v>
      </c>
      <c r="M9" s="27">
        <f>IFERROR(100/'Skjema total MA'!I9*K9,0)</f>
        <v>1.2745569170270845</v>
      </c>
    </row>
    <row r="10" spans="1:14" ht="15.75" x14ac:dyDescent="0.2">
      <c r="A10" s="13" t="s">
        <v>365</v>
      </c>
      <c r="B10" s="310">
        <v>26411.660874665598</v>
      </c>
      <c r="C10" s="311">
        <v>19839.109037751499</v>
      </c>
      <c r="D10" s="171">
        <f t="shared" si="1"/>
        <v>-24.9</v>
      </c>
      <c r="E10" s="11">
        <f>IFERROR(100/'Skjema total MA'!C10*C10,0)</f>
        <v>0.11003323272582109</v>
      </c>
      <c r="F10" s="310"/>
      <c r="G10" s="311"/>
      <c r="H10" s="171"/>
      <c r="I10" s="160"/>
      <c r="J10" s="308">
        <f t="shared" si="0"/>
        <v>26411.660874665598</v>
      </c>
      <c r="K10" s="309">
        <f t="shared" si="0"/>
        <v>19839.109037751499</v>
      </c>
      <c r="L10" s="428">
        <f t="shared" ref="L10" si="3">IF(J10=0, "    ---- ", IF(ABS(ROUND(100/J10*K10-100,1))&lt;999,ROUND(100/J10*K10-100,1),IF(ROUND(100/J10*K10-100,1)&gt;999,999,-999)))</f>
        <v>-24.9</v>
      </c>
      <c r="M10" s="11">
        <f>IFERROR(100/'Skjema total MA'!I10*K10,0)</f>
        <v>2.7019540398997999E-2</v>
      </c>
    </row>
    <row r="11" spans="1:14" s="43" customFormat="1" ht="15.75" x14ac:dyDescent="0.2">
      <c r="A11" s="13" t="s">
        <v>366</v>
      </c>
      <c r="B11" s="310"/>
      <c r="C11" s="311"/>
      <c r="D11" s="171"/>
      <c r="E11" s="11"/>
      <c r="F11" s="310"/>
      <c r="G11" s="311"/>
      <c r="H11" s="171"/>
      <c r="I11" s="160"/>
      <c r="J11" s="308"/>
      <c r="K11" s="309"/>
      <c r="L11" s="428"/>
      <c r="M11" s="11"/>
      <c r="N11" s="143"/>
    </row>
    <row r="12" spans="1:14" s="43" customFormat="1" ht="15.75" x14ac:dyDescent="0.2">
      <c r="A12" s="41" t="s">
        <v>367</v>
      </c>
      <c r="B12" s="312"/>
      <c r="C12" s="313"/>
      <c r="D12" s="169"/>
      <c r="E12" s="36"/>
      <c r="F12" s="312"/>
      <c r="G12" s="313"/>
      <c r="H12" s="169"/>
      <c r="I12" s="169"/>
      <c r="J12" s="314"/>
      <c r="K12" s="315"/>
      <c r="L12" s="429"/>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275</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272</v>
      </c>
      <c r="B17" s="157"/>
      <c r="C17" s="157"/>
      <c r="D17" s="151"/>
      <c r="E17" s="151"/>
      <c r="F17" s="157"/>
      <c r="G17" s="157"/>
      <c r="H17" s="157"/>
      <c r="I17" s="157"/>
      <c r="J17" s="157"/>
      <c r="K17" s="157"/>
      <c r="L17" s="157"/>
      <c r="M17" s="157"/>
    </row>
    <row r="18" spans="1:14" ht="15.75" x14ac:dyDescent="0.25">
      <c r="B18" s="735"/>
      <c r="C18" s="735"/>
      <c r="D18" s="735"/>
      <c r="E18" s="299"/>
      <c r="F18" s="735"/>
      <c r="G18" s="735"/>
      <c r="H18" s="735"/>
      <c r="I18" s="299"/>
      <c r="J18" s="735"/>
      <c r="K18" s="735"/>
      <c r="L18" s="735"/>
      <c r="M18" s="299"/>
    </row>
    <row r="19" spans="1:14" x14ac:dyDescent="0.2">
      <c r="A19" s="144"/>
      <c r="B19" s="733" t="s">
        <v>0</v>
      </c>
      <c r="C19" s="734"/>
      <c r="D19" s="734"/>
      <c r="E19" s="301"/>
      <c r="F19" s="733" t="s">
        <v>1</v>
      </c>
      <c r="G19" s="734"/>
      <c r="H19" s="734"/>
      <c r="I19" s="304"/>
      <c r="J19" s="733" t="s">
        <v>2</v>
      </c>
      <c r="K19" s="734"/>
      <c r="L19" s="734"/>
      <c r="M19" s="304"/>
    </row>
    <row r="20" spans="1:14" x14ac:dyDescent="0.2">
      <c r="A20" s="140" t="s">
        <v>5</v>
      </c>
      <c r="B20" s="152" t="s">
        <v>421</v>
      </c>
      <c r="C20" s="152" t="s">
        <v>422</v>
      </c>
      <c r="D20" s="162" t="s">
        <v>3</v>
      </c>
      <c r="E20" s="305" t="s">
        <v>29</v>
      </c>
      <c r="F20" s="152" t="s">
        <v>421</v>
      </c>
      <c r="G20" s="152" t="s">
        <v>422</v>
      </c>
      <c r="H20" s="162" t="s">
        <v>3</v>
      </c>
      <c r="I20" s="162" t="s">
        <v>29</v>
      </c>
      <c r="J20" s="152" t="s">
        <v>421</v>
      </c>
      <c r="K20" s="152" t="s">
        <v>422</v>
      </c>
      <c r="L20" s="162" t="s">
        <v>3</v>
      </c>
      <c r="M20" s="162" t="s">
        <v>29</v>
      </c>
    </row>
    <row r="21" spans="1:14" x14ac:dyDescent="0.2">
      <c r="A21" s="708"/>
      <c r="B21" s="156"/>
      <c r="C21" s="156"/>
      <c r="D21" s="246" t="s">
        <v>4</v>
      </c>
      <c r="E21" s="156" t="s">
        <v>30</v>
      </c>
      <c r="F21" s="161"/>
      <c r="G21" s="161"/>
      <c r="H21" s="245" t="s">
        <v>4</v>
      </c>
      <c r="I21" s="156" t="s">
        <v>30</v>
      </c>
      <c r="J21" s="161"/>
      <c r="K21" s="161"/>
      <c r="L21" s="156" t="s">
        <v>4</v>
      </c>
      <c r="M21" s="156" t="s">
        <v>30</v>
      </c>
    </row>
    <row r="22" spans="1:14" ht="15.75" x14ac:dyDescent="0.2">
      <c r="A22" s="14" t="s">
        <v>23</v>
      </c>
      <c r="B22" s="310">
        <v>152.12141</v>
      </c>
      <c r="C22" s="310">
        <v>151.32792000000001</v>
      </c>
      <c r="D22" s="350">
        <f t="shared" ref="D22:D31" si="4">IF(B22=0, "    ---- ", IF(ABS(ROUND(100/B22*C22-100,1))&lt;999,ROUND(100/B22*C22-100,1),IF(ROUND(100/B22*C22-100,1)&gt;999,999,-999)))</f>
        <v>-0.5</v>
      </c>
      <c r="E22" s="11">
        <f>IFERROR(100/'Skjema total MA'!C22*C22,0)</f>
        <v>1.1305625830237469E-2</v>
      </c>
      <c r="F22" s="318"/>
      <c r="G22" s="318"/>
      <c r="H22" s="350"/>
      <c r="I22" s="11"/>
      <c r="J22" s="316">
        <f t="shared" ref="J22:K29" si="5">SUM(B22,F22)</f>
        <v>152.12141</v>
      </c>
      <c r="K22" s="316">
        <f t="shared" si="5"/>
        <v>151.32792000000001</v>
      </c>
      <c r="L22" s="427">
        <f t="shared" ref="L22:L31" si="6">IF(J22=0, "    ---- ", IF(ABS(ROUND(100/J22*K22-100,1))&lt;999,ROUND(100/J22*K22-100,1),IF(ROUND(100/J22*K22-100,1)&gt;999,999,-999)))</f>
        <v>-0.5</v>
      </c>
      <c r="M22" s="24">
        <f>IFERROR(100/'Skjema total MA'!I22*K22,0)</f>
        <v>6.6894132085876289E-3</v>
      </c>
    </row>
    <row r="23" spans="1:14" ht="15.75" x14ac:dyDescent="0.2">
      <c r="A23" s="584" t="s">
        <v>368</v>
      </c>
      <c r="B23" s="281"/>
      <c r="C23" s="281"/>
      <c r="D23" s="166"/>
      <c r="E23" s="11"/>
      <c r="F23" s="290"/>
      <c r="G23" s="290"/>
      <c r="H23" s="166"/>
      <c r="I23" s="417"/>
      <c r="J23" s="290"/>
      <c r="K23" s="290"/>
      <c r="L23" s="166"/>
      <c r="M23" s="23"/>
    </row>
    <row r="24" spans="1:14" ht="15.75" x14ac:dyDescent="0.2">
      <c r="A24" s="584" t="s">
        <v>369</v>
      </c>
      <c r="B24" s="281">
        <v>152.12141</v>
      </c>
      <c r="C24" s="281">
        <v>151.32792000000001</v>
      </c>
      <c r="D24" s="166">
        <f t="shared" si="4"/>
        <v>-0.5</v>
      </c>
      <c r="E24" s="11">
        <f>IFERROR(100/'Skjema total MA'!C24*C24,0)</f>
        <v>0.62414145704407142</v>
      </c>
      <c r="F24" s="290"/>
      <c r="G24" s="290"/>
      <c r="H24" s="166"/>
      <c r="I24" s="417"/>
      <c r="J24" s="290">
        <f t="shared" ref="J24" si="7">SUM(B24,F24)</f>
        <v>152.12141</v>
      </c>
      <c r="K24" s="290">
        <f t="shared" ref="K24" si="8">SUM(C24,G24)</f>
        <v>151.32792000000001</v>
      </c>
      <c r="L24" s="166">
        <f t="shared" si="6"/>
        <v>-0.5</v>
      </c>
      <c r="M24" s="23">
        <f>IFERROR(100/'Skjema total MA'!I24*K24,0)</f>
        <v>0.60011254781132217</v>
      </c>
    </row>
    <row r="25" spans="1:14" ht="15.75" x14ac:dyDescent="0.2">
      <c r="A25" s="584" t="s">
        <v>370</v>
      </c>
      <c r="B25" s="281"/>
      <c r="C25" s="281"/>
      <c r="D25" s="166"/>
      <c r="E25" s="11"/>
      <c r="F25" s="290"/>
      <c r="G25" s="290"/>
      <c r="H25" s="166"/>
      <c r="I25" s="417"/>
      <c r="J25" s="290"/>
      <c r="K25" s="290"/>
      <c r="L25" s="166"/>
      <c r="M25" s="23"/>
    </row>
    <row r="26" spans="1:14" ht="15.75" x14ac:dyDescent="0.2">
      <c r="A26" s="584" t="s">
        <v>371</v>
      </c>
      <c r="B26" s="281"/>
      <c r="C26" s="281"/>
      <c r="D26" s="166"/>
      <c r="E26" s="11"/>
      <c r="F26" s="290"/>
      <c r="G26" s="290"/>
      <c r="H26" s="166"/>
      <c r="I26" s="417"/>
      <c r="J26" s="290"/>
      <c r="K26" s="290"/>
      <c r="L26" s="166"/>
      <c r="M26" s="23"/>
    </row>
    <row r="27" spans="1:14" x14ac:dyDescent="0.2">
      <c r="A27" s="584" t="s">
        <v>11</v>
      </c>
      <c r="B27" s="281"/>
      <c r="C27" s="281"/>
      <c r="D27" s="166"/>
      <c r="E27" s="11"/>
      <c r="F27" s="290"/>
      <c r="G27" s="290"/>
      <c r="H27" s="166"/>
      <c r="I27" s="417"/>
      <c r="J27" s="290"/>
      <c r="K27" s="290"/>
      <c r="L27" s="166"/>
      <c r="M27" s="23"/>
    </row>
    <row r="28" spans="1:14" ht="15.75" x14ac:dyDescent="0.2">
      <c r="A28" s="49" t="s">
        <v>276</v>
      </c>
      <c r="B28" s="44">
        <v>152.12141</v>
      </c>
      <c r="C28" s="287">
        <v>151.32792000000001</v>
      </c>
      <c r="D28" s="166">
        <f t="shared" si="4"/>
        <v>-0.5</v>
      </c>
      <c r="E28" s="11">
        <f>IFERROR(100/'Skjema total MA'!C28*C28,0)</f>
        <v>1.0217258580763599E-2</v>
      </c>
      <c r="F28" s="234"/>
      <c r="G28" s="287"/>
      <c r="H28" s="166"/>
      <c r="I28" s="27"/>
      <c r="J28" s="44">
        <f t="shared" si="5"/>
        <v>152.12141</v>
      </c>
      <c r="K28" s="44">
        <f t="shared" si="5"/>
        <v>151.32792000000001</v>
      </c>
      <c r="L28" s="254">
        <f t="shared" si="6"/>
        <v>-0.5</v>
      </c>
      <c r="M28" s="23">
        <f>IFERROR(100/'Skjema total MA'!I28*K28,0)</f>
        <v>1.0217258580763599E-2</v>
      </c>
    </row>
    <row r="29" spans="1:14" s="3" customFormat="1" ht="15.75" x14ac:dyDescent="0.2">
      <c r="A29" s="13" t="s">
        <v>365</v>
      </c>
      <c r="B29" s="236">
        <v>2011</v>
      </c>
      <c r="C29" s="236">
        <v>1742.4697330681799</v>
      </c>
      <c r="D29" s="171">
        <f t="shared" si="4"/>
        <v>-13.4</v>
      </c>
      <c r="E29" s="11">
        <f>IFERROR(100/'Skjema total MA'!C29*C29,0)</f>
        <v>3.7908826427105473E-3</v>
      </c>
      <c r="F29" s="308"/>
      <c r="G29" s="308"/>
      <c r="H29" s="171"/>
      <c r="I29" s="11"/>
      <c r="J29" s="236">
        <f t="shared" si="5"/>
        <v>2011</v>
      </c>
      <c r="K29" s="236">
        <f t="shared" si="5"/>
        <v>1742.4697330681799</v>
      </c>
      <c r="L29" s="428">
        <f t="shared" si="6"/>
        <v>-13.4</v>
      </c>
      <c r="M29" s="24">
        <f>IFERROR(100/'Skjema total MA'!I29*K29,0)</f>
        <v>2.5314175202414625E-3</v>
      </c>
      <c r="N29" s="148"/>
    </row>
    <row r="30" spans="1:14" s="3" customFormat="1" ht="15.75" x14ac:dyDescent="0.2">
      <c r="A30" s="584" t="s">
        <v>368</v>
      </c>
      <c r="B30" s="281"/>
      <c r="C30" s="281"/>
      <c r="D30" s="166"/>
      <c r="E30" s="11"/>
      <c r="F30" s="290"/>
      <c r="G30" s="290"/>
      <c r="H30" s="166"/>
      <c r="I30" s="417"/>
      <c r="J30" s="290"/>
      <c r="K30" s="290"/>
      <c r="L30" s="166"/>
      <c r="M30" s="23"/>
      <c r="N30" s="148"/>
    </row>
    <row r="31" spans="1:14" s="3" customFormat="1" ht="15.75" x14ac:dyDescent="0.2">
      <c r="A31" s="584" t="s">
        <v>369</v>
      </c>
      <c r="B31" s="281">
        <v>2011</v>
      </c>
      <c r="C31" s="281">
        <v>1742.4697330681799</v>
      </c>
      <c r="D31" s="166">
        <f t="shared" si="4"/>
        <v>-13.4</v>
      </c>
      <c r="E31" s="11">
        <f>IFERROR(100/'Skjema total MA'!C31*C31,0)</f>
        <v>7.3148547941962226E-3</v>
      </c>
      <c r="F31" s="290"/>
      <c r="G31" s="290"/>
      <c r="H31" s="166"/>
      <c r="I31" s="417"/>
      <c r="J31" s="290">
        <f t="shared" ref="J31" si="9">SUM(B31,F31)</f>
        <v>2011</v>
      </c>
      <c r="K31" s="290">
        <f t="shared" ref="K31" si="10">SUM(C31,G31)</f>
        <v>1742.4697330681799</v>
      </c>
      <c r="L31" s="166">
        <f t="shared" si="6"/>
        <v>-13.4</v>
      </c>
      <c r="M31" s="23">
        <f>IFERROR(100/'Skjema total MA'!I31*K31,0)</f>
        <v>5.2682472238393206E-3</v>
      </c>
      <c r="N31" s="148"/>
    </row>
    <row r="32" spans="1:14" ht="15.75" x14ac:dyDescent="0.2">
      <c r="A32" s="584" t="s">
        <v>370</v>
      </c>
      <c r="B32" s="281"/>
      <c r="C32" s="281"/>
      <c r="D32" s="166"/>
      <c r="E32" s="11"/>
      <c r="F32" s="290"/>
      <c r="G32" s="290"/>
      <c r="H32" s="166"/>
      <c r="I32" s="417"/>
      <c r="J32" s="290"/>
      <c r="K32" s="290"/>
      <c r="L32" s="166"/>
      <c r="M32" s="23"/>
    </row>
    <row r="33" spans="1:14" ht="15.75" x14ac:dyDescent="0.2">
      <c r="A33" s="584" t="s">
        <v>371</v>
      </c>
      <c r="B33" s="281"/>
      <c r="C33" s="281"/>
      <c r="D33" s="166"/>
      <c r="E33" s="11"/>
      <c r="F33" s="290"/>
      <c r="G33" s="290"/>
      <c r="H33" s="166"/>
      <c r="I33" s="417"/>
      <c r="J33" s="290"/>
      <c r="K33" s="290"/>
      <c r="L33" s="166"/>
      <c r="M33" s="23"/>
    </row>
    <row r="34" spans="1:14" ht="15.75" x14ac:dyDescent="0.2">
      <c r="A34" s="13" t="s">
        <v>366</v>
      </c>
      <c r="B34" s="236"/>
      <c r="C34" s="309"/>
      <c r="D34" s="171"/>
      <c r="E34" s="11"/>
      <c r="F34" s="308"/>
      <c r="G34" s="309"/>
      <c r="H34" s="171"/>
      <c r="I34" s="11"/>
      <c r="J34" s="236"/>
      <c r="K34" s="236"/>
      <c r="L34" s="428"/>
      <c r="M34" s="24"/>
    </row>
    <row r="35" spans="1:14" ht="15.75" x14ac:dyDescent="0.2">
      <c r="A35" s="13" t="s">
        <v>367</v>
      </c>
      <c r="B35" s="236"/>
      <c r="C35" s="309"/>
      <c r="D35" s="171"/>
      <c r="E35" s="11"/>
      <c r="F35" s="308"/>
      <c r="G35" s="309"/>
      <c r="H35" s="171"/>
      <c r="I35" s="11"/>
      <c r="J35" s="236"/>
      <c r="K35" s="236"/>
      <c r="L35" s="428"/>
      <c r="M35" s="24"/>
    </row>
    <row r="36" spans="1:14" ht="15.75" x14ac:dyDescent="0.2">
      <c r="A36" s="12" t="s">
        <v>284</v>
      </c>
      <c r="B36" s="236"/>
      <c r="C36" s="309"/>
      <c r="D36" s="171"/>
      <c r="E36" s="11"/>
      <c r="F36" s="319"/>
      <c r="G36" s="320"/>
      <c r="H36" s="171"/>
      <c r="I36" s="434"/>
      <c r="J36" s="236"/>
      <c r="K36" s="236"/>
      <c r="L36" s="428"/>
      <c r="M36" s="24"/>
    </row>
    <row r="37" spans="1:14" ht="15.75" x14ac:dyDescent="0.2">
      <c r="A37" s="12" t="s">
        <v>373</v>
      </c>
      <c r="B37" s="236"/>
      <c r="C37" s="309"/>
      <c r="D37" s="171"/>
      <c r="E37" s="11"/>
      <c r="F37" s="319"/>
      <c r="G37" s="321"/>
      <c r="H37" s="171"/>
      <c r="I37" s="434"/>
      <c r="J37" s="236"/>
      <c r="K37" s="236"/>
      <c r="L37" s="428"/>
      <c r="M37" s="24"/>
    </row>
    <row r="38" spans="1:14" ht="15.75" x14ac:dyDescent="0.2">
      <c r="A38" s="12" t="s">
        <v>374</v>
      </c>
      <c r="B38" s="236"/>
      <c r="C38" s="309"/>
      <c r="D38" s="171"/>
      <c r="E38" s="24"/>
      <c r="F38" s="319"/>
      <c r="G38" s="320"/>
      <c r="H38" s="171"/>
      <c r="I38" s="434"/>
      <c r="J38" s="236"/>
      <c r="K38" s="236"/>
      <c r="L38" s="428"/>
      <c r="M38" s="24"/>
    </row>
    <row r="39" spans="1:14" ht="15.75" x14ac:dyDescent="0.2">
      <c r="A39" s="18" t="s">
        <v>375</v>
      </c>
      <c r="B39" s="276"/>
      <c r="C39" s="315"/>
      <c r="D39" s="169"/>
      <c r="E39" s="36"/>
      <c r="F39" s="322"/>
      <c r="G39" s="323"/>
      <c r="H39" s="169"/>
      <c r="I39" s="36"/>
      <c r="J39" s="236"/>
      <c r="K39" s="236"/>
      <c r="L39" s="429"/>
      <c r="M39" s="36"/>
    </row>
    <row r="40" spans="1:14" ht="15.75" x14ac:dyDescent="0.25">
      <c r="A40" s="47"/>
      <c r="B40" s="253"/>
      <c r="C40" s="253"/>
      <c r="D40" s="736"/>
      <c r="E40" s="736"/>
      <c r="F40" s="736"/>
      <c r="G40" s="736"/>
      <c r="H40" s="736"/>
      <c r="I40" s="736"/>
      <c r="J40" s="736"/>
      <c r="K40" s="736"/>
      <c r="L40" s="736"/>
      <c r="M40" s="302"/>
    </row>
    <row r="41" spans="1:14" x14ac:dyDescent="0.2">
      <c r="A41" s="155"/>
    </row>
    <row r="42" spans="1:14" ht="15.75" x14ac:dyDescent="0.25">
      <c r="A42" s="147" t="s">
        <v>273</v>
      </c>
      <c r="B42" s="732"/>
      <c r="C42" s="732"/>
      <c r="D42" s="732"/>
      <c r="E42" s="299"/>
      <c r="F42" s="737"/>
      <c r="G42" s="737"/>
      <c r="H42" s="737"/>
      <c r="I42" s="302"/>
      <c r="J42" s="737"/>
      <c r="K42" s="737"/>
      <c r="L42" s="737"/>
      <c r="M42" s="302"/>
    </row>
    <row r="43" spans="1:14" ht="15.75" x14ac:dyDescent="0.25">
      <c r="A43" s="163"/>
      <c r="B43" s="303"/>
      <c r="C43" s="303"/>
      <c r="D43" s="303"/>
      <c r="E43" s="303"/>
      <c r="F43" s="302"/>
      <c r="G43" s="302"/>
      <c r="H43" s="302"/>
      <c r="I43" s="302"/>
      <c r="J43" s="302"/>
      <c r="K43" s="302"/>
      <c r="L43" s="302"/>
      <c r="M43" s="302"/>
    </row>
    <row r="44" spans="1:14" ht="15.75" x14ac:dyDescent="0.25">
      <c r="A44" s="247"/>
      <c r="B44" s="733" t="s">
        <v>0</v>
      </c>
      <c r="C44" s="734"/>
      <c r="D44" s="734"/>
      <c r="E44" s="243"/>
      <c r="F44" s="302"/>
      <c r="G44" s="302"/>
      <c r="H44" s="302"/>
      <c r="I44" s="302"/>
      <c r="J44" s="302"/>
      <c r="K44" s="302"/>
      <c r="L44" s="302"/>
      <c r="M44" s="302"/>
    </row>
    <row r="45" spans="1:14" s="3" customFormat="1" x14ac:dyDescent="0.2">
      <c r="A45" s="140"/>
      <c r="B45" s="152" t="s">
        <v>421</v>
      </c>
      <c r="C45" s="152" t="s">
        <v>422</v>
      </c>
      <c r="D45" s="162" t="s">
        <v>3</v>
      </c>
      <c r="E45" s="162" t="s">
        <v>29</v>
      </c>
      <c r="F45" s="174"/>
      <c r="G45" s="174"/>
      <c r="H45" s="173"/>
      <c r="I45" s="173"/>
      <c r="J45" s="174"/>
      <c r="K45" s="174"/>
      <c r="L45" s="173"/>
      <c r="M45" s="173"/>
      <c r="N45" s="148"/>
    </row>
    <row r="46" spans="1:14" s="3" customFormat="1" x14ac:dyDescent="0.2">
      <c r="A46" s="708"/>
      <c r="B46" s="244"/>
      <c r="C46" s="244"/>
      <c r="D46" s="245" t="s">
        <v>4</v>
      </c>
      <c r="E46" s="156" t="s">
        <v>30</v>
      </c>
      <c r="F46" s="173"/>
      <c r="G46" s="173"/>
      <c r="H46" s="173"/>
      <c r="I46" s="173"/>
      <c r="J46" s="173"/>
      <c r="K46" s="173"/>
      <c r="L46" s="173"/>
      <c r="M46" s="173"/>
      <c r="N46" s="148"/>
    </row>
    <row r="47" spans="1:14" s="3" customFormat="1" ht="15.75" x14ac:dyDescent="0.2">
      <c r="A47" s="14" t="s">
        <v>23</v>
      </c>
      <c r="B47" s="310"/>
      <c r="C47" s="311"/>
      <c r="D47" s="427"/>
      <c r="E47" s="11"/>
      <c r="F47" s="145"/>
      <c r="G47" s="33"/>
      <c r="H47" s="159"/>
      <c r="I47" s="159"/>
      <c r="J47" s="37"/>
      <c r="K47" s="37"/>
      <c r="L47" s="159"/>
      <c r="M47" s="159"/>
      <c r="N47" s="148"/>
    </row>
    <row r="48" spans="1:14" s="3" customFormat="1" ht="15.75" x14ac:dyDescent="0.2">
      <c r="A48" s="38" t="s">
        <v>376</v>
      </c>
      <c r="B48" s="281"/>
      <c r="C48" s="282"/>
      <c r="D48" s="254"/>
      <c r="E48" s="27"/>
      <c r="F48" s="145"/>
      <c r="G48" s="33"/>
      <c r="H48" s="145"/>
      <c r="I48" s="145"/>
      <c r="J48" s="33"/>
      <c r="K48" s="33"/>
      <c r="L48" s="159"/>
      <c r="M48" s="159"/>
      <c r="N48" s="148"/>
    </row>
    <row r="49" spans="1:14" s="3" customFormat="1" ht="15.75" x14ac:dyDescent="0.2">
      <c r="A49" s="38" t="s">
        <v>377</v>
      </c>
      <c r="B49" s="44"/>
      <c r="C49" s="287"/>
      <c r="D49" s="254"/>
      <c r="E49" s="27"/>
      <c r="F49" s="145"/>
      <c r="G49" s="33"/>
      <c r="H49" s="145"/>
      <c r="I49" s="145"/>
      <c r="J49" s="37"/>
      <c r="K49" s="37"/>
      <c r="L49" s="159"/>
      <c r="M49" s="159"/>
      <c r="N49" s="148"/>
    </row>
    <row r="50" spans="1:14" s="3" customFormat="1" x14ac:dyDescent="0.2">
      <c r="A50" s="296" t="s">
        <v>6</v>
      </c>
      <c r="B50" s="290"/>
      <c r="C50" s="291"/>
      <c r="D50" s="254"/>
      <c r="E50" s="23"/>
      <c r="F50" s="145"/>
      <c r="G50" s="33"/>
      <c r="H50" s="145"/>
      <c r="I50" s="145"/>
      <c r="J50" s="33"/>
      <c r="K50" s="33"/>
      <c r="L50" s="159"/>
      <c r="M50" s="159"/>
      <c r="N50" s="148"/>
    </row>
    <row r="51" spans="1:14" s="3" customFormat="1" x14ac:dyDescent="0.2">
      <c r="A51" s="296" t="s">
        <v>7</v>
      </c>
      <c r="B51" s="290"/>
      <c r="C51" s="291"/>
      <c r="D51" s="254"/>
      <c r="E51" s="23"/>
      <c r="F51" s="145"/>
      <c r="G51" s="33"/>
      <c r="H51" s="145"/>
      <c r="I51" s="145"/>
      <c r="J51" s="33"/>
      <c r="K51" s="33"/>
      <c r="L51" s="159"/>
      <c r="M51" s="159"/>
      <c r="N51" s="148"/>
    </row>
    <row r="52" spans="1:14" s="3" customFormat="1" x14ac:dyDescent="0.2">
      <c r="A52" s="296" t="s">
        <v>8</v>
      </c>
      <c r="B52" s="290"/>
      <c r="C52" s="291"/>
      <c r="D52" s="254"/>
      <c r="E52" s="23"/>
      <c r="F52" s="145"/>
      <c r="G52" s="33"/>
      <c r="H52" s="145"/>
      <c r="I52" s="145"/>
      <c r="J52" s="33"/>
      <c r="K52" s="33"/>
      <c r="L52" s="159"/>
      <c r="M52" s="159"/>
      <c r="N52" s="148"/>
    </row>
    <row r="53" spans="1:14" s="3" customFormat="1" ht="15.75" x14ac:dyDescent="0.2">
      <c r="A53" s="39" t="s">
        <v>378</v>
      </c>
      <c r="B53" s="310"/>
      <c r="C53" s="311"/>
      <c r="D53" s="428"/>
      <c r="E53" s="11"/>
      <c r="F53" s="145"/>
      <c r="G53" s="33"/>
      <c r="H53" s="145"/>
      <c r="I53" s="145"/>
      <c r="J53" s="33"/>
      <c r="K53" s="33"/>
      <c r="L53" s="159"/>
      <c r="M53" s="159"/>
      <c r="N53" s="148"/>
    </row>
    <row r="54" spans="1:14" s="3" customFormat="1" ht="15.75" x14ac:dyDescent="0.2">
      <c r="A54" s="38" t="s">
        <v>376</v>
      </c>
      <c r="B54" s="281"/>
      <c r="C54" s="282"/>
      <c r="D54" s="254"/>
      <c r="E54" s="27"/>
      <c r="F54" s="145"/>
      <c r="G54" s="33"/>
      <c r="H54" s="145"/>
      <c r="I54" s="145"/>
      <c r="J54" s="33"/>
      <c r="K54" s="33"/>
      <c r="L54" s="159"/>
      <c r="M54" s="159"/>
      <c r="N54" s="148"/>
    </row>
    <row r="55" spans="1:14" s="3" customFormat="1" ht="15.75" x14ac:dyDescent="0.2">
      <c r="A55" s="38" t="s">
        <v>377</v>
      </c>
      <c r="B55" s="281"/>
      <c r="C55" s="282"/>
      <c r="D55" s="254"/>
      <c r="E55" s="27"/>
      <c r="F55" s="145"/>
      <c r="G55" s="33"/>
      <c r="H55" s="145"/>
      <c r="I55" s="145"/>
      <c r="J55" s="33"/>
      <c r="K55" s="33"/>
      <c r="L55" s="159"/>
      <c r="M55" s="159"/>
      <c r="N55" s="148"/>
    </row>
    <row r="56" spans="1:14" s="3" customFormat="1" ht="15.75" x14ac:dyDescent="0.2">
      <c r="A56" s="39" t="s">
        <v>379</v>
      </c>
      <c r="B56" s="310"/>
      <c r="C56" s="311"/>
      <c r="D56" s="428"/>
      <c r="E56" s="11"/>
      <c r="F56" s="145"/>
      <c r="G56" s="33"/>
      <c r="H56" s="145"/>
      <c r="I56" s="145"/>
      <c r="J56" s="33"/>
      <c r="K56" s="33"/>
      <c r="L56" s="159"/>
      <c r="M56" s="159"/>
      <c r="N56" s="148"/>
    </row>
    <row r="57" spans="1:14" s="3" customFormat="1" ht="15.75" x14ac:dyDescent="0.2">
      <c r="A57" s="38" t="s">
        <v>376</v>
      </c>
      <c r="B57" s="281"/>
      <c r="C57" s="282"/>
      <c r="D57" s="254"/>
      <c r="E57" s="27"/>
      <c r="F57" s="145"/>
      <c r="G57" s="33"/>
      <c r="H57" s="145"/>
      <c r="I57" s="145"/>
      <c r="J57" s="33"/>
      <c r="K57" s="33"/>
      <c r="L57" s="159"/>
      <c r="M57" s="159"/>
      <c r="N57" s="148"/>
    </row>
    <row r="58" spans="1:14" s="3" customFormat="1" ht="15.75" x14ac:dyDescent="0.2">
      <c r="A58" s="46" t="s">
        <v>377</v>
      </c>
      <c r="B58" s="283"/>
      <c r="C58" s="284"/>
      <c r="D58" s="255"/>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274</v>
      </c>
      <c r="C61" s="26"/>
      <c r="D61" s="26"/>
      <c r="E61" s="26"/>
      <c r="F61" s="26"/>
      <c r="G61" s="26"/>
      <c r="H61" s="26"/>
      <c r="I61" s="26"/>
      <c r="J61" s="26"/>
      <c r="K61" s="26"/>
      <c r="L61" s="26"/>
      <c r="M61" s="26"/>
    </row>
    <row r="62" spans="1:14" ht="15.75" x14ac:dyDescent="0.25">
      <c r="B62" s="735"/>
      <c r="C62" s="735"/>
      <c r="D62" s="735"/>
      <c r="E62" s="299"/>
      <c r="F62" s="735"/>
      <c r="G62" s="735"/>
      <c r="H62" s="735"/>
      <c r="I62" s="299"/>
      <c r="J62" s="735"/>
      <c r="K62" s="735"/>
      <c r="L62" s="735"/>
      <c r="M62" s="299"/>
    </row>
    <row r="63" spans="1:14" x14ac:dyDescent="0.2">
      <c r="A63" s="144"/>
      <c r="B63" s="733" t="s">
        <v>0</v>
      </c>
      <c r="C63" s="734"/>
      <c r="D63" s="738"/>
      <c r="E63" s="300"/>
      <c r="F63" s="734" t="s">
        <v>1</v>
      </c>
      <c r="G63" s="734"/>
      <c r="H63" s="734"/>
      <c r="I63" s="304"/>
      <c r="J63" s="733" t="s">
        <v>2</v>
      </c>
      <c r="K63" s="734"/>
      <c r="L63" s="734"/>
      <c r="M63" s="304"/>
    </row>
    <row r="64" spans="1:14" x14ac:dyDescent="0.2">
      <c r="A64" s="140"/>
      <c r="B64" s="152" t="s">
        <v>421</v>
      </c>
      <c r="C64" s="152" t="s">
        <v>422</v>
      </c>
      <c r="D64" s="245" t="s">
        <v>3</v>
      </c>
      <c r="E64" s="305" t="s">
        <v>29</v>
      </c>
      <c r="F64" s="152" t="s">
        <v>421</v>
      </c>
      <c r="G64" s="152" t="s">
        <v>422</v>
      </c>
      <c r="H64" s="245" t="s">
        <v>3</v>
      </c>
      <c r="I64" s="305" t="s">
        <v>29</v>
      </c>
      <c r="J64" s="152" t="s">
        <v>421</v>
      </c>
      <c r="K64" s="152" t="s">
        <v>422</v>
      </c>
      <c r="L64" s="245" t="s">
        <v>3</v>
      </c>
      <c r="M64" s="162" t="s">
        <v>29</v>
      </c>
    </row>
    <row r="65" spans="1:14" x14ac:dyDescent="0.2">
      <c r="A65" s="708"/>
      <c r="B65" s="156"/>
      <c r="C65" s="156"/>
      <c r="D65" s="246" t="s">
        <v>4</v>
      </c>
      <c r="E65" s="156" t="s">
        <v>30</v>
      </c>
      <c r="F65" s="161"/>
      <c r="G65" s="161"/>
      <c r="H65" s="245" t="s">
        <v>4</v>
      </c>
      <c r="I65" s="156" t="s">
        <v>30</v>
      </c>
      <c r="J65" s="161"/>
      <c r="K65" s="206"/>
      <c r="L65" s="156" t="s">
        <v>4</v>
      </c>
      <c r="M65" s="156" t="s">
        <v>30</v>
      </c>
    </row>
    <row r="66" spans="1:14" ht="15.75" x14ac:dyDescent="0.2">
      <c r="A66" s="14" t="s">
        <v>23</v>
      </c>
      <c r="B66" s="353"/>
      <c r="C66" s="353"/>
      <c r="D66" s="350"/>
      <c r="E66" s="11"/>
      <c r="F66" s="352"/>
      <c r="G66" s="352"/>
      <c r="H66" s="350"/>
      <c r="I66" s="11"/>
      <c r="J66" s="309"/>
      <c r="K66" s="316"/>
      <c r="L66" s="428"/>
      <c r="M66" s="11"/>
    </row>
    <row r="67" spans="1:14" x14ac:dyDescent="0.2">
      <c r="A67" s="419" t="s">
        <v>9</v>
      </c>
      <c r="B67" s="44"/>
      <c r="C67" s="145"/>
      <c r="D67" s="166"/>
      <c r="E67" s="27"/>
      <c r="F67" s="234"/>
      <c r="G67" s="145"/>
      <c r="H67" s="166"/>
      <c r="I67" s="27"/>
      <c r="J67" s="287"/>
      <c r="K67" s="44"/>
      <c r="L67" s="254"/>
      <c r="M67" s="27"/>
    </row>
    <row r="68" spans="1:14" x14ac:dyDescent="0.2">
      <c r="A68" s="21" t="s">
        <v>10</v>
      </c>
      <c r="B68" s="292"/>
      <c r="C68" s="293"/>
      <c r="D68" s="166"/>
      <c r="E68" s="27"/>
      <c r="F68" s="292"/>
      <c r="G68" s="293"/>
      <c r="H68" s="166"/>
      <c r="I68" s="27"/>
      <c r="J68" s="287"/>
      <c r="K68" s="44"/>
      <c r="L68" s="254"/>
      <c r="M68" s="27"/>
    </row>
    <row r="69" spans="1:14" ht="15.75" x14ac:dyDescent="0.2">
      <c r="A69" s="296" t="s">
        <v>380</v>
      </c>
      <c r="B69" s="294"/>
      <c r="C69" s="295"/>
      <c r="D69" s="166"/>
      <c r="E69" s="417"/>
      <c r="F69" s="294"/>
      <c r="G69" s="295"/>
      <c r="H69" s="166"/>
      <c r="I69" s="417"/>
      <c r="J69" s="294"/>
      <c r="K69" s="295"/>
      <c r="L69" s="166"/>
      <c r="M69" s="23"/>
    </row>
    <row r="70" spans="1:14" x14ac:dyDescent="0.2">
      <c r="A70" s="296" t="s">
        <v>12</v>
      </c>
      <c r="B70" s="294"/>
      <c r="C70" s="295"/>
      <c r="D70" s="166"/>
      <c r="E70" s="417"/>
      <c r="F70" s="294"/>
      <c r="G70" s="295"/>
      <c r="H70" s="166"/>
      <c r="I70" s="417"/>
      <c r="J70" s="294"/>
      <c r="K70" s="295"/>
      <c r="L70" s="166"/>
      <c r="M70" s="23"/>
    </row>
    <row r="71" spans="1:14" x14ac:dyDescent="0.2">
      <c r="A71" s="296" t="s">
        <v>13</v>
      </c>
      <c r="B71" s="235"/>
      <c r="C71" s="289"/>
      <c r="D71" s="166"/>
      <c r="E71" s="417"/>
      <c r="F71" s="294"/>
      <c r="G71" s="295"/>
      <c r="H71" s="166"/>
      <c r="I71" s="417"/>
      <c r="J71" s="294"/>
      <c r="K71" s="295"/>
      <c r="L71" s="166"/>
      <c r="M71" s="23"/>
    </row>
    <row r="72" spans="1:14" ht="15.75" x14ac:dyDescent="0.2">
      <c r="A72" s="296" t="s">
        <v>381</v>
      </c>
      <c r="B72" s="294"/>
      <c r="C72" s="295"/>
      <c r="D72" s="166"/>
      <c r="E72" s="417"/>
      <c r="F72" s="294"/>
      <c r="G72" s="295"/>
      <c r="H72" s="166"/>
      <c r="I72" s="417"/>
      <c r="J72" s="294"/>
      <c r="K72" s="295"/>
      <c r="L72" s="166"/>
      <c r="M72" s="23"/>
    </row>
    <row r="73" spans="1:14" x14ac:dyDescent="0.2">
      <c r="A73" s="296" t="s">
        <v>12</v>
      </c>
      <c r="B73" s="235"/>
      <c r="C73" s="289"/>
      <c r="D73" s="166"/>
      <c r="E73" s="417"/>
      <c r="F73" s="294"/>
      <c r="G73" s="295"/>
      <c r="H73" s="166"/>
      <c r="I73" s="417"/>
      <c r="J73" s="294"/>
      <c r="K73" s="295"/>
      <c r="L73" s="166"/>
      <c r="M73" s="23"/>
    </row>
    <row r="74" spans="1:14" s="3" customFormat="1" x14ac:dyDescent="0.2">
      <c r="A74" s="296" t="s">
        <v>13</v>
      </c>
      <c r="B74" s="235"/>
      <c r="C74" s="289"/>
      <c r="D74" s="166"/>
      <c r="E74" s="417"/>
      <c r="F74" s="294"/>
      <c r="G74" s="295"/>
      <c r="H74" s="166"/>
      <c r="I74" s="417"/>
      <c r="J74" s="294"/>
      <c r="K74" s="295"/>
      <c r="L74" s="166"/>
      <c r="M74" s="23"/>
      <c r="N74" s="148"/>
    </row>
    <row r="75" spans="1:14" s="3" customFormat="1" x14ac:dyDescent="0.2">
      <c r="A75" s="21" t="s">
        <v>350</v>
      </c>
      <c r="B75" s="234"/>
      <c r="C75" s="145"/>
      <c r="D75" s="166"/>
      <c r="E75" s="27"/>
      <c r="F75" s="234"/>
      <c r="G75" s="145"/>
      <c r="H75" s="166"/>
      <c r="I75" s="27"/>
      <c r="J75" s="287"/>
      <c r="K75" s="44"/>
      <c r="L75" s="254"/>
      <c r="M75" s="27"/>
      <c r="N75" s="148"/>
    </row>
    <row r="76" spans="1:14" s="3" customFormat="1" x14ac:dyDescent="0.2">
      <c r="A76" s="21" t="s">
        <v>349</v>
      </c>
      <c r="B76" s="234"/>
      <c r="C76" s="145"/>
      <c r="D76" s="166"/>
      <c r="E76" s="27"/>
      <c r="F76" s="234"/>
      <c r="G76" s="145"/>
      <c r="H76" s="166"/>
      <c r="I76" s="27"/>
      <c r="J76" s="287"/>
      <c r="K76" s="44"/>
      <c r="L76" s="254"/>
      <c r="M76" s="27"/>
      <c r="N76" s="148"/>
    </row>
    <row r="77" spans="1:14" ht="15.75" x14ac:dyDescent="0.2">
      <c r="A77" s="21" t="s">
        <v>382</v>
      </c>
      <c r="B77" s="234"/>
      <c r="C77" s="234"/>
      <c r="D77" s="166"/>
      <c r="E77" s="27"/>
      <c r="F77" s="234"/>
      <c r="G77" s="145"/>
      <c r="H77" s="166"/>
      <c r="I77" s="27"/>
      <c r="J77" s="287"/>
      <c r="K77" s="44"/>
      <c r="L77" s="254"/>
      <c r="M77" s="27"/>
    </row>
    <row r="78" spans="1:14" x14ac:dyDescent="0.2">
      <c r="A78" s="21" t="s">
        <v>9</v>
      </c>
      <c r="B78" s="234"/>
      <c r="C78" s="145"/>
      <c r="D78" s="166"/>
      <c r="E78" s="27"/>
      <c r="F78" s="234"/>
      <c r="G78" s="145"/>
      <c r="H78" s="166"/>
      <c r="I78" s="27"/>
      <c r="J78" s="287"/>
      <c r="K78" s="44"/>
      <c r="L78" s="254"/>
      <c r="M78" s="27"/>
    </row>
    <row r="79" spans="1:14" x14ac:dyDescent="0.2">
      <c r="A79" s="21" t="s">
        <v>10</v>
      </c>
      <c r="B79" s="292"/>
      <c r="C79" s="293"/>
      <c r="D79" s="166"/>
      <c r="E79" s="27"/>
      <c r="F79" s="292"/>
      <c r="G79" s="293"/>
      <c r="H79" s="166"/>
      <c r="I79" s="27"/>
      <c r="J79" s="287"/>
      <c r="K79" s="44"/>
      <c r="L79" s="254"/>
      <c r="M79" s="27"/>
    </row>
    <row r="80" spans="1:14" ht="15.75" x14ac:dyDescent="0.2">
      <c r="A80" s="296" t="s">
        <v>380</v>
      </c>
      <c r="B80" s="294"/>
      <c r="C80" s="295"/>
      <c r="D80" s="166"/>
      <c r="E80" s="417"/>
      <c r="F80" s="294"/>
      <c r="G80" s="295"/>
      <c r="H80" s="166"/>
      <c r="I80" s="417"/>
      <c r="J80" s="294"/>
      <c r="K80" s="295"/>
      <c r="L80" s="166"/>
      <c r="M80" s="23"/>
    </row>
    <row r="81" spans="1:13" x14ac:dyDescent="0.2">
      <c r="A81" s="296" t="s">
        <v>12</v>
      </c>
      <c r="B81" s="294"/>
      <c r="C81" s="295"/>
      <c r="D81" s="166"/>
      <c r="E81" s="417"/>
      <c r="F81" s="294"/>
      <c r="G81" s="295"/>
      <c r="H81" s="166"/>
      <c r="I81" s="417"/>
      <c r="J81" s="294"/>
      <c r="K81" s="295"/>
      <c r="L81" s="166"/>
      <c r="M81" s="23"/>
    </row>
    <row r="82" spans="1:13" x14ac:dyDescent="0.2">
      <c r="A82" s="296" t="s">
        <v>13</v>
      </c>
      <c r="B82" s="294"/>
      <c r="C82" s="295"/>
      <c r="D82" s="166"/>
      <c r="E82" s="417"/>
      <c r="F82" s="294"/>
      <c r="G82" s="295"/>
      <c r="H82" s="166"/>
      <c r="I82" s="417"/>
      <c r="J82" s="294"/>
      <c r="K82" s="295"/>
      <c r="L82" s="166"/>
      <c r="M82" s="23"/>
    </row>
    <row r="83" spans="1:13" ht="15.75" x14ac:dyDescent="0.2">
      <c r="A83" s="296" t="s">
        <v>381</v>
      </c>
      <c r="B83" s="294"/>
      <c r="C83" s="295"/>
      <c r="D83" s="166"/>
      <c r="E83" s="417"/>
      <c r="F83" s="294"/>
      <c r="G83" s="295"/>
      <c r="H83" s="166"/>
      <c r="I83" s="417"/>
      <c r="J83" s="294"/>
      <c r="K83" s="295"/>
      <c r="L83" s="166"/>
      <c r="M83" s="23"/>
    </row>
    <row r="84" spans="1:13" x14ac:dyDescent="0.2">
      <c r="A84" s="296" t="s">
        <v>12</v>
      </c>
      <c r="B84" s="294"/>
      <c r="C84" s="295"/>
      <c r="D84" s="166"/>
      <c r="E84" s="417"/>
      <c r="F84" s="294"/>
      <c r="G84" s="295"/>
      <c r="H84" s="166"/>
      <c r="I84" s="417"/>
      <c r="J84" s="294"/>
      <c r="K84" s="295"/>
      <c r="L84" s="166"/>
      <c r="M84" s="23"/>
    </row>
    <row r="85" spans="1:13" x14ac:dyDescent="0.2">
      <c r="A85" s="296" t="s">
        <v>13</v>
      </c>
      <c r="B85" s="294"/>
      <c r="C85" s="295"/>
      <c r="D85" s="166"/>
      <c r="E85" s="417"/>
      <c r="F85" s="294"/>
      <c r="G85" s="295"/>
      <c r="H85" s="166"/>
      <c r="I85" s="417"/>
      <c r="J85" s="294"/>
      <c r="K85" s="295"/>
      <c r="L85" s="166"/>
      <c r="M85" s="23"/>
    </row>
    <row r="86" spans="1:13" ht="15.75" x14ac:dyDescent="0.2">
      <c r="A86" s="21" t="s">
        <v>383</v>
      </c>
      <c r="B86" s="234"/>
      <c r="C86" s="145"/>
      <c r="D86" s="166"/>
      <c r="E86" s="27"/>
      <c r="F86" s="234"/>
      <c r="G86" s="145"/>
      <c r="H86" s="166"/>
      <c r="I86" s="27"/>
      <c r="J86" s="287"/>
      <c r="K86" s="44"/>
      <c r="L86" s="254"/>
      <c r="M86" s="27"/>
    </row>
    <row r="87" spans="1:13" ht="15.75" x14ac:dyDescent="0.2">
      <c r="A87" s="13" t="s">
        <v>365</v>
      </c>
      <c r="B87" s="353"/>
      <c r="C87" s="353"/>
      <c r="D87" s="171"/>
      <c r="E87" s="11"/>
      <c r="F87" s="352"/>
      <c r="G87" s="352"/>
      <c r="H87" s="171"/>
      <c r="I87" s="11"/>
      <c r="J87" s="309"/>
      <c r="K87" s="236"/>
      <c r="L87" s="428"/>
      <c r="M87" s="11"/>
    </row>
    <row r="88" spans="1:13" x14ac:dyDescent="0.2">
      <c r="A88" s="21" t="s">
        <v>9</v>
      </c>
      <c r="B88" s="234"/>
      <c r="C88" s="145"/>
      <c r="D88" s="166"/>
      <c r="E88" s="27"/>
      <c r="F88" s="234"/>
      <c r="G88" s="145"/>
      <c r="H88" s="166"/>
      <c r="I88" s="27"/>
      <c r="J88" s="287"/>
      <c r="K88" s="44"/>
      <c r="L88" s="254"/>
      <c r="M88" s="27"/>
    </row>
    <row r="89" spans="1:13" x14ac:dyDescent="0.2">
      <c r="A89" s="21" t="s">
        <v>10</v>
      </c>
      <c r="B89" s="234"/>
      <c r="C89" s="145"/>
      <c r="D89" s="166"/>
      <c r="E89" s="27"/>
      <c r="F89" s="234"/>
      <c r="G89" s="145"/>
      <c r="H89" s="166"/>
      <c r="I89" s="27"/>
      <c r="J89" s="287"/>
      <c r="K89" s="44"/>
      <c r="L89" s="254"/>
      <c r="M89" s="27"/>
    </row>
    <row r="90" spans="1:13" ht="15.75" x14ac:dyDescent="0.2">
      <c r="A90" s="296" t="s">
        <v>380</v>
      </c>
      <c r="B90" s="294"/>
      <c r="C90" s="295"/>
      <c r="D90" s="166"/>
      <c r="E90" s="417"/>
      <c r="F90" s="294"/>
      <c r="G90" s="295"/>
      <c r="H90" s="166"/>
      <c r="I90" s="417"/>
      <c r="J90" s="294"/>
      <c r="K90" s="295"/>
      <c r="L90" s="166"/>
      <c r="M90" s="23"/>
    </row>
    <row r="91" spans="1:13" x14ac:dyDescent="0.2">
      <c r="A91" s="296" t="s">
        <v>12</v>
      </c>
      <c r="B91" s="294"/>
      <c r="C91" s="295"/>
      <c r="D91" s="166"/>
      <c r="E91" s="417"/>
      <c r="F91" s="294"/>
      <c r="G91" s="295"/>
      <c r="H91" s="166"/>
      <c r="I91" s="417"/>
      <c r="J91" s="294"/>
      <c r="K91" s="295"/>
      <c r="L91" s="166"/>
      <c r="M91" s="23"/>
    </row>
    <row r="92" spans="1:13" x14ac:dyDescent="0.2">
      <c r="A92" s="296" t="s">
        <v>13</v>
      </c>
      <c r="B92" s="294"/>
      <c r="C92" s="295"/>
      <c r="D92" s="166"/>
      <c r="E92" s="417"/>
      <c r="F92" s="294"/>
      <c r="G92" s="295"/>
      <c r="H92" s="166"/>
      <c r="I92" s="417"/>
      <c r="J92" s="294"/>
      <c r="K92" s="295"/>
      <c r="L92" s="166"/>
      <c r="M92" s="23"/>
    </row>
    <row r="93" spans="1:13" ht="15.75" x14ac:dyDescent="0.2">
      <c r="A93" s="296" t="s">
        <v>381</v>
      </c>
      <c r="B93" s="294"/>
      <c r="C93" s="295"/>
      <c r="D93" s="166"/>
      <c r="E93" s="417"/>
      <c r="F93" s="294"/>
      <c r="G93" s="295"/>
      <c r="H93" s="166"/>
      <c r="I93" s="417"/>
      <c r="J93" s="294"/>
      <c r="K93" s="295"/>
      <c r="L93" s="166"/>
      <c r="M93" s="23"/>
    </row>
    <row r="94" spans="1:13" x14ac:dyDescent="0.2">
      <c r="A94" s="296" t="s">
        <v>12</v>
      </c>
      <c r="B94" s="294"/>
      <c r="C94" s="295"/>
      <c r="D94" s="166"/>
      <c r="E94" s="417"/>
      <c r="F94" s="294"/>
      <c r="G94" s="295"/>
      <c r="H94" s="166"/>
      <c r="I94" s="417"/>
      <c r="J94" s="294"/>
      <c r="K94" s="295"/>
      <c r="L94" s="166"/>
      <c r="M94" s="23"/>
    </row>
    <row r="95" spans="1:13" x14ac:dyDescent="0.2">
      <c r="A95" s="296" t="s">
        <v>13</v>
      </c>
      <c r="B95" s="294"/>
      <c r="C95" s="295"/>
      <c r="D95" s="166"/>
      <c r="E95" s="417"/>
      <c r="F95" s="294"/>
      <c r="G95" s="295"/>
      <c r="H95" s="166"/>
      <c r="I95" s="417"/>
      <c r="J95" s="294"/>
      <c r="K95" s="295"/>
      <c r="L95" s="166"/>
      <c r="M95" s="23"/>
    </row>
    <row r="96" spans="1:13" x14ac:dyDescent="0.2">
      <c r="A96" s="21" t="s">
        <v>348</v>
      </c>
      <c r="B96" s="234"/>
      <c r="C96" s="145"/>
      <c r="D96" s="166"/>
      <c r="E96" s="27"/>
      <c r="F96" s="234"/>
      <c r="G96" s="145"/>
      <c r="H96" s="166"/>
      <c r="I96" s="27"/>
      <c r="J96" s="287"/>
      <c r="K96" s="44"/>
      <c r="L96" s="254"/>
      <c r="M96" s="27"/>
    </row>
    <row r="97" spans="1:13" x14ac:dyDescent="0.2">
      <c r="A97" s="21" t="s">
        <v>347</v>
      </c>
      <c r="B97" s="234"/>
      <c r="C97" s="145"/>
      <c r="D97" s="166"/>
      <c r="E97" s="27"/>
      <c r="F97" s="234"/>
      <c r="G97" s="145"/>
      <c r="H97" s="166"/>
      <c r="I97" s="27"/>
      <c r="J97" s="287"/>
      <c r="K97" s="44"/>
      <c r="L97" s="254"/>
      <c r="M97" s="27"/>
    </row>
    <row r="98" spans="1:13" ht="15.75" x14ac:dyDescent="0.2">
      <c r="A98" s="21" t="s">
        <v>382</v>
      </c>
      <c r="B98" s="234"/>
      <c r="C98" s="234"/>
      <c r="D98" s="166"/>
      <c r="E98" s="27"/>
      <c r="F98" s="292"/>
      <c r="G98" s="292"/>
      <c r="H98" s="166"/>
      <c r="I98" s="27"/>
      <c r="J98" s="287"/>
      <c r="K98" s="44"/>
      <c r="L98" s="254"/>
      <c r="M98" s="27"/>
    </row>
    <row r="99" spans="1:13" x14ac:dyDescent="0.2">
      <c r="A99" s="21" t="s">
        <v>9</v>
      </c>
      <c r="B99" s="292"/>
      <c r="C99" s="293"/>
      <c r="D99" s="166"/>
      <c r="E99" s="27"/>
      <c r="F99" s="234"/>
      <c r="G99" s="145"/>
      <c r="H99" s="166"/>
      <c r="I99" s="27"/>
      <c r="J99" s="287"/>
      <c r="K99" s="44"/>
      <c r="L99" s="254"/>
      <c r="M99" s="27"/>
    </row>
    <row r="100" spans="1:13" x14ac:dyDescent="0.2">
      <c r="A100" s="21" t="s">
        <v>10</v>
      </c>
      <c r="B100" s="292"/>
      <c r="C100" s="293"/>
      <c r="D100" s="166"/>
      <c r="E100" s="27"/>
      <c r="F100" s="234"/>
      <c r="G100" s="234"/>
      <c r="H100" s="166"/>
      <c r="I100" s="27"/>
      <c r="J100" s="287"/>
      <c r="K100" s="44"/>
      <c r="L100" s="254"/>
      <c r="M100" s="27"/>
    </row>
    <row r="101" spans="1:13" ht="15.75" x14ac:dyDescent="0.2">
      <c r="A101" s="296" t="s">
        <v>380</v>
      </c>
      <c r="B101" s="294"/>
      <c r="C101" s="295"/>
      <c r="D101" s="166"/>
      <c r="E101" s="417"/>
      <c r="F101" s="294"/>
      <c r="G101" s="295"/>
      <c r="H101" s="166"/>
      <c r="I101" s="417"/>
      <c r="J101" s="294"/>
      <c r="K101" s="295"/>
      <c r="L101" s="166"/>
      <c r="M101" s="23"/>
    </row>
    <row r="102" spans="1:13" x14ac:dyDescent="0.2">
      <c r="A102" s="296" t="s">
        <v>12</v>
      </c>
      <c r="B102" s="294"/>
      <c r="C102" s="295"/>
      <c r="D102" s="166"/>
      <c r="E102" s="417"/>
      <c r="F102" s="294"/>
      <c r="G102" s="295"/>
      <c r="H102" s="166"/>
      <c r="I102" s="417"/>
      <c r="J102" s="294"/>
      <c r="K102" s="295"/>
      <c r="L102" s="166"/>
      <c r="M102" s="23"/>
    </row>
    <row r="103" spans="1:13" x14ac:dyDescent="0.2">
      <c r="A103" s="296" t="s">
        <v>13</v>
      </c>
      <c r="B103" s="294"/>
      <c r="C103" s="295"/>
      <c r="D103" s="166"/>
      <c r="E103" s="417"/>
      <c r="F103" s="294"/>
      <c r="G103" s="295"/>
      <c r="H103" s="166"/>
      <c r="I103" s="417"/>
      <c r="J103" s="294"/>
      <c r="K103" s="295"/>
      <c r="L103" s="166"/>
      <c r="M103" s="23"/>
    </row>
    <row r="104" spans="1:13" ht="15.75" x14ac:dyDescent="0.2">
      <c r="A104" s="296" t="s">
        <v>381</v>
      </c>
      <c r="B104" s="294"/>
      <c r="C104" s="295"/>
      <c r="D104" s="166"/>
      <c r="E104" s="417"/>
      <c r="F104" s="294"/>
      <c r="G104" s="295"/>
      <c r="H104" s="166"/>
      <c r="I104" s="417"/>
      <c r="J104" s="294"/>
      <c r="K104" s="295"/>
      <c r="L104" s="166"/>
      <c r="M104" s="23"/>
    </row>
    <row r="105" spans="1:13" x14ac:dyDescent="0.2">
      <c r="A105" s="296" t="s">
        <v>12</v>
      </c>
      <c r="B105" s="294"/>
      <c r="C105" s="295"/>
      <c r="D105" s="166"/>
      <c r="E105" s="417"/>
      <c r="F105" s="294"/>
      <c r="G105" s="295"/>
      <c r="H105" s="166"/>
      <c r="I105" s="417"/>
      <c r="J105" s="294"/>
      <c r="K105" s="295"/>
      <c r="L105" s="166"/>
      <c r="M105" s="23"/>
    </row>
    <row r="106" spans="1:13" x14ac:dyDescent="0.2">
      <c r="A106" s="296" t="s">
        <v>13</v>
      </c>
      <c r="B106" s="294"/>
      <c r="C106" s="295"/>
      <c r="D106" s="166"/>
      <c r="E106" s="417"/>
      <c r="F106" s="294"/>
      <c r="G106" s="295"/>
      <c r="H106" s="166"/>
      <c r="I106" s="417"/>
      <c r="J106" s="294"/>
      <c r="K106" s="295"/>
      <c r="L106" s="166"/>
      <c r="M106" s="23"/>
    </row>
    <row r="107" spans="1:13" ht="15.75" x14ac:dyDescent="0.2">
      <c r="A107" s="21" t="s">
        <v>383</v>
      </c>
      <c r="B107" s="234"/>
      <c r="C107" s="145"/>
      <c r="D107" s="166"/>
      <c r="E107" s="27"/>
      <c r="F107" s="234"/>
      <c r="G107" s="145"/>
      <c r="H107" s="166"/>
      <c r="I107" s="27"/>
      <c r="J107" s="287"/>
      <c r="K107" s="44"/>
      <c r="L107" s="254"/>
      <c r="M107" s="27"/>
    </row>
    <row r="108" spans="1:13" ht="15.75" x14ac:dyDescent="0.2">
      <c r="A108" s="21" t="s">
        <v>384</v>
      </c>
      <c r="B108" s="234"/>
      <c r="C108" s="234"/>
      <c r="D108" s="166"/>
      <c r="E108" s="27"/>
      <c r="F108" s="234"/>
      <c r="G108" s="234"/>
      <c r="H108" s="166"/>
      <c r="I108" s="27"/>
      <c r="J108" s="287"/>
      <c r="K108" s="44"/>
      <c r="L108" s="254"/>
      <c r="M108" s="27"/>
    </row>
    <row r="109" spans="1:13" ht="15.75" x14ac:dyDescent="0.2">
      <c r="A109" s="21" t="s">
        <v>385</v>
      </c>
      <c r="B109" s="234"/>
      <c r="C109" s="234"/>
      <c r="D109" s="166"/>
      <c r="E109" s="27"/>
      <c r="F109" s="234"/>
      <c r="G109" s="234"/>
      <c r="H109" s="166"/>
      <c r="I109" s="27"/>
      <c r="J109" s="287"/>
      <c r="K109" s="44"/>
      <c r="L109" s="254"/>
      <c r="M109" s="27"/>
    </row>
    <row r="110" spans="1:13" ht="15.75" x14ac:dyDescent="0.2">
      <c r="A110" s="21" t="s">
        <v>386</v>
      </c>
      <c r="B110" s="234"/>
      <c r="C110" s="234"/>
      <c r="D110" s="166"/>
      <c r="E110" s="27"/>
      <c r="F110" s="234"/>
      <c r="G110" s="234"/>
      <c r="H110" s="166"/>
      <c r="I110" s="27"/>
      <c r="J110" s="287"/>
      <c r="K110" s="44"/>
      <c r="L110" s="254"/>
      <c r="M110" s="27"/>
    </row>
    <row r="111" spans="1:13" ht="15.75" x14ac:dyDescent="0.2">
      <c r="A111" s="13" t="s">
        <v>366</v>
      </c>
      <c r="B111" s="308"/>
      <c r="C111" s="159"/>
      <c r="D111" s="171"/>
      <c r="E111" s="11"/>
      <c r="F111" s="308"/>
      <c r="G111" s="159"/>
      <c r="H111" s="171"/>
      <c r="I111" s="11"/>
      <c r="J111" s="309"/>
      <c r="K111" s="236"/>
      <c r="L111" s="428"/>
      <c r="M111" s="11"/>
    </row>
    <row r="112" spans="1:13" x14ac:dyDescent="0.2">
      <c r="A112" s="21" t="s">
        <v>9</v>
      </c>
      <c r="B112" s="234"/>
      <c r="C112" s="145"/>
      <c r="D112" s="166"/>
      <c r="E112" s="27"/>
      <c r="F112" s="234"/>
      <c r="G112" s="145"/>
      <c r="H112" s="166"/>
      <c r="I112" s="27"/>
      <c r="J112" s="287"/>
      <c r="K112" s="44"/>
      <c r="L112" s="254"/>
      <c r="M112" s="27"/>
    </row>
    <row r="113" spans="1:14" x14ac:dyDescent="0.2">
      <c r="A113" s="21" t="s">
        <v>10</v>
      </c>
      <c r="B113" s="234"/>
      <c r="C113" s="145"/>
      <c r="D113" s="166"/>
      <c r="E113" s="27"/>
      <c r="F113" s="234"/>
      <c r="G113" s="145"/>
      <c r="H113" s="166"/>
      <c r="I113" s="27"/>
      <c r="J113" s="287"/>
      <c r="K113" s="44"/>
      <c r="L113" s="254"/>
      <c r="M113" s="27"/>
    </row>
    <row r="114" spans="1:14" x14ac:dyDescent="0.2">
      <c r="A114" s="21" t="s">
        <v>26</v>
      </c>
      <c r="B114" s="234"/>
      <c r="C114" s="145"/>
      <c r="D114" s="166"/>
      <c r="E114" s="27"/>
      <c r="F114" s="234"/>
      <c r="G114" s="145"/>
      <c r="H114" s="166"/>
      <c r="I114" s="27"/>
      <c r="J114" s="287"/>
      <c r="K114" s="44"/>
      <c r="L114" s="254"/>
      <c r="M114" s="27"/>
    </row>
    <row r="115" spans="1:14" x14ac:dyDescent="0.2">
      <c r="A115" s="296" t="s">
        <v>15</v>
      </c>
      <c r="B115" s="294"/>
      <c r="C115" s="295"/>
      <c r="D115" s="166"/>
      <c r="E115" s="417"/>
      <c r="F115" s="294"/>
      <c r="G115" s="295"/>
      <c r="H115" s="166"/>
      <c r="I115" s="417"/>
      <c r="J115" s="294"/>
      <c r="K115" s="295"/>
      <c r="L115" s="166"/>
      <c r="M115" s="23"/>
    </row>
    <row r="116" spans="1:14" ht="15.75" x14ac:dyDescent="0.2">
      <c r="A116" s="21" t="s">
        <v>387</v>
      </c>
      <c r="B116" s="234"/>
      <c r="C116" s="234"/>
      <c r="D116" s="166"/>
      <c r="E116" s="27"/>
      <c r="F116" s="234"/>
      <c r="G116" s="234"/>
      <c r="H116" s="166"/>
      <c r="I116" s="27"/>
      <c r="J116" s="287"/>
      <c r="K116" s="44"/>
      <c r="L116" s="254"/>
      <c r="M116" s="27"/>
    </row>
    <row r="117" spans="1:14" ht="15.75" x14ac:dyDescent="0.2">
      <c r="A117" s="21" t="s">
        <v>388</v>
      </c>
      <c r="B117" s="234"/>
      <c r="C117" s="234"/>
      <c r="D117" s="166"/>
      <c r="E117" s="27"/>
      <c r="F117" s="234"/>
      <c r="G117" s="234"/>
      <c r="H117" s="166"/>
      <c r="I117" s="27"/>
      <c r="J117" s="287"/>
      <c r="K117" s="44"/>
      <c r="L117" s="254"/>
      <c r="M117" s="27"/>
    </row>
    <row r="118" spans="1:14" ht="15.75" x14ac:dyDescent="0.2">
      <c r="A118" s="21" t="s">
        <v>386</v>
      </c>
      <c r="B118" s="234"/>
      <c r="C118" s="234"/>
      <c r="D118" s="166"/>
      <c r="E118" s="27"/>
      <c r="F118" s="234"/>
      <c r="G118" s="234"/>
      <c r="H118" s="166"/>
      <c r="I118" s="27"/>
      <c r="J118" s="287"/>
      <c r="K118" s="44"/>
      <c r="L118" s="254"/>
      <c r="M118" s="27"/>
    </row>
    <row r="119" spans="1:14" ht="15.75" x14ac:dyDescent="0.2">
      <c r="A119" s="13" t="s">
        <v>367</v>
      </c>
      <c r="B119" s="308"/>
      <c r="C119" s="159"/>
      <c r="D119" s="171"/>
      <c r="E119" s="11"/>
      <c r="F119" s="308"/>
      <c r="G119" s="159"/>
      <c r="H119" s="171"/>
      <c r="I119" s="11"/>
      <c r="J119" s="309"/>
      <c r="K119" s="236"/>
      <c r="L119" s="428"/>
      <c r="M119" s="11"/>
    </row>
    <row r="120" spans="1:14" x14ac:dyDescent="0.2">
      <c r="A120" s="21" t="s">
        <v>9</v>
      </c>
      <c r="B120" s="234"/>
      <c r="C120" s="145"/>
      <c r="D120" s="166"/>
      <c r="E120" s="27"/>
      <c r="F120" s="234"/>
      <c r="G120" s="145"/>
      <c r="H120" s="166"/>
      <c r="I120" s="27"/>
      <c r="J120" s="287"/>
      <c r="K120" s="44"/>
      <c r="L120" s="254"/>
      <c r="M120" s="27"/>
    </row>
    <row r="121" spans="1:14" x14ac:dyDescent="0.2">
      <c r="A121" s="21" t="s">
        <v>10</v>
      </c>
      <c r="B121" s="234"/>
      <c r="C121" s="145"/>
      <c r="D121" s="166"/>
      <c r="E121" s="27"/>
      <c r="F121" s="234"/>
      <c r="G121" s="145"/>
      <c r="H121" s="166"/>
      <c r="I121" s="27"/>
      <c r="J121" s="287"/>
      <c r="K121" s="44"/>
      <c r="L121" s="254"/>
      <c r="M121" s="27"/>
    </row>
    <row r="122" spans="1:14" x14ac:dyDescent="0.2">
      <c r="A122" s="21" t="s">
        <v>26</v>
      </c>
      <c r="B122" s="234"/>
      <c r="C122" s="145"/>
      <c r="D122" s="166"/>
      <c r="E122" s="27"/>
      <c r="F122" s="234"/>
      <c r="G122" s="145"/>
      <c r="H122" s="166"/>
      <c r="I122" s="27"/>
      <c r="J122" s="287"/>
      <c r="K122" s="44"/>
      <c r="L122" s="254"/>
      <c r="M122" s="27"/>
    </row>
    <row r="123" spans="1:14" x14ac:dyDescent="0.2">
      <c r="A123" s="296" t="s">
        <v>14</v>
      </c>
      <c r="B123" s="294"/>
      <c r="C123" s="295"/>
      <c r="D123" s="166"/>
      <c r="E123" s="417"/>
      <c r="F123" s="294"/>
      <c r="G123" s="295"/>
      <c r="H123" s="166"/>
      <c r="I123" s="417"/>
      <c r="J123" s="294"/>
      <c r="K123" s="295"/>
      <c r="L123" s="166"/>
      <c r="M123" s="23"/>
    </row>
    <row r="124" spans="1:14" ht="15.75" x14ac:dyDescent="0.2">
      <c r="A124" s="21" t="s">
        <v>393</v>
      </c>
      <c r="B124" s="234"/>
      <c r="C124" s="234"/>
      <c r="D124" s="166"/>
      <c r="E124" s="27"/>
      <c r="F124" s="234"/>
      <c r="G124" s="234"/>
      <c r="H124" s="166"/>
      <c r="I124" s="27"/>
      <c r="J124" s="287"/>
      <c r="K124" s="44"/>
      <c r="L124" s="254"/>
      <c r="M124" s="27"/>
    </row>
    <row r="125" spans="1:14" ht="15.75" x14ac:dyDescent="0.2">
      <c r="A125" s="21" t="s">
        <v>385</v>
      </c>
      <c r="B125" s="234"/>
      <c r="C125" s="234"/>
      <c r="D125" s="166"/>
      <c r="E125" s="27"/>
      <c r="F125" s="234"/>
      <c r="G125" s="234"/>
      <c r="H125" s="166"/>
      <c r="I125" s="27"/>
      <c r="J125" s="287"/>
      <c r="K125" s="44"/>
      <c r="L125" s="254"/>
      <c r="M125" s="27"/>
    </row>
    <row r="126" spans="1:14" ht="15.75" x14ac:dyDescent="0.2">
      <c r="A126" s="10" t="s">
        <v>386</v>
      </c>
      <c r="B126" s="45"/>
      <c r="C126" s="45"/>
      <c r="D126" s="167"/>
      <c r="E126" s="418"/>
      <c r="F126" s="45"/>
      <c r="G126" s="45"/>
      <c r="H126" s="167"/>
      <c r="I126" s="22"/>
      <c r="J126" s="288"/>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35"/>
      <c r="C130" s="735"/>
      <c r="D130" s="735"/>
      <c r="E130" s="299"/>
      <c r="F130" s="735"/>
      <c r="G130" s="735"/>
      <c r="H130" s="735"/>
      <c r="I130" s="299"/>
      <c r="J130" s="735"/>
      <c r="K130" s="735"/>
      <c r="L130" s="735"/>
      <c r="M130" s="299"/>
    </row>
    <row r="131" spans="1:14" s="3" customFormat="1" x14ac:dyDescent="0.2">
      <c r="A131" s="144"/>
      <c r="B131" s="733" t="s">
        <v>0</v>
      </c>
      <c r="C131" s="734"/>
      <c r="D131" s="734"/>
      <c r="E131" s="301"/>
      <c r="F131" s="733" t="s">
        <v>1</v>
      </c>
      <c r="G131" s="734"/>
      <c r="H131" s="734"/>
      <c r="I131" s="304"/>
      <c r="J131" s="733" t="s">
        <v>2</v>
      </c>
      <c r="K131" s="734"/>
      <c r="L131" s="734"/>
      <c r="M131" s="304"/>
      <c r="N131" s="148"/>
    </row>
    <row r="132" spans="1:14" s="3" customFormat="1" x14ac:dyDescent="0.2">
      <c r="A132" s="140"/>
      <c r="B132" s="152" t="s">
        <v>421</v>
      </c>
      <c r="C132" s="152" t="s">
        <v>422</v>
      </c>
      <c r="D132" s="245" t="s">
        <v>3</v>
      </c>
      <c r="E132" s="305" t="s">
        <v>29</v>
      </c>
      <c r="F132" s="152" t="s">
        <v>421</v>
      </c>
      <c r="G132" s="152" t="s">
        <v>422</v>
      </c>
      <c r="H132" s="206" t="s">
        <v>3</v>
      </c>
      <c r="I132" s="162" t="s">
        <v>29</v>
      </c>
      <c r="J132" s="152" t="s">
        <v>421</v>
      </c>
      <c r="K132" s="152" t="s">
        <v>422</v>
      </c>
      <c r="L132" s="246" t="s">
        <v>3</v>
      </c>
      <c r="M132" s="162" t="s">
        <v>29</v>
      </c>
      <c r="N132" s="148"/>
    </row>
    <row r="133" spans="1:14" s="3" customFormat="1" x14ac:dyDescent="0.2">
      <c r="A133" s="708"/>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389</v>
      </c>
      <c r="B134" s="236"/>
      <c r="C134" s="309"/>
      <c r="D134" s="350"/>
      <c r="E134" s="11"/>
      <c r="F134" s="316"/>
      <c r="G134" s="317"/>
      <c r="H134" s="431"/>
      <c r="I134" s="24"/>
      <c r="J134" s="318"/>
      <c r="K134" s="318"/>
      <c r="L134" s="427"/>
      <c r="M134" s="11"/>
      <c r="N134" s="148"/>
    </row>
    <row r="135" spans="1:14" s="3" customFormat="1" ht="15.75" x14ac:dyDescent="0.2">
      <c r="A135" s="13" t="s">
        <v>394</v>
      </c>
      <c r="B135" s="236"/>
      <c r="C135" s="309"/>
      <c r="D135" s="171"/>
      <c r="E135" s="11"/>
      <c r="F135" s="236"/>
      <c r="G135" s="309"/>
      <c r="H135" s="432"/>
      <c r="I135" s="24"/>
      <c r="J135" s="308"/>
      <c r="K135" s="308"/>
      <c r="L135" s="428"/>
      <c r="M135" s="11"/>
      <c r="N135" s="148"/>
    </row>
    <row r="136" spans="1:14" s="3" customFormat="1" ht="15.75" x14ac:dyDescent="0.2">
      <c r="A136" s="13" t="s">
        <v>391</v>
      </c>
      <c r="B136" s="236"/>
      <c r="C136" s="309"/>
      <c r="D136" s="171"/>
      <c r="E136" s="11"/>
      <c r="F136" s="236"/>
      <c r="G136" s="309"/>
      <c r="H136" s="432"/>
      <c r="I136" s="24"/>
      <c r="J136" s="308"/>
      <c r="K136" s="308"/>
      <c r="L136" s="428"/>
      <c r="M136" s="11"/>
      <c r="N136" s="148"/>
    </row>
    <row r="137" spans="1:14" s="3" customFormat="1" ht="15.75" x14ac:dyDescent="0.2">
      <c r="A137" s="41" t="s">
        <v>392</v>
      </c>
      <c r="B137" s="276"/>
      <c r="C137" s="315"/>
      <c r="D137" s="169"/>
      <c r="E137" s="9"/>
      <c r="F137" s="276"/>
      <c r="G137" s="315"/>
      <c r="H137" s="433"/>
      <c r="I137" s="36"/>
      <c r="J137" s="314"/>
      <c r="K137" s="314"/>
      <c r="L137" s="429"/>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340" priority="132">
      <formula>kvartal &lt; 4</formula>
    </cfRule>
  </conditionalFormatting>
  <conditionalFormatting sqref="A50:A52">
    <cfRule type="expression" dxfId="339" priority="12">
      <formula>kvartal &lt; 4</formula>
    </cfRule>
  </conditionalFormatting>
  <conditionalFormatting sqref="A69:A74">
    <cfRule type="expression" dxfId="338" priority="10">
      <formula>kvartal &lt; 4</formula>
    </cfRule>
  </conditionalFormatting>
  <conditionalFormatting sqref="A80:A85">
    <cfRule type="expression" dxfId="337" priority="9">
      <formula>kvartal &lt; 4</formula>
    </cfRule>
  </conditionalFormatting>
  <conditionalFormatting sqref="A90:A95">
    <cfRule type="expression" dxfId="336" priority="6">
      <formula>kvartal &lt; 4</formula>
    </cfRule>
  </conditionalFormatting>
  <conditionalFormatting sqref="A101:A106">
    <cfRule type="expression" dxfId="335" priority="5">
      <formula>kvartal &lt; 4</formula>
    </cfRule>
  </conditionalFormatting>
  <conditionalFormatting sqref="A115">
    <cfRule type="expression" dxfId="334" priority="4">
      <formula>kvartal &lt; 4</formula>
    </cfRule>
  </conditionalFormatting>
  <conditionalFormatting sqref="A123">
    <cfRule type="expression" dxfId="333" priority="3">
      <formula>kvartal &lt; 4</formula>
    </cfRule>
  </conditionalFormatting>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19"/>
  <dimension ref="A1:N144"/>
  <sheetViews>
    <sheetView showGridLines="0" zoomScaleNormal="100" workbookViewId="0">
      <selection activeCell="A3" sqref="A3"/>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135</v>
      </c>
      <c r="B1" s="709"/>
      <c r="C1" s="248" t="s">
        <v>129</v>
      </c>
      <c r="D1" s="26"/>
      <c r="E1" s="26"/>
      <c r="F1" s="26"/>
      <c r="G1" s="26"/>
      <c r="H1" s="26"/>
      <c r="I1" s="26"/>
      <c r="J1" s="26"/>
      <c r="K1" s="26"/>
      <c r="L1" s="26"/>
      <c r="M1" s="26"/>
    </row>
    <row r="2" spans="1:14" ht="15.75" x14ac:dyDescent="0.25">
      <c r="A2" s="165" t="s">
        <v>28</v>
      </c>
      <c r="B2" s="732"/>
      <c r="C2" s="732"/>
      <c r="D2" s="732"/>
      <c r="E2" s="299"/>
      <c r="F2" s="732"/>
      <c r="G2" s="732"/>
      <c r="H2" s="732"/>
      <c r="I2" s="299"/>
      <c r="J2" s="732"/>
      <c r="K2" s="732"/>
      <c r="L2" s="732"/>
      <c r="M2" s="299"/>
    </row>
    <row r="3" spans="1:14" ht="15.75" x14ac:dyDescent="0.25">
      <c r="A3" s="163"/>
      <c r="B3" s="299"/>
      <c r="C3" s="299"/>
      <c r="D3" s="299"/>
      <c r="E3" s="299"/>
      <c r="F3" s="299"/>
      <c r="G3" s="299"/>
      <c r="H3" s="299"/>
      <c r="I3" s="299"/>
      <c r="J3" s="299"/>
      <c r="K3" s="299"/>
      <c r="L3" s="299"/>
      <c r="M3" s="299"/>
    </row>
    <row r="4" spans="1:14" x14ac:dyDescent="0.2">
      <c r="A4" s="144"/>
      <c r="B4" s="733" t="s">
        <v>0</v>
      </c>
      <c r="C4" s="734"/>
      <c r="D4" s="734"/>
      <c r="E4" s="301"/>
      <c r="F4" s="733" t="s">
        <v>1</v>
      </c>
      <c r="G4" s="734"/>
      <c r="H4" s="734"/>
      <c r="I4" s="304"/>
      <c r="J4" s="733" t="s">
        <v>2</v>
      </c>
      <c r="K4" s="734"/>
      <c r="L4" s="734"/>
      <c r="M4" s="304"/>
    </row>
    <row r="5" spans="1:14" x14ac:dyDescent="0.2">
      <c r="A5" s="158"/>
      <c r="B5" s="152" t="s">
        <v>421</v>
      </c>
      <c r="C5" s="152" t="s">
        <v>422</v>
      </c>
      <c r="D5" s="245" t="s">
        <v>3</v>
      </c>
      <c r="E5" s="305" t="s">
        <v>29</v>
      </c>
      <c r="F5" s="152" t="s">
        <v>421</v>
      </c>
      <c r="G5" s="152" t="s">
        <v>422</v>
      </c>
      <c r="H5" s="245" t="s">
        <v>3</v>
      </c>
      <c r="I5" s="162" t="s">
        <v>29</v>
      </c>
      <c r="J5" s="152" t="s">
        <v>421</v>
      </c>
      <c r="K5" s="152" t="s">
        <v>422</v>
      </c>
      <c r="L5" s="245" t="s">
        <v>3</v>
      </c>
      <c r="M5" s="162" t="s">
        <v>29</v>
      </c>
    </row>
    <row r="6" spans="1:14" x14ac:dyDescent="0.2">
      <c r="A6" s="707"/>
      <c r="B6" s="156"/>
      <c r="C6" s="156"/>
      <c r="D6" s="246" t="s">
        <v>4</v>
      </c>
      <c r="E6" s="156" t="s">
        <v>30</v>
      </c>
      <c r="F6" s="161"/>
      <c r="G6" s="161"/>
      <c r="H6" s="245" t="s">
        <v>4</v>
      </c>
      <c r="I6" s="156" t="s">
        <v>30</v>
      </c>
      <c r="J6" s="161"/>
      <c r="K6" s="161"/>
      <c r="L6" s="245" t="s">
        <v>4</v>
      </c>
      <c r="M6" s="156" t="s">
        <v>30</v>
      </c>
    </row>
    <row r="7" spans="1:14" ht="15.75" x14ac:dyDescent="0.2">
      <c r="A7" s="14" t="s">
        <v>23</v>
      </c>
      <c r="B7" s="306">
        <v>261199.59400000001</v>
      </c>
      <c r="C7" s="307">
        <v>282885.61700000003</v>
      </c>
      <c r="D7" s="350">
        <f>IF(B7=0, "    ---- ", IF(ABS(ROUND(100/B7*C7-100,1))&lt;999,ROUND(100/B7*C7-100,1),IF(ROUND(100/B7*C7-100,1)&gt;999,999,-999)))</f>
        <v>8.3000000000000007</v>
      </c>
      <c r="E7" s="11">
        <f>IFERROR(100/'Skjema total MA'!C7*C7,0)</f>
        <v>7.6661479073132579</v>
      </c>
      <c r="F7" s="306"/>
      <c r="G7" s="307"/>
      <c r="H7" s="350"/>
      <c r="I7" s="160"/>
      <c r="J7" s="308">
        <f t="shared" ref="J7:K9" si="0">SUM(B7,F7)</f>
        <v>261199.59400000001</v>
      </c>
      <c r="K7" s="309">
        <f t="shared" si="0"/>
        <v>282885.61700000003</v>
      </c>
      <c r="L7" s="427">
        <f>IF(J7=0, "    ---- ", IF(ABS(ROUND(100/J7*K7-100,1))&lt;999,ROUND(100/J7*K7-100,1),IF(ROUND(100/J7*K7-100,1)&gt;999,999,-999)))</f>
        <v>8.3000000000000007</v>
      </c>
      <c r="M7" s="11">
        <f>IFERROR(100/'Skjema total MA'!I7*K7,0)</f>
        <v>2.6702501375307235</v>
      </c>
    </row>
    <row r="8" spans="1:14" ht="15.75" x14ac:dyDescent="0.2">
      <c r="A8" s="21" t="s">
        <v>25</v>
      </c>
      <c r="B8" s="281">
        <v>172937.68400000001</v>
      </c>
      <c r="C8" s="282">
        <v>193023.47399999999</v>
      </c>
      <c r="D8" s="166">
        <f t="shared" ref="D8:D9" si="1">IF(B8=0, "    ---- ", IF(ABS(ROUND(100/B8*C8-100,1))&lt;999,ROUND(100/B8*C8-100,1),IF(ROUND(100/B8*C8-100,1)&gt;999,999,-999)))</f>
        <v>11.6</v>
      </c>
      <c r="E8" s="27">
        <f>IFERROR(100/'Skjema total MA'!C8*C8,0)</f>
        <v>7.9790554655844801</v>
      </c>
      <c r="F8" s="285"/>
      <c r="G8" s="286"/>
      <c r="H8" s="166"/>
      <c r="I8" s="175"/>
      <c r="J8" s="234">
        <f t="shared" si="0"/>
        <v>172937.68400000001</v>
      </c>
      <c r="K8" s="287">
        <f t="shared" si="0"/>
        <v>193023.47399999999</v>
      </c>
      <c r="L8" s="166">
        <f t="shared" ref="L8:L9" si="2">IF(J8=0, "    ---- ", IF(ABS(ROUND(100/J8*K8-100,1))&lt;999,ROUND(100/J8*K8-100,1),IF(ROUND(100/J8*K8-100,1)&gt;999,999,-999)))</f>
        <v>11.6</v>
      </c>
      <c r="M8" s="27">
        <f>IFERROR(100/'Skjema total MA'!I8*K8,0)</f>
        <v>7.9790554655844801</v>
      </c>
    </row>
    <row r="9" spans="1:14" ht="15.75" x14ac:dyDescent="0.2">
      <c r="A9" s="21" t="s">
        <v>24</v>
      </c>
      <c r="B9" s="281">
        <v>88261.91</v>
      </c>
      <c r="C9" s="282">
        <v>89862.142999999996</v>
      </c>
      <c r="D9" s="166">
        <f t="shared" si="1"/>
        <v>1.8</v>
      </c>
      <c r="E9" s="27">
        <f>IFERROR(100/'Skjema total MA'!C9*C9,0)</f>
        <v>11.911130008402722</v>
      </c>
      <c r="F9" s="285"/>
      <c r="G9" s="286"/>
      <c r="H9" s="166"/>
      <c r="I9" s="175"/>
      <c r="J9" s="234">
        <f t="shared" si="0"/>
        <v>88261.91</v>
      </c>
      <c r="K9" s="287">
        <f t="shared" si="0"/>
        <v>89862.142999999996</v>
      </c>
      <c r="L9" s="166">
        <f t="shared" si="2"/>
        <v>1.8</v>
      </c>
      <c r="M9" s="27">
        <f>IFERROR(100/'Skjema total MA'!I9*K9,0)</f>
        <v>11.911130008402722</v>
      </c>
    </row>
    <row r="10" spans="1:14" ht="15.75" x14ac:dyDescent="0.2">
      <c r="A10" s="13" t="s">
        <v>365</v>
      </c>
      <c r="B10" s="310"/>
      <c r="C10" s="311"/>
      <c r="D10" s="171"/>
      <c r="E10" s="11"/>
      <c r="F10" s="310"/>
      <c r="G10" s="311"/>
      <c r="H10" s="171"/>
      <c r="I10" s="160"/>
      <c r="J10" s="308"/>
      <c r="K10" s="309"/>
      <c r="L10" s="428"/>
      <c r="M10" s="11"/>
    </row>
    <row r="11" spans="1:14" s="43" customFormat="1" ht="15.75" x14ac:dyDescent="0.2">
      <c r="A11" s="13" t="s">
        <v>366</v>
      </c>
      <c r="B11" s="310"/>
      <c r="C11" s="311"/>
      <c r="D11" s="171"/>
      <c r="E11" s="11"/>
      <c r="F11" s="310"/>
      <c r="G11" s="311"/>
      <c r="H11" s="171"/>
      <c r="I11" s="160"/>
      <c r="J11" s="308"/>
      <c r="K11" s="309"/>
      <c r="L11" s="428"/>
      <c r="M11" s="11"/>
      <c r="N11" s="143"/>
    </row>
    <row r="12" spans="1:14" s="43" customFormat="1" ht="15.75" x14ac:dyDescent="0.2">
      <c r="A12" s="41" t="s">
        <v>367</v>
      </c>
      <c r="B12" s="312"/>
      <c r="C12" s="313"/>
      <c r="D12" s="169"/>
      <c r="E12" s="36"/>
      <c r="F12" s="312"/>
      <c r="G12" s="313"/>
      <c r="H12" s="169"/>
      <c r="I12" s="169"/>
      <c r="J12" s="314"/>
      <c r="K12" s="315"/>
      <c r="L12" s="429"/>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275</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272</v>
      </c>
      <c r="B17" s="157"/>
      <c r="C17" s="157"/>
      <c r="D17" s="151"/>
      <c r="E17" s="151"/>
      <c r="F17" s="157"/>
      <c r="G17" s="157"/>
      <c r="H17" s="157"/>
      <c r="I17" s="157"/>
      <c r="J17" s="157"/>
      <c r="K17" s="157"/>
      <c r="L17" s="157"/>
      <c r="M17" s="157"/>
    </row>
    <row r="18" spans="1:14" ht="15.75" x14ac:dyDescent="0.25">
      <c r="B18" s="735"/>
      <c r="C18" s="735"/>
      <c r="D18" s="735"/>
      <c r="E18" s="299"/>
      <c r="F18" s="735"/>
      <c r="G18" s="735"/>
      <c r="H18" s="735"/>
      <c r="I18" s="299"/>
      <c r="J18" s="735"/>
      <c r="K18" s="735"/>
      <c r="L18" s="735"/>
      <c r="M18" s="299"/>
    </row>
    <row r="19" spans="1:14" x14ac:dyDescent="0.2">
      <c r="A19" s="144"/>
      <c r="B19" s="733" t="s">
        <v>0</v>
      </c>
      <c r="C19" s="734"/>
      <c r="D19" s="734"/>
      <c r="E19" s="301"/>
      <c r="F19" s="733" t="s">
        <v>1</v>
      </c>
      <c r="G19" s="734"/>
      <c r="H19" s="734"/>
      <c r="I19" s="304"/>
      <c r="J19" s="733" t="s">
        <v>2</v>
      </c>
      <c r="K19" s="734"/>
      <c r="L19" s="734"/>
      <c r="M19" s="304"/>
    </row>
    <row r="20" spans="1:14" x14ac:dyDescent="0.2">
      <c r="A20" s="140" t="s">
        <v>5</v>
      </c>
      <c r="B20" s="152" t="s">
        <v>421</v>
      </c>
      <c r="C20" s="152" t="s">
        <v>422</v>
      </c>
      <c r="D20" s="162" t="s">
        <v>3</v>
      </c>
      <c r="E20" s="305" t="s">
        <v>29</v>
      </c>
      <c r="F20" s="152" t="s">
        <v>421</v>
      </c>
      <c r="G20" s="152" t="s">
        <v>422</v>
      </c>
      <c r="H20" s="162" t="s">
        <v>3</v>
      </c>
      <c r="I20" s="162" t="s">
        <v>29</v>
      </c>
      <c r="J20" s="152" t="s">
        <v>421</v>
      </c>
      <c r="K20" s="152" t="s">
        <v>422</v>
      </c>
      <c r="L20" s="162" t="s">
        <v>3</v>
      </c>
      <c r="M20" s="162" t="s">
        <v>29</v>
      </c>
    </row>
    <row r="21" spans="1:14" x14ac:dyDescent="0.2">
      <c r="A21" s="708"/>
      <c r="B21" s="156"/>
      <c r="C21" s="156"/>
      <c r="D21" s="246" t="s">
        <v>4</v>
      </c>
      <c r="E21" s="156" t="s">
        <v>30</v>
      </c>
      <c r="F21" s="161"/>
      <c r="G21" s="161"/>
      <c r="H21" s="245" t="s">
        <v>4</v>
      </c>
      <c r="I21" s="156" t="s">
        <v>30</v>
      </c>
      <c r="J21" s="161"/>
      <c r="K21" s="161"/>
      <c r="L21" s="156" t="s">
        <v>4</v>
      </c>
      <c r="M21" s="156" t="s">
        <v>30</v>
      </c>
    </row>
    <row r="22" spans="1:14" ht="15.75" x14ac:dyDescent="0.2">
      <c r="A22" s="14" t="s">
        <v>23</v>
      </c>
      <c r="B22" s="310"/>
      <c r="C22" s="310"/>
      <c r="D22" s="350"/>
      <c r="E22" s="11"/>
      <c r="F22" s="318"/>
      <c r="G22" s="318"/>
      <c r="H22" s="350"/>
      <c r="I22" s="11"/>
      <c r="J22" s="316"/>
      <c r="K22" s="316"/>
      <c r="L22" s="427"/>
      <c r="M22" s="24"/>
    </row>
    <row r="23" spans="1:14" ht="15.75" x14ac:dyDescent="0.2">
      <c r="A23" s="584" t="s">
        <v>368</v>
      </c>
      <c r="B23" s="281"/>
      <c r="C23" s="281"/>
      <c r="D23" s="166"/>
      <c r="E23" s="11"/>
      <c r="F23" s="290"/>
      <c r="G23" s="290"/>
      <c r="H23" s="166"/>
      <c r="I23" s="417"/>
      <c r="J23" s="290"/>
      <c r="K23" s="290"/>
      <c r="L23" s="166"/>
      <c r="M23" s="23"/>
    </row>
    <row r="24" spans="1:14" ht="15.75" x14ac:dyDescent="0.2">
      <c r="A24" s="584" t="s">
        <v>369</v>
      </c>
      <c r="B24" s="281"/>
      <c r="C24" s="281"/>
      <c r="D24" s="166"/>
      <c r="E24" s="11"/>
      <c r="F24" s="290"/>
      <c r="G24" s="290"/>
      <c r="H24" s="166"/>
      <c r="I24" s="417"/>
      <c r="J24" s="290"/>
      <c r="K24" s="290"/>
      <c r="L24" s="166"/>
      <c r="M24" s="23"/>
    </row>
    <row r="25" spans="1:14" ht="15.75" x14ac:dyDescent="0.2">
      <c r="A25" s="584" t="s">
        <v>370</v>
      </c>
      <c r="B25" s="281"/>
      <c r="C25" s="281"/>
      <c r="D25" s="166"/>
      <c r="E25" s="11"/>
      <c r="F25" s="290"/>
      <c r="G25" s="290"/>
      <c r="H25" s="166"/>
      <c r="I25" s="417"/>
      <c r="J25" s="290"/>
      <c r="K25" s="290"/>
      <c r="L25" s="166"/>
      <c r="M25" s="23"/>
    </row>
    <row r="26" spans="1:14" ht="15.75" x14ac:dyDescent="0.2">
      <c r="A26" s="584" t="s">
        <v>371</v>
      </c>
      <c r="B26" s="281"/>
      <c r="C26" s="281"/>
      <c r="D26" s="166"/>
      <c r="E26" s="11"/>
      <c r="F26" s="290"/>
      <c r="G26" s="290"/>
      <c r="H26" s="166"/>
      <c r="I26" s="417"/>
      <c r="J26" s="290"/>
      <c r="K26" s="290"/>
      <c r="L26" s="166"/>
      <c r="M26" s="23"/>
    </row>
    <row r="27" spans="1:14" x14ac:dyDescent="0.2">
      <c r="A27" s="584" t="s">
        <v>11</v>
      </c>
      <c r="B27" s="281"/>
      <c r="C27" s="281"/>
      <c r="D27" s="166"/>
      <c r="E27" s="11"/>
      <c r="F27" s="290"/>
      <c r="G27" s="290"/>
      <c r="H27" s="166"/>
      <c r="I27" s="417"/>
      <c r="J27" s="290"/>
      <c r="K27" s="290"/>
      <c r="L27" s="166"/>
      <c r="M27" s="23"/>
    </row>
    <row r="28" spans="1:14" ht="15.75" x14ac:dyDescent="0.2">
      <c r="A28" s="49" t="s">
        <v>276</v>
      </c>
      <c r="B28" s="44">
        <v>114858.35400000001</v>
      </c>
      <c r="C28" s="287">
        <v>136331.60999999999</v>
      </c>
      <c r="D28" s="166">
        <f t="shared" ref="D28" si="3">IF(B28=0, "    ---- ", IF(ABS(ROUND(100/B28*C28-100,1))&lt;999,ROUND(100/B28*C28-100,1),IF(ROUND(100/B28*C28-100,1)&gt;999,999,-999)))</f>
        <v>18.7</v>
      </c>
      <c r="E28" s="11">
        <f>IFERROR(100/'Skjema total MA'!C28*C28,0)</f>
        <v>9.2047476242441988</v>
      </c>
      <c r="F28" s="234"/>
      <c r="G28" s="287"/>
      <c r="H28" s="166"/>
      <c r="I28" s="27"/>
      <c r="J28" s="44">
        <f t="shared" ref="J28:K28" si="4">SUM(B28,F28)</f>
        <v>114858.35400000001</v>
      </c>
      <c r="K28" s="44">
        <f t="shared" si="4"/>
        <v>136331.60999999999</v>
      </c>
      <c r="L28" s="254">
        <f t="shared" ref="L28" si="5">IF(J28=0, "    ---- ", IF(ABS(ROUND(100/J28*K28-100,1))&lt;999,ROUND(100/J28*K28-100,1),IF(ROUND(100/J28*K28-100,1)&gt;999,999,-999)))</f>
        <v>18.7</v>
      </c>
      <c r="M28" s="23">
        <f>IFERROR(100/'Skjema total MA'!I28*K28,0)</f>
        <v>9.2047476242441988</v>
      </c>
    </row>
    <row r="29" spans="1:14" s="3" customFormat="1" ht="15.75" x14ac:dyDescent="0.2">
      <c r="A29" s="13" t="s">
        <v>365</v>
      </c>
      <c r="B29" s="236"/>
      <c r="C29" s="236"/>
      <c r="D29" s="171"/>
      <c r="E29" s="11"/>
      <c r="F29" s="308"/>
      <c r="G29" s="308"/>
      <c r="H29" s="171"/>
      <c r="I29" s="11"/>
      <c r="J29" s="236"/>
      <c r="K29" s="236"/>
      <c r="L29" s="428"/>
      <c r="M29" s="24"/>
      <c r="N29" s="148"/>
    </row>
    <row r="30" spans="1:14" s="3" customFormat="1" ht="15.75" x14ac:dyDescent="0.2">
      <c r="A30" s="584" t="s">
        <v>368</v>
      </c>
      <c r="B30" s="281"/>
      <c r="C30" s="281"/>
      <c r="D30" s="166"/>
      <c r="E30" s="11"/>
      <c r="F30" s="290"/>
      <c r="G30" s="290"/>
      <c r="H30" s="166"/>
      <c r="I30" s="417"/>
      <c r="J30" s="290"/>
      <c r="K30" s="290"/>
      <c r="L30" s="166"/>
      <c r="M30" s="23"/>
      <c r="N30" s="148"/>
    </row>
    <row r="31" spans="1:14" s="3" customFormat="1" ht="15.75" x14ac:dyDescent="0.2">
      <c r="A31" s="584" t="s">
        <v>369</v>
      </c>
      <c r="B31" s="281"/>
      <c r="C31" s="281"/>
      <c r="D31" s="166"/>
      <c r="E31" s="11"/>
      <c r="F31" s="290"/>
      <c r="G31" s="290"/>
      <c r="H31" s="166"/>
      <c r="I31" s="417"/>
      <c r="J31" s="290"/>
      <c r="K31" s="290"/>
      <c r="L31" s="166"/>
      <c r="M31" s="23"/>
      <c r="N31" s="148"/>
    </row>
    <row r="32" spans="1:14" ht="15.75" x14ac:dyDescent="0.2">
      <c r="A32" s="584" t="s">
        <v>370</v>
      </c>
      <c r="B32" s="281"/>
      <c r="C32" s="281"/>
      <c r="D32" s="166"/>
      <c r="E32" s="11"/>
      <c r="F32" s="290"/>
      <c r="G32" s="290"/>
      <c r="H32" s="166"/>
      <c r="I32" s="417"/>
      <c r="J32" s="290"/>
      <c r="K32" s="290"/>
      <c r="L32" s="166"/>
      <c r="M32" s="23"/>
    </row>
    <row r="33" spans="1:14" ht="15.75" x14ac:dyDescent="0.2">
      <c r="A33" s="584" t="s">
        <v>371</v>
      </c>
      <c r="B33" s="281"/>
      <c r="C33" s="281"/>
      <c r="D33" s="166"/>
      <c r="E33" s="11"/>
      <c r="F33" s="290"/>
      <c r="G33" s="290"/>
      <c r="H33" s="166"/>
      <c r="I33" s="417"/>
      <c r="J33" s="290"/>
      <c r="K33" s="290"/>
      <c r="L33" s="166"/>
      <c r="M33" s="23"/>
    </row>
    <row r="34" spans="1:14" ht="15.75" x14ac:dyDescent="0.2">
      <c r="A34" s="13" t="s">
        <v>366</v>
      </c>
      <c r="B34" s="236"/>
      <c r="C34" s="309"/>
      <c r="D34" s="171"/>
      <c r="E34" s="11"/>
      <c r="F34" s="308"/>
      <c r="G34" s="309"/>
      <c r="H34" s="171"/>
      <c r="I34" s="11"/>
      <c r="J34" s="236"/>
      <c r="K34" s="236"/>
      <c r="L34" s="428"/>
      <c r="M34" s="24"/>
    </row>
    <row r="35" spans="1:14" ht="15.75" x14ac:dyDescent="0.2">
      <c r="A35" s="13" t="s">
        <v>367</v>
      </c>
      <c r="B35" s="236"/>
      <c r="C35" s="309"/>
      <c r="D35" s="171"/>
      <c r="E35" s="11"/>
      <c r="F35" s="308"/>
      <c r="G35" s="309"/>
      <c r="H35" s="171"/>
      <c r="I35" s="11"/>
      <c r="J35" s="236"/>
      <c r="K35" s="236"/>
      <c r="L35" s="428"/>
      <c r="M35" s="24"/>
    </row>
    <row r="36" spans="1:14" ht="15.75" x14ac:dyDescent="0.2">
      <c r="A36" s="12" t="s">
        <v>284</v>
      </c>
      <c r="B36" s="236"/>
      <c r="C36" s="309"/>
      <c r="D36" s="171"/>
      <c r="E36" s="11"/>
      <c r="F36" s="319"/>
      <c r="G36" s="320"/>
      <c r="H36" s="171"/>
      <c r="I36" s="434"/>
      <c r="J36" s="236"/>
      <c r="K36" s="236"/>
      <c r="L36" s="428"/>
      <c r="M36" s="24"/>
    </row>
    <row r="37" spans="1:14" ht="15.75" x14ac:dyDescent="0.2">
      <c r="A37" s="12" t="s">
        <v>373</v>
      </c>
      <c r="B37" s="236"/>
      <c r="C37" s="309"/>
      <c r="D37" s="171"/>
      <c r="E37" s="11"/>
      <c r="F37" s="319"/>
      <c r="G37" s="321"/>
      <c r="H37" s="171"/>
      <c r="I37" s="434"/>
      <c r="J37" s="236"/>
      <c r="K37" s="236"/>
      <c r="L37" s="428"/>
      <c r="M37" s="24"/>
    </row>
    <row r="38" spans="1:14" ht="15.75" x14ac:dyDescent="0.2">
      <c r="A38" s="12" t="s">
        <v>374</v>
      </c>
      <c r="B38" s="236"/>
      <c r="C38" s="309"/>
      <c r="D38" s="171"/>
      <c r="E38" s="24"/>
      <c r="F38" s="319"/>
      <c r="G38" s="320"/>
      <c r="H38" s="171"/>
      <c r="I38" s="434"/>
      <c r="J38" s="236"/>
      <c r="K38" s="236"/>
      <c r="L38" s="428"/>
      <c r="M38" s="24"/>
    </row>
    <row r="39" spans="1:14" ht="15.75" x14ac:dyDescent="0.2">
      <c r="A39" s="18" t="s">
        <v>375</v>
      </c>
      <c r="B39" s="276"/>
      <c r="C39" s="315"/>
      <c r="D39" s="169"/>
      <c r="E39" s="36"/>
      <c r="F39" s="322"/>
      <c r="G39" s="323"/>
      <c r="H39" s="169"/>
      <c r="I39" s="36"/>
      <c r="J39" s="236"/>
      <c r="K39" s="236"/>
      <c r="L39" s="429"/>
      <c r="M39" s="36"/>
    </row>
    <row r="40" spans="1:14" ht="15.75" x14ac:dyDescent="0.25">
      <c r="A40" s="47"/>
      <c r="B40" s="253"/>
      <c r="C40" s="253"/>
      <c r="D40" s="736"/>
      <c r="E40" s="736"/>
      <c r="F40" s="736"/>
      <c r="G40" s="736"/>
      <c r="H40" s="736"/>
      <c r="I40" s="736"/>
      <c r="J40" s="736"/>
      <c r="K40" s="736"/>
      <c r="L40" s="736"/>
      <c r="M40" s="302"/>
    </row>
    <row r="41" spans="1:14" x14ac:dyDescent="0.2">
      <c r="A41" s="155"/>
    </row>
    <row r="42" spans="1:14" ht="15.75" x14ac:dyDescent="0.25">
      <c r="A42" s="147" t="s">
        <v>273</v>
      </c>
      <c r="B42" s="732"/>
      <c r="C42" s="732"/>
      <c r="D42" s="732"/>
      <c r="E42" s="299"/>
      <c r="F42" s="737"/>
      <c r="G42" s="737"/>
      <c r="H42" s="737"/>
      <c r="I42" s="302"/>
      <c r="J42" s="737"/>
      <c r="K42" s="737"/>
      <c r="L42" s="737"/>
      <c r="M42" s="302"/>
    </row>
    <row r="43" spans="1:14" ht="15.75" x14ac:dyDescent="0.25">
      <c r="A43" s="163"/>
      <c r="B43" s="303"/>
      <c r="C43" s="303"/>
      <c r="D43" s="303"/>
      <c r="E43" s="303"/>
      <c r="F43" s="302"/>
      <c r="G43" s="302"/>
      <c r="H43" s="302"/>
      <c r="I43" s="302"/>
      <c r="J43" s="302"/>
      <c r="K43" s="302"/>
      <c r="L43" s="302"/>
      <c r="M43" s="302"/>
    </row>
    <row r="44" spans="1:14" ht="15.75" x14ac:dyDescent="0.25">
      <c r="A44" s="247"/>
      <c r="B44" s="733" t="s">
        <v>0</v>
      </c>
      <c r="C44" s="734"/>
      <c r="D44" s="734"/>
      <c r="E44" s="243"/>
      <c r="F44" s="302"/>
      <c r="G44" s="302"/>
      <c r="H44" s="302"/>
      <c r="I44" s="302"/>
      <c r="J44" s="302"/>
      <c r="K44" s="302"/>
      <c r="L44" s="302"/>
      <c r="M44" s="302"/>
    </row>
    <row r="45" spans="1:14" s="3" customFormat="1" x14ac:dyDescent="0.2">
      <c r="A45" s="140"/>
      <c r="B45" s="152" t="s">
        <v>421</v>
      </c>
      <c r="C45" s="152" t="s">
        <v>422</v>
      </c>
      <c r="D45" s="162" t="s">
        <v>3</v>
      </c>
      <c r="E45" s="162" t="s">
        <v>29</v>
      </c>
      <c r="F45" s="174"/>
      <c r="G45" s="174"/>
      <c r="H45" s="173"/>
      <c r="I45" s="173"/>
      <c r="J45" s="174"/>
      <c r="K45" s="174"/>
      <c r="L45" s="173"/>
      <c r="M45" s="173"/>
      <c r="N45" s="148"/>
    </row>
    <row r="46" spans="1:14" s="3" customFormat="1" x14ac:dyDescent="0.2">
      <c r="A46" s="708"/>
      <c r="B46" s="244"/>
      <c r="C46" s="244"/>
      <c r="D46" s="245" t="s">
        <v>4</v>
      </c>
      <c r="E46" s="156" t="s">
        <v>30</v>
      </c>
      <c r="F46" s="173"/>
      <c r="G46" s="173"/>
      <c r="H46" s="173"/>
      <c r="I46" s="173"/>
      <c r="J46" s="173"/>
      <c r="K46" s="173"/>
      <c r="L46" s="173"/>
      <c r="M46" s="173"/>
      <c r="N46" s="148"/>
    </row>
    <row r="47" spans="1:14" s="3" customFormat="1" ht="15.75" x14ac:dyDescent="0.2">
      <c r="A47" s="14" t="s">
        <v>23</v>
      </c>
      <c r="B47" s="310">
        <v>107793</v>
      </c>
      <c r="C47" s="311">
        <v>113355.93</v>
      </c>
      <c r="D47" s="427">
        <f t="shared" ref="D47:D57" si="6">IF(B47=0, "    ---- ", IF(ABS(ROUND(100/B47*C47-100,1))&lt;999,ROUND(100/B47*C47-100,1),IF(ROUND(100/B47*C47-100,1)&gt;999,999,-999)))</f>
        <v>5.2</v>
      </c>
      <c r="E47" s="11">
        <f>IFERROR(100/'Skjema total MA'!C47*C47,0)</f>
        <v>2.6822920094594935</v>
      </c>
      <c r="F47" s="145"/>
      <c r="G47" s="33"/>
      <c r="H47" s="159"/>
      <c r="I47" s="159"/>
      <c r="J47" s="37"/>
      <c r="K47" s="37"/>
      <c r="L47" s="159"/>
      <c r="M47" s="159"/>
      <c r="N47" s="148"/>
    </row>
    <row r="48" spans="1:14" s="3" customFormat="1" ht="15.75" x14ac:dyDescent="0.2">
      <c r="A48" s="38" t="s">
        <v>376</v>
      </c>
      <c r="B48" s="281">
        <v>107793</v>
      </c>
      <c r="C48" s="282">
        <v>113355.93</v>
      </c>
      <c r="D48" s="254">
        <f t="shared" si="6"/>
        <v>5.2</v>
      </c>
      <c r="E48" s="27">
        <f>IFERROR(100/'Skjema total MA'!C48*C48,0)</f>
        <v>4.7651073309981049</v>
      </c>
      <c r="F48" s="145"/>
      <c r="G48" s="33"/>
      <c r="H48" s="145"/>
      <c r="I48" s="145"/>
      <c r="J48" s="33"/>
      <c r="K48" s="33"/>
      <c r="L48" s="159"/>
      <c r="M48" s="159"/>
      <c r="N48" s="148"/>
    </row>
    <row r="49" spans="1:14" s="3" customFormat="1" ht="15.75" x14ac:dyDescent="0.2">
      <c r="A49" s="38" t="s">
        <v>377</v>
      </c>
      <c r="B49" s="44"/>
      <c r="C49" s="287"/>
      <c r="D49" s="254"/>
      <c r="E49" s="27"/>
      <c r="F49" s="145"/>
      <c r="G49" s="33"/>
      <c r="H49" s="145"/>
      <c r="I49" s="145"/>
      <c r="J49" s="37"/>
      <c r="K49" s="37"/>
      <c r="L49" s="159"/>
      <c r="M49" s="159"/>
      <c r="N49" s="148"/>
    </row>
    <row r="50" spans="1:14" s="3" customFormat="1" x14ac:dyDescent="0.2">
      <c r="A50" s="296" t="s">
        <v>6</v>
      </c>
      <c r="B50" s="290"/>
      <c r="C50" s="291"/>
      <c r="D50" s="254"/>
      <c r="E50" s="23"/>
      <c r="F50" s="145"/>
      <c r="G50" s="33"/>
      <c r="H50" s="145"/>
      <c r="I50" s="145"/>
      <c r="J50" s="33"/>
      <c r="K50" s="33"/>
      <c r="L50" s="159"/>
      <c r="M50" s="159"/>
      <c r="N50" s="148"/>
    </row>
    <row r="51" spans="1:14" s="3" customFormat="1" x14ac:dyDescent="0.2">
      <c r="A51" s="296" t="s">
        <v>7</v>
      </c>
      <c r="B51" s="290"/>
      <c r="C51" s="291"/>
      <c r="D51" s="254"/>
      <c r="E51" s="23"/>
      <c r="F51" s="145"/>
      <c r="G51" s="33"/>
      <c r="H51" s="145"/>
      <c r="I51" s="145"/>
      <c r="J51" s="33"/>
      <c r="K51" s="33"/>
      <c r="L51" s="159"/>
      <c r="M51" s="159"/>
      <c r="N51" s="148"/>
    </row>
    <row r="52" spans="1:14" s="3" customFormat="1" x14ac:dyDescent="0.2">
      <c r="A52" s="296" t="s">
        <v>8</v>
      </c>
      <c r="B52" s="290"/>
      <c r="C52" s="291"/>
      <c r="D52" s="254"/>
      <c r="E52" s="23"/>
      <c r="F52" s="145"/>
      <c r="G52" s="33"/>
      <c r="H52" s="145"/>
      <c r="I52" s="145"/>
      <c r="J52" s="33"/>
      <c r="K52" s="33"/>
      <c r="L52" s="159"/>
      <c r="M52" s="159"/>
      <c r="N52" s="148"/>
    </row>
    <row r="53" spans="1:14" s="3" customFormat="1" ht="15.75" x14ac:dyDescent="0.2">
      <c r="A53" s="39" t="s">
        <v>378</v>
      </c>
      <c r="B53" s="310">
        <v>1328.877</v>
      </c>
      <c r="C53" s="311">
        <v>2607.7379999999998</v>
      </c>
      <c r="D53" s="428">
        <f t="shared" si="6"/>
        <v>96.2</v>
      </c>
      <c r="E53" s="11">
        <f>IFERROR(100/'Skjema total MA'!C53*C53,0)</f>
        <v>1.6774046142395467</v>
      </c>
      <c r="F53" s="145"/>
      <c r="G53" s="33"/>
      <c r="H53" s="145"/>
      <c r="I53" s="145"/>
      <c r="J53" s="33"/>
      <c r="K53" s="33"/>
      <c r="L53" s="159"/>
      <c r="M53" s="159"/>
      <c r="N53" s="148"/>
    </row>
    <row r="54" spans="1:14" s="3" customFormat="1" ht="15.75" x14ac:dyDescent="0.2">
      <c r="A54" s="38" t="s">
        <v>376</v>
      </c>
      <c r="B54" s="281">
        <v>1328.877</v>
      </c>
      <c r="C54" s="282">
        <v>2607.7379999999998</v>
      </c>
      <c r="D54" s="254">
        <f t="shared" si="6"/>
        <v>96.2</v>
      </c>
      <c r="E54" s="27">
        <f>IFERROR(100/'Skjema total MA'!C54*C54,0)</f>
        <v>1.6774046142395467</v>
      </c>
      <c r="F54" s="145"/>
      <c r="G54" s="33"/>
      <c r="H54" s="145"/>
      <c r="I54" s="145"/>
      <c r="J54" s="33"/>
      <c r="K54" s="33"/>
      <c r="L54" s="159"/>
      <c r="M54" s="159"/>
      <c r="N54" s="148"/>
    </row>
    <row r="55" spans="1:14" s="3" customFormat="1" ht="15.75" x14ac:dyDescent="0.2">
      <c r="A55" s="38" t="s">
        <v>377</v>
      </c>
      <c r="B55" s="281"/>
      <c r="C55" s="282"/>
      <c r="D55" s="254"/>
      <c r="E55" s="27"/>
      <c r="F55" s="145"/>
      <c r="G55" s="33"/>
      <c r="H55" s="145"/>
      <c r="I55" s="145"/>
      <c r="J55" s="33"/>
      <c r="K55" s="33"/>
      <c r="L55" s="159"/>
      <c r="M55" s="159"/>
      <c r="N55" s="148"/>
    </row>
    <row r="56" spans="1:14" s="3" customFormat="1" ht="15.75" x14ac:dyDescent="0.2">
      <c r="A56" s="39" t="s">
        <v>379</v>
      </c>
      <c r="B56" s="310">
        <v>5688.7370000000001</v>
      </c>
      <c r="C56" s="311">
        <v>5866.8810000000003</v>
      </c>
      <c r="D56" s="428">
        <f t="shared" si="6"/>
        <v>3.1</v>
      </c>
      <c r="E56" s="11">
        <f>IFERROR(100/'Skjema total MA'!C56*C56,0)</f>
        <v>4.9418440054199495</v>
      </c>
      <c r="F56" s="145"/>
      <c r="G56" s="33"/>
      <c r="H56" s="145"/>
      <c r="I56" s="145"/>
      <c r="J56" s="33"/>
      <c r="K56" s="33"/>
      <c r="L56" s="159"/>
      <c r="M56" s="159"/>
      <c r="N56" s="148"/>
    </row>
    <row r="57" spans="1:14" s="3" customFormat="1" ht="15.75" x14ac:dyDescent="0.2">
      <c r="A57" s="38" t="s">
        <v>376</v>
      </c>
      <c r="B57" s="281">
        <v>5688.7370000000001</v>
      </c>
      <c r="C57" s="282">
        <v>5866.8810000000003</v>
      </c>
      <c r="D57" s="254">
        <f t="shared" si="6"/>
        <v>3.1</v>
      </c>
      <c r="E57" s="27">
        <f>IFERROR(100/'Skjema total MA'!C57*C57,0)</f>
        <v>4.9418440054199495</v>
      </c>
      <c r="F57" s="145"/>
      <c r="G57" s="33"/>
      <c r="H57" s="145"/>
      <c r="I57" s="145"/>
      <c r="J57" s="33"/>
      <c r="K57" s="33"/>
      <c r="L57" s="159"/>
      <c r="M57" s="159"/>
      <c r="N57" s="148"/>
    </row>
    <row r="58" spans="1:14" s="3" customFormat="1" ht="15.75" x14ac:dyDescent="0.2">
      <c r="A58" s="46" t="s">
        <v>377</v>
      </c>
      <c r="B58" s="283"/>
      <c r="C58" s="284"/>
      <c r="D58" s="255"/>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274</v>
      </c>
      <c r="C61" s="26"/>
      <c r="D61" s="26"/>
      <c r="E61" s="26"/>
      <c r="F61" s="26"/>
      <c r="G61" s="26"/>
      <c r="H61" s="26"/>
      <c r="I61" s="26"/>
      <c r="J61" s="26"/>
      <c r="K61" s="26"/>
      <c r="L61" s="26"/>
      <c r="M61" s="26"/>
    </row>
    <row r="62" spans="1:14" ht="15.75" x14ac:dyDescent="0.25">
      <c r="B62" s="735"/>
      <c r="C62" s="735"/>
      <c r="D62" s="735"/>
      <c r="E62" s="299"/>
      <c r="F62" s="735"/>
      <c r="G62" s="735"/>
      <c r="H62" s="735"/>
      <c r="I62" s="299"/>
      <c r="J62" s="735"/>
      <c r="K62" s="735"/>
      <c r="L62" s="735"/>
      <c r="M62" s="299"/>
    </row>
    <row r="63" spans="1:14" x14ac:dyDescent="0.2">
      <c r="A63" s="144"/>
      <c r="B63" s="733" t="s">
        <v>0</v>
      </c>
      <c r="C63" s="734"/>
      <c r="D63" s="738"/>
      <c r="E63" s="300"/>
      <c r="F63" s="734" t="s">
        <v>1</v>
      </c>
      <c r="G63" s="734"/>
      <c r="H63" s="734"/>
      <c r="I63" s="304"/>
      <c r="J63" s="733" t="s">
        <v>2</v>
      </c>
      <c r="K63" s="734"/>
      <c r="L63" s="734"/>
      <c r="M63" s="304"/>
    </row>
    <row r="64" spans="1:14" x14ac:dyDescent="0.2">
      <c r="A64" s="140"/>
      <c r="B64" s="152" t="s">
        <v>421</v>
      </c>
      <c r="C64" s="152" t="s">
        <v>422</v>
      </c>
      <c r="D64" s="245" t="s">
        <v>3</v>
      </c>
      <c r="E64" s="305" t="s">
        <v>29</v>
      </c>
      <c r="F64" s="152" t="s">
        <v>421</v>
      </c>
      <c r="G64" s="152" t="s">
        <v>422</v>
      </c>
      <c r="H64" s="245" t="s">
        <v>3</v>
      </c>
      <c r="I64" s="305" t="s">
        <v>29</v>
      </c>
      <c r="J64" s="152" t="s">
        <v>421</v>
      </c>
      <c r="K64" s="152" t="s">
        <v>422</v>
      </c>
      <c r="L64" s="245" t="s">
        <v>3</v>
      </c>
      <c r="M64" s="162" t="s">
        <v>29</v>
      </c>
    </row>
    <row r="65" spans="1:14" x14ac:dyDescent="0.2">
      <c r="A65" s="708"/>
      <c r="B65" s="156"/>
      <c r="C65" s="156"/>
      <c r="D65" s="246" t="s">
        <v>4</v>
      </c>
      <c r="E65" s="156" t="s">
        <v>30</v>
      </c>
      <c r="F65" s="161"/>
      <c r="G65" s="161"/>
      <c r="H65" s="245" t="s">
        <v>4</v>
      </c>
      <c r="I65" s="156" t="s">
        <v>30</v>
      </c>
      <c r="J65" s="161"/>
      <c r="K65" s="206"/>
      <c r="L65" s="156" t="s">
        <v>4</v>
      </c>
      <c r="M65" s="156" t="s">
        <v>30</v>
      </c>
    </row>
    <row r="66" spans="1:14" ht="15.75" x14ac:dyDescent="0.2">
      <c r="A66" s="14" t="s">
        <v>23</v>
      </c>
      <c r="B66" s="353"/>
      <c r="C66" s="353"/>
      <c r="D66" s="350"/>
      <c r="E66" s="11"/>
      <c r="F66" s="352"/>
      <c r="G66" s="352"/>
      <c r="H66" s="350"/>
      <c r="I66" s="11"/>
      <c r="J66" s="309"/>
      <c r="K66" s="316"/>
      <c r="L66" s="428"/>
      <c r="M66" s="11"/>
    </row>
    <row r="67" spans="1:14" x14ac:dyDescent="0.2">
      <c r="A67" s="419" t="s">
        <v>9</v>
      </c>
      <c r="B67" s="44"/>
      <c r="C67" s="145"/>
      <c r="D67" s="166"/>
      <c r="E67" s="27"/>
      <c r="F67" s="234"/>
      <c r="G67" s="145"/>
      <c r="H67" s="166"/>
      <c r="I67" s="27"/>
      <c r="J67" s="287"/>
      <c r="K67" s="44"/>
      <c r="L67" s="254"/>
      <c r="M67" s="27"/>
    </row>
    <row r="68" spans="1:14" x14ac:dyDescent="0.2">
      <c r="A68" s="21" t="s">
        <v>10</v>
      </c>
      <c r="B68" s="292"/>
      <c r="C68" s="293"/>
      <c r="D68" s="166"/>
      <c r="E68" s="27"/>
      <c r="F68" s="292"/>
      <c r="G68" s="293"/>
      <c r="H68" s="166"/>
      <c r="I68" s="27"/>
      <c r="J68" s="287"/>
      <c r="K68" s="44"/>
      <c r="L68" s="254"/>
      <c r="M68" s="27"/>
    </row>
    <row r="69" spans="1:14" ht="15.75" x14ac:dyDescent="0.2">
      <c r="A69" s="296" t="s">
        <v>380</v>
      </c>
      <c r="B69" s="294"/>
      <c r="C69" s="295"/>
      <c r="D69" s="166"/>
      <c r="E69" s="417"/>
      <c r="F69" s="294"/>
      <c r="G69" s="295"/>
      <c r="H69" s="166"/>
      <c r="I69" s="417"/>
      <c r="J69" s="294"/>
      <c r="K69" s="295"/>
      <c r="L69" s="166"/>
      <c r="M69" s="23"/>
    </row>
    <row r="70" spans="1:14" x14ac:dyDescent="0.2">
      <c r="A70" s="296" t="s">
        <v>12</v>
      </c>
      <c r="B70" s="294"/>
      <c r="C70" s="295"/>
      <c r="D70" s="166"/>
      <c r="E70" s="417"/>
      <c r="F70" s="294"/>
      <c r="G70" s="295"/>
      <c r="H70" s="166"/>
      <c r="I70" s="417"/>
      <c r="J70" s="294"/>
      <c r="K70" s="295"/>
      <c r="L70" s="166"/>
      <c r="M70" s="23"/>
    </row>
    <row r="71" spans="1:14" x14ac:dyDescent="0.2">
      <c r="A71" s="296" t="s">
        <v>13</v>
      </c>
      <c r="B71" s="235"/>
      <c r="C71" s="289"/>
      <c r="D71" s="166"/>
      <c r="E71" s="417"/>
      <c r="F71" s="294"/>
      <c r="G71" s="295"/>
      <c r="H71" s="166"/>
      <c r="I71" s="417"/>
      <c r="J71" s="294"/>
      <c r="K71" s="295"/>
      <c r="L71" s="166"/>
      <c r="M71" s="23"/>
    </row>
    <row r="72" spans="1:14" ht="15.75" x14ac:dyDescent="0.2">
      <c r="A72" s="296" t="s">
        <v>381</v>
      </c>
      <c r="B72" s="294"/>
      <c r="C72" s="295"/>
      <c r="D72" s="166"/>
      <c r="E72" s="417"/>
      <c r="F72" s="294"/>
      <c r="G72" s="295"/>
      <c r="H72" s="166"/>
      <c r="I72" s="417"/>
      <c r="J72" s="294"/>
      <c r="K72" s="295"/>
      <c r="L72" s="166"/>
      <c r="M72" s="23"/>
    </row>
    <row r="73" spans="1:14" x14ac:dyDescent="0.2">
      <c r="A73" s="296" t="s">
        <v>12</v>
      </c>
      <c r="B73" s="235"/>
      <c r="C73" s="289"/>
      <c r="D73" s="166"/>
      <c r="E73" s="417"/>
      <c r="F73" s="294"/>
      <c r="G73" s="295"/>
      <c r="H73" s="166"/>
      <c r="I73" s="417"/>
      <c r="J73" s="294"/>
      <c r="K73" s="295"/>
      <c r="L73" s="166"/>
      <c r="M73" s="23"/>
    </row>
    <row r="74" spans="1:14" s="3" customFormat="1" x14ac:dyDescent="0.2">
      <c r="A74" s="296" t="s">
        <v>13</v>
      </c>
      <c r="B74" s="235"/>
      <c r="C74" s="289"/>
      <c r="D74" s="166"/>
      <c r="E74" s="417"/>
      <c r="F74" s="294"/>
      <c r="G74" s="295"/>
      <c r="H74" s="166"/>
      <c r="I74" s="417"/>
      <c r="J74" s="294"/>
      <c r="K74" s="295"/>
      <c r="L74" s="166"/>
      <c r="M74" s="23"/>
      <c r="N74" s="148"/>
    </row>
    <row r="75" spans="1:14" s="3" customFormat="1" x14ac:dyDescent="0.2">
      <c r="A75" s="21" t="s">
        <v>350</v>
      </c>
      <c r="B75" s="234"/>
      <c r="C75" s="145"/>
      <c r="D75" s="166"/>
      <c r="E75" s="27"/>
      <c r="F75" s="234"/>
      <c r="G75" s="145"/>
      <c r="H75" s="166"/>
      <c r="I75" s="27"/>
      <c r="J75" s="287"/>
      <c r="K75" s="44"/>
      <c r="L75" s="254"/>
      <c r="M75" s="27"/>
      <c r="N75" s="148"/>
    </row>
    <row r="76" spans="1:14" s="3" customFormat="1" x14ac:dyDescent="0.2">
      <c r="A76" s="21" t="s">
        <v>349</v>
      </c>
      <c r="B76" s="234"/>
      <c r="C76" s="145"/>
      <c r="D76" s="166"/>
      <c r="E76" s="27"/>
      <c r="F76" s="234"/>
      <c r="G76" s="145"/>
      <c r="H76" s="166"/>
      <c r="I76" s="27"/>
      <c r="J76" s="287"/>
      <c r="K76" s="44"/>
      <c r="L76" s="254"/>
      <c r="M76" s="27"/>
      <c r="N76" s="148"/>
    </row>
    <row r="77" spans="1:14" ht="15.75" x14ac:dyDescent="0.2">
      <c r="A77" s="21" t="s">
        <v>382</v>
      </c>
      <c r="B77" s="234"/>
      <c r="C77" s="234"/>
      <c r="D77" s="166"/>
      <c r="E77" s="27"/>
      <c r="F77" s="234"/>
      <c r="G77" s="145"/>
      <c r="H77" s="166"/>
      <c r="I77" s="27"/>
      <c r="J77" s="287"/>
      <c r="K77" s="44"/>
      <c r="L77" s="254"/>
      <c r="M77" s="27"/>
    </row>
    <row r="78" spans="1:14" x14ac:dyDescent="0.2">
      <c r="A78" s="21" t="s">
        <v>9</v>
      </c>
      <c r="B78" s="234"/>
      <c r="C78" s="145"/>
      <c r="D78" s="166"/>
      <c r="E78" s="27"/>
      <c r="F78" s="234"/>
      <c r="G78" s="145"/>
      <c r="H78" s="166"/>
      <c r="I78" s="27"/>
      <c r="J78" s="287"/>
      <c r="K78" s="44"/>
      <c r="L78" s="254"/>
      <c r="M78" s="27"/>
    </row>
    <row r="79" spans="1:14" x14ac:dyDescent="0.2">
      <c r="A79" s="21" t="s">
        <v>10</v>
      </c>
      <c r="B79" s="292"/>
      <c r="C79" s="293"/>
      <c r="D79" s="166"/>
      <c r="E79" s="27"/>
      <c r="F79" s="292"/>
      <c r="G79" s="293"/>
      <c r="H79" s="166"/>
      <c r="I79" s="27"/>
      <c r="J79" s="287"/>
      <c r="K79" s="44"/>
      <c r="L79" s="254"/>
      <c r="M79" s="27"/>
    </row>
    <row r="80" spans="1:14" ht="15.75" x14ac:dyDescent="0.2">
      <c r="A80" s="296" t="s">
        <v>380</v>
      </c>
      <c r="B80" s="294"/>
      <c r="C80" s="295"/>
      <c r="D80" s="166"/>
      <c r="E80" s="417"/>
      <c r="F80" s="294"/>
      <c r="G80" s="295"/>
      <c r="H80" s="166"/>
      <c r="I80" s="417"/>
      <c r="J80" s="294"/>
      <c r="K80" s="295"/>
      <c r="L80" s="166"/>
      <c r="M80" s="23"/>
    </row>
    <row r="81" spans="1:13" x14ac:dyDescent="0.2">
      <c r="A81" s="296" t="s">
        <v>12</v>
      </c>
      <c r="B81" s="294"/>
      <c r="C81" s="295"/>
      <c r="D81" s="166"/>
      <c r="E81" s="417"/>
      <c r="F81" s="294"/>
      <c r="G81" s="295"/>
      <c r="H81" s="166"/>
      <c r="I81" s="417"/>
      <c r="J81" s="294"/>
      <c r="K81" s="295"/>
      <c r="L81" s="166"/>
      <c r="M81" s="23"/>
    </row>
    <row r="82" spans="1:13" x14ac:dyDescent="0.2">
      <c r="A82" s="296" t="s">
        <v>13</v>
      </c>
      <c r="B82" s="294"/>
      <c r="C82" s="295"/>
      <c r="D82" s="166"/>
      <c r="E82" s="417"/>
      <c r="F82" s="294"/>
      <c r="G82" s="295"/>
      <c r="H82" s="166"/>
      <c r="I82" s="417"/>
      <c r="J82" s="294"/>
      <c r="K82" s="295"/>
      <c r="L82" s="166"/>
      <c r="M82" s="23"/>
    </row>
    <row r="83" spans="1:13" ht="15.75" x14ac:dyDescent="0.2">
      <c r="A83" s="296" t="s">
        <v>381</v>
      </c>
      <c r="B83" s="294"/>
      <c r="C83" s="295"/>
      <c r="D83" s="166"/>
      <c r="E83" s="417"/>
      <c r="F83" s="294"/>
      <c r="G83" s="295"/>
      <c r="H83" s="166"/>
      <c r="I83" s="417"/>
      <c r="J83" s="294"/>
      <c r="K83" s="295"/>
      <c r="L83" s="166"/>
      <c r="M83" s="23"/>
    </row>
    <row r="84" spans="1:13" x14ac:dyDescent="0.2">
      <c r="A84" s="296" t="s">
        <v>12</v>
      </c>
      <c r="B84" s="294"/>
      <c r="C84" s="295"/>
      <c r="D84" s="166"/>
      <c r="E84" s="417"/>
      <c r="F84" s="294"/>
      <c r="G84" s="295"/>
      <c r="H84" s="166"/>
      <c r="I84" s="417"/>
      <c r="J84" s="294"/>
      <c r="K84" s="295"/>
      <c r="L84" s="166"/>
      <c r="M84" s="23"/>
    </row>
    <row r="85" spans="1:13" x14ac:dyDescent="0.2">
      <c r="A85" s="296" t="s">
        <v>13</v>
      </c>
      <c r="B85" s="294"/>
      <c r="C85" s="295"/>
      <c r="D85" s="166"/>
      <c r="E85" s="417"/>
      <c r="F85" s="294"/>
      <c r="G85" s="295"/>
      <c r="H85" s="166"/>
      <c r="I85" s="417"/>
      <c r="J85" s="294"/>
      <c r="K85" s="295"/>
      <c r="L85" s="166"/>
      <c r="M85" s="23"/>
    </row>
    <row r="86" spans="1:13" ht="15.75" x14ac:dyDescent="0.2">
      <c r="A86" s="21" t="s">
        <v>383</v>
      </c>
      <c r="B86" s="234"/>
      <c r="C86" s="145"/>
      <c r="D86" s="166"/>
      <c r="E86" s="27"/>
      <c r="F86" s="234"/>
      <c r="G86" s="145"/>
      <c r="H86" s="166"/>
      <c r="I86" s="27"/>
      <c r="J86" s="287"/>
      <c r="K86" s="44"/>
      <c r="L86" s="254"/>
      <c r="M86" s="27"/>
    </row>
    <row r="87" spans="1:13" ht="15.75" x14ac:dyDescent="0.2">
      <c r="A87" s="13" t="s">
        <v>365</v>
      </c>
      <c r="B87" s="353"/>
      <c r="C87" s="353"/>
      <c r="D87" s="171"/>
      <c r="E87" s="11"/>
      <c r="F87" s="352"/>
      <c r="G87" s="352"/>
      <c r="H87" s="171"/>
      <c r="I87" s="11"/>
      <c r="J87" s="309"/>
      <c r="K87" s="236"/>
      <c r="L87" s="428"/>
      <c r="M87" s="11"/>
    </row>
    <row r="88" spans="1:13" x14ac:dyDescent="0.2">
      <c r="A88" s="21" t="s">
        <v>9</v>
      </c>
      <c r="B88" s="234"/>
      <c r="C88" s="145"/>
      <c r="D88" s="166"/>
      <c r="E88" s="27"/>
      <c r="F88" s="234"/>
      <c r="G88" s="145"/>
      <c r="H88" s="166"/>
      <c r="I88" s="27"/>
      <c r="J88" s="287"/>
      <c r="K88" s="44"/>
      <c r="L88" s="254"/>
      <c r="M88" s="27"/>
    </row>
    <row r="89" spans="1:13" x14ac:dyDescent="0.2">
      <c r="A89" s="21" t="s">
        <v>10</v>
      </c>
      <c r="B89" s="234"/>
      <c r="C89" s="145"/>
      <c r="D89" s="166"/>
      <c r="E89" s="27"/>
      <c r="F89" s="234"/>
      <c r="G89" s="145"/>
      <c r="H89" s="166"/>
      <c r="I89" s="27"/>
      <c r="J89" s="287"/>
      <c r="K89" s="44"/>
      <c r="L89" s="254"/>
      <c r="M89" s="27"/>
    </row>
    <row r="90" spans="1:13" ht="15.75" x14ac:dyDescent="0.2">
      <c r="A90" s="296" t="s">
        <v>380</v>
      </c>
      <c r="B90" s="294"/>
      <c r="C90" s="295"/>
      <c r="D90" s="166"/>
      <c r="E90" s="417"/>
      <c r="F90" s="294"/>
      <c r="G90" s="295"/>
      <c r="H90" s="166"/>
      <c r="I90" s="417"/>
      <c r="J90" s="294"/>
      <c r="K90" s="295"/>
      <c r="L90" s="166"/>
      <c r="M90" s="23"/>
    </row>
    <row r="91" spans="1:13" x14ac:dyDescent="0.2">
      <c r="A91" s="296" t="s">
        <v>12</v>
      </c>
      <c r="B91" s="294"/>
      <c r="C91" s="295"/>
      <c r="D91" s="166"/>
      <c r="E91" s="417"/>
      <c r="F91" s="294"/>
      <c r="G91" s="295"/>
      <c r="H91" s="166"/>
      <c r="I91" s="417"/>
      <c r="J91" s="294"/>
      <c r="K91" s="295"/>
      <c r="L91" s="166"/>
      <c r="M91" s="23"/>
    </row>
    <row r="92" spans="1:13" x14ac:dyDescent="0.2">
      <c r="A92" s="296" t="s">
        <v>13</v>
      </c>
      <c r="B92" s="294"/>
      <c r="C92" s="295"/>
      <c r="D92" s="166"/>
      <c r="E92" s="417"/>
      <c r="F92" s="294"/>
      <c r="G92" s="295"/>
      <c r="H92" s="166"/>
      <c r="I92" s="417"/>
      <c r="J92" s="294"/>
      <c r="K92" s="295"/>
      <c r="L92" s="166"/>
      <c r="M92" s="23"/>
    </row>
    <row r="93" spans="1:13" ht="15.75" x14ac:dyDescent="0.2">
      <c r="A93" s="296" t="s">
        <v>381</v>
      </c>
      <c r="B93" s="294"/>
      <c r="C93" s="295"/>
      <c r="D93" s="166"/>
      <c r="E93" s="417"/>
      <c r="F93" s="294"/>
      <c r="G93" s="295"/>
      <c r="H93" s="166"/>
      <c r="I93" s="417"/>
      <c r="J93" s="294"/>
      <c r="K93" s="295"/>
      <c r="L93" s="166"/>
      <c r="M93" s="23"/>
    </row>
    <row r="94" spans="1:13" x14ac:dyDescent="0.2">
      <c r="A94" s="296" t="s">
        <v>12</v>
      </c>
      <c r="B94" s="294"/>
      <c r="C94" s="295"/>
      <c r="D94" s="166"/>
      <c r="E94" s="417"/>
      <c r="F94" s="294"/>
      <c r="G94" s="295"/>
      <c r="H94" s="166"/>
      <c r="I94" s="417"/>
      <c r="J94" s="294"/>
      <c r="K94" s="295"/>
      <c r="L94" s="166"/>
      <c r="M94" s="23"/>
    </row>
    <row r="95" spans="1:13" x14ac:dyDescent="0.2">
      <c r="A95" s="296" t="s">
        <v>13</v>
      </c>
      <c r="B95" s="294"/>
      <c r="C95" s="295"/>
      <c r="D95" s="166"/>
      <c r="E95" s="417"/>
      <c r="F95" s="294"/>
      <c r="G95" s="295"/>
      <c r="H95" s="166"/>
      <c r="I95" s="417"/>
      <c r="J95" s="294"/>
      <c r="K95" s="295"/>
      <c r="L95" s="166"/>
      <c r="M95" s="23"/>
    </row>
    <row r="96" spans="1:13" x14ac:dyDescent="0.2">
      <c r="A96" s="21" t="s">
        <v>348</v>
      </c>
      <c r="B96" s="234"/>
      <c r="C96" s="145"/>
      <c r="D96" s="166"/>
      <c r="E96" s="27"/>
      <c r="F96" s="234"/>
      <c r="G96" s="145"/>
      <c r="H96" s="166"/>
      <c r="I96" s="27"/>
      <c r="J96" s="287"/>
      <c r="K96" s="44"/>
      <c r="L96" s="254"/>
      <c r="M96" s="27"/>
    </row>
    <row r="97" spans="1:13" x14ac:dyDescent="0.2">
      <c r="A97" s="21" t="s">
        <v>347</v>
      </c>
      <c r="B97" s="234"/>
      <c r="C97" s="145"/>
      <c r="D97" s="166"/>
      <c r="E97" s="27"/>
      <c r="F97" s="234"/>
      <c r="G97" s="145"/>
      <c r="H97" s="166"/>
      <c r="I97" s="27"/>
      <c r="J97" s="287"/>
      <c r="K97" s="44"/>
      <c r="L97" s="254"/>
      <c r="M97" s="27"/>
    </row>
    <row r="98" spans="1:13" ht="15.75" x14ac:dyDescent="0.2">
      <c r="A98" s="21" t="s">
        <v>382</v>
      </c>
      <c r="B98" s="234"/>
      <c r="C98" s="234"/>
      <c r="D98" s="166"/>
      <c r="E98" s="27"/>
      <c r="F98" s="292"/>
      <c r="G98" s="292"/>
      <c r="H98" s="166"/>
      <c r="I98" s="27"/>
      <c r="J98" s="287"/>
      <c r="K98" s="44"/>
      <c r="L98" s="254"/>
      <c r="M98" s="27"/>
    </row>
    <row r="99" spans="1:13" x14ac:dyDescent="0.2">
      <c r="A99" s="21" t="s">
        <v>9</v>
      </c>
      <c r="B99" s="292"/>
      <c r="C99" s="293"/>
      <c r="D99" s="166"/>
      <c r="E99" s="27"/>
      <c r="F99" s="234"/>
      <c r="G99" s="145"/>
      <c r="H99" s="166"/>
      <c r="I99" s="27"/>
      <c r="J99" s="287"/>
      <c r="K99" s="44"/>
      <c r="L99" s="254"/>
      <c r="M99" s="27"/>
    </row>
    <row r="100" spans="1:13" x14ac:dyDescent="0.2">
      <c r="A100" s="21" t="s">
        <v>10</v>
      </c>
      <c r="B100" s="292"/>
      <c r="C100" s="293"/>
      <c r="D100" s="166"/>
      <c r="E100" s="27"/>
      <c r="F100" s="234"/>
      <c r="G100" s="234"/>
      <c r="H100" s="166"/>
      <c r="I100" s="27"/>
      <c r="J100" s="287"/>
      <c r="K100" s="44"/>
      <c r="L100" s="254"/>
      <c r="M100" s="27"/>
    </row>
    <row r="101" spans="1:13" ht="15.75" x14ac:dyDescent="0.2">
      <c r="A101" s="296" t="s">
        <v>380</v>
      </c>
      <c r="B101" s="294"/>
      <c r="C101" s="295"/>
      <c r="D101" s="166"/>
      <c r="E101" s="417"/>
      <c r="F101" s="294"/>
      <c r="G101" s="295"/>
      <c r="H101" s="166"/>
      <c r="I101" s="417"/>
      <c r="J101" s="294"/>
      <c r="K101" s="295"/>
      <c r="L101" s="166"/>
      <c r="M101" s="23"/>
    </row>
    <row r="102" spans="1:13" x14ac:dyDescent="0.2">
      <c r="A102" s="296" t="s">
        <v>12</v>
      </c>
      <c r="B102" s="294"/>
      <c r="C102" s="295"/>
      <c r="D102" s="166"/>
      <c r="E102" s="417"/>
      <c r="F102" s="294"/>
      <c r="G102" s="295"/>
      <c r="H102" s="166"/>
      <c r="I102" s="417"/>
      <c r="J102" s="294"/>
      <c r="K102" s="295"/>
      <c r="L102" s="166"/>
      <c r="M102" s="23"/>
    </row>
    <row r="103" spans="1:13" x14ac:dyDescent="0.2">
      <c r="A103" s="296" t="s">
        <v>13</v>
      </c>
      <c r="B103" s="294"/>
      <c r="C103" s="295"/>
      <c r="D103" s="166"/>
      <c r="E103" s="417"/>
      <c r="F103" s="294"/>
      <c r="G103" s="295"/>
      <c r="H103" s="166"/>
      <c r="I103" s="417"/>
      <c r="J103" s="294"/>
      <c r="K103" s="295"/>
      <c r="L103" s="166"/>
      <c r="M103" s="23"/>
    </row>
    <row r="104" spans="1:13" ht="15.75" x14ac:dyDescent="0.2">
      <c r="A104" s="296" t="s">
        <v>381</v>
      </c>
      <c r="B104" s="294"/>
      <c r="C104" s="295"/>
      <c r="D104" s="166"/>
      <c r="E104" s="417"/>
      <c r="F104" s="294"/>
      <c r="G104" s="295"/>
      <c r="H104" s="166"/>
      <c r="I104" s="417"/>
      <c r="J104" s="294"/>
      <c r="K104" s="295"/>
      <c r="L104" s="166"/>
      <c r="M104" s="23"/>
    </row>
    <row r="105" spans="1:13" x14ac:dyDescent="0.2">
      <c r="A105" s="296" t="s">
        <v>12</v>
      </c>
      <c r="B105" s="294"/>
      <c r="C105" s="295"/>
      <c r="D105" s="166"/>
      <c r="E105" s="417"/>
      <c r="F105" s="294"/>
      <c r="G105" s="295"/>
      <c r="H105" s="166"/>
      <c r="I105" s="417"/>
      <c r="J105" s="294"/>
      <c r="K105" s="295"/>
      <c r="L105" s="166"/>
      <c r="M105" s="23"/>
    </row>
    <row r="106" spans="1:13" x14ac:dyDescent="0.2">
      <c r="A106" s="296" t="s">
        <v>13</v>
      </c>
      <c r="B106" s="294"/>
      <c r="C106" s="295"/>
      <c r="D106" s="166"/>
      <c r="E106" s="417"/>
      <c r="F106" s="294"/>
      <c r="G106" s="295"/>
      <c r="H106" s="166"/>
      <c r="I106" s="417"/>
      <c r="J106" s="294"/>
      <c r="K106" s="295"/>
      <c r="L106" s="166"/>
      <c r="M106" s="23"/>
    </row>
    <row r="107" spans="1:13" ht="15.75" x14ac:dyDescent="0.2">
      <c r="A107" s="21" t="s">
        <v>383</v>
      </c>
      <c r="B107" s="234"/>
      <c r="C107" s="145"/>
      <c r="D107" s="166"/>
      <c r="E107" s="27"/>
      <c r="F107" s="234"/>
      <c r="G107" s="145"/>
      <c r="H107" s="166"/>
      <c r="I107" s="27"/>
      <c r="J107" s="287"/>
      <c r="K107" s="44"/>
      <c r="L107" s="254"/>
      <c r="M107" s="27"/>
    </row>
    <row r="108" spans="1:13" ht="15.75" x14ac:dyDescent="0.2">
      <c r="A108" s="21" t="s">
        <v>384</v>
      </c>
      <c r="B108" s="234"/>
      <c r="C108" s="234"/>
      <c r="D108" s="166"/>
      <c r="E108" s="27"/>
      <c r="F108" s="234"/>
      <c r="G108" s="234"/>
      <c r="H108" s="166"/>
      <c r="I108" s="27"/>
      <c r="J108" s="287"/>
      <c r="K108" s="44"/>
      <c r="L108" s="254"/>
      <c r="M108" s="27"/>
    </row>
    <row r="109" spans="1:13" ht="15.75" x14ac:dyDescent="0.2">
      <c r="A109" s="21" t="s">
        <v>385</v>
      </c>
      <c r="B109" s="234"/>
      <c r="C109" s="234"/>
      <c r="D109" s="166"/>
      <c r="E109" s="27"/>
      <c r="F109" s="234"/>
      <c r="G109" s="234"/>
      <c r="H109" s="166"/>
      <c r="I109" s="27"/>
      <c r="J109" s="287"/>
      <c r="K109" s="44"/>
      <c r="L109" s="254"/>
      <c r="M109" s="27"/>
    </row>
    <row r="110" spans="1:13" ht="15.75" x14ac:dyDescent="0.2">
      <c r="A110" s="21" t="s">
        <v>386</v>
      </c>
      <c r="B110" s="234"/>
      <c r="C110" s="234"/>
      <c r="D110" s="166"/>
      <c r="E110" s="27"/>
      <c r="F110" s="234"/>
      <c r="G110" s="234"/>
      <c r="H110" s="166"/>
      <c r="I110" s="27"/>
      <c r="J110" s="287"/>
      <c r="K110" s="44"/>
      <c r="L110" s="254"/>
      <c r="M110" s="27"/>
    </row>
    <row r="111" spans="1:13" ht="15.75" x14ac:dyDescent="0.2">
      <c r="A111" s="13" t="s">
        <v>366</v>
      </c>
      <c r="B111" s="308"/>
      <c r="C111" s="159"/>
      <c r="D111" s="171"/>
      <c r="E111" s="11"/>
      <c r="F111" s="308"/>
      <c r="G111" s="159"/>
      <c r="H111" s="171"/>
      <c r="I111" s="11"/>
      <c r="J111" s="309"/>
      <c r="K111" s="236"/>
      <c r="L111" s="428"/>
      <c r="M111" s="11"/>
    </row>
    <row r="112" spans="1:13" x14ac:dyDescent="0.2">
      <c r="A112" s="21" t="s">
        <v>9</v>
      </c>
      <c r="B112" s="234"/>
      <c r="C112" s="145"/>
      <c r="D112" s="166"/>
      <c r="E112" s="27"/>
      <c r="F112" s="234"/>
      <c r="G112" s="145"/>
      <c r="H112" s="166"/>
      <c r="I112" s="27"/>
      <c r="J112" s="287"/>
      <c r="K112" s="44"/>
      <c r="L112" s="254"/>
      <c r="M112" s="27"/>
    </row>
    <row r="113" spans="1:14" x14ac:dyDescent="0.2">
      <c r="A113" s="21" t="s">
        <v>10</v>
      </c>
      <c r="B113" s="234"/>
      <c r="C113" s="145"/>
      <c r="D113" s="166"/>
      <c r="E113" s="27"/>
      <c r="F113" s="234"/>
      <c r="G113" s="145"/>
      <c r="H113" s="166"/>
      <c r="I113" s="27"/>
      <c r="J113" s="287"/>
      <c r="K113" s="44"/>
      <c r="L113" s="254"/>
      <c r="M113" s="27"/>
    </row>
    <row r="114" spans="1:14" x14ac:dyDescent="0.2">
      <c r="A114" s="21" t="s">
        <v>26</v>
      </c>
      <c r="B114" s="234"/>
      <c r="C114" s="145"/>
      <c r="D114" s="166"/>
      <c r="E114" s="27"/>
      <c r="F114" s="234"/>
      <c r="G114" s="145"/>
      <c r="H114" s="166"/>
      <c r="I114" s="27"/>
      <c r="J114" s="287"/>
      <c r="K114" s="44"/>
      <c r="L114" s="254"/>
      <c r="M114" s="27"/>
    </row>
    <row r="115" spans="1:14" x14ac:dyDescent="0.2">
      <c r="A115" s="296" t="s">
        <v>15</v>
      </c>
      <c r="B115" s="294"/>
      <c r="C115" s="295"/>
      <c r="D115" s="166"/>
      <c r="E115" s="417"/>
      <c r="F115" s="294"/>
      <c r="G115" s="295"/>
      <c r="H115" s="166"/>
      <c r="I115" s="417"/>
      <c r="J115" s="294"/>
      <c r="K115" s="295"/>
      <c r="L115" s="166"/>
      <c r="M115" s="23"/>
    </row>
    <row r="116" spans="1:14" ht="15.75" x14ac:dyDescent="0.2">
      <c r="A116" s="21" t="s">
        <v>387</v>
      </c>
      <c r="B116" s="234"/>
      <c r="C116" s="234"/>
      <c r="D116" s="166"/>
      <c r="E116" s="27"/>
      <c r="F116" s="234"/>
      <c r="G116" s="234"/>
      <c r="H116" s="166"/>
      <c r="I116" s="27"/>
      <c r="J116" s="287"/>
      <c r="K116" s="44"/>
      <c r="L116" s="254"/>
      <c r="M116" s="27"/>
    </row>
    <row r="117" spans="1:14" ht="15.75" x14ac:dyDescent="0.2">
      <c r="A117" s="21" t="s">
        <v>388</v>
      </c>
      <c r="B117" s="234"/>
      <c r="C117" s="234"/>
      <c r="D117" s="166"/>
      <c r="E117" s="27"/>
      <c r="F117" s="234"/>
      <c r="G117" s="234"/>
      <c r="H117" s="166"/>
      <c r="I117" s="27"/>
      <c r="J117" s="287"/>
      <c r="K117" s="44"/>
      <c r="L117" s="254"/>
      <c r="M117" s="27"/>
    </row>
    <row r="118" spans="1:14" ht="15.75" x14ac:dyDescent="0.2">
      <c r="A118" s="21" t="s">
        <v>386</v>
      </c>
      <c r="B118" s="234"/>
      <c r="C118" s="234"/>
      <c r="D118" s="166"/>
      <c r="E118" s="27"/>
      <c r="F118" s="234"/>
      <c r="G118" s="234"/>
      <c r="H118" s="166"/>
      <c r="I118" s="27"/>
      <c r="J118" s="287"/>
      <c r="K118" s="44"/>
      <c r="L118" s="254"/>
      <c r="M118" s="27"/>
    </row>
    <row r="119" spans="1:14" ht="15.75" x14ac:dyDescent="0.2">
      <c r="A119" s="13" t="s">
        <v>367</v>
      </c>
      <c r="B119" s="308"/>
      <c r="C119" s="159"/>
      <c r="D119" s="171"/>
      <c r="E119" s="11"/>
      <c r="F119" s="308"/>
      <c r="G119" s="159"/>
      <c r="H119" s="171"/>
      <c r="I119" s="11"/>
      <c r="J119" s="309"/>
      <c r="K119" s="236"/>
      <c r="L119" s="428"/>
      <c r="M119" s="11"/>
    </row>
    <row r="120" spans="1:14" x14ac:dyDescent="0.2">
      <c r="A120" s="21" t="s">
        <v>9</v>
      </c>
      <c r="B120" s="234"/>
      <c r="C120" s="145"/>
      <c r="D120" s="166"/>
      <c r="E120" s="27"/>
      <c r="F120" s="234"/>
      <c r="G120" s="145"/>
      <c r="H120" s="166"/>
      <c r="I120" s="27"/>
      <c r="J120" s="287"/>
      <c r="K120" s="44"/>
      <c r="L120" s="254"/>
      <c r="M120" s="27"/>
    </row>
    <row r="121" spans="1:14" x14ac:dyDescent="0.2">
      <c r="A121" s="21" t="s">
        <v>10</v>
      </c>
      <c r="B121" s="234"/>
      <c r="C121" s="145"/>
      <c r="D121" s="166"/>
      <c r="E121" s="27"/>
      <c r="F121" s="234"/>
      <c r="G121" s="145"/>
      <c r="H121" s="166"/>
      <c r="I121" s="27"/>
      <c r="J121" s="287"/>
      <c r="K121" s="44"/>
      <c r="L121" s="254"/>
      <c r="M121" s="27"/>
    </row>
    <row r="122" spans="1:14" x14ac:dyDescent="0.2">
      <c r="A122" s="21" t="s">
        <v>26</v>
      </c>
      <c r="B122" s="234"/>
      <c r="C122" s="145"/>
      <c r="D122" s="166"/>
      <c r="E122" s="27"/>
      <c r="F122" s="234"/>
      <c r="G122" s="145"/>
      <c r="H122" s="166"/>
      <c r="I122" s="27"/>
      <c r="J122" s="287"/>
      <c r="K122" s="44"/>
      <c r="L122" s="254"/>
      <c r="M122" s="27"/>
    </row>
    <row r="123" spans="1:14" x14ac:dyDescent="0.2">
      <c r="A123" s="296" t="s">
        <v>14</v>
      </c>
      <c r="B123" s="294"/>
      <c r="C123" s="295"/>
      <c r="D123" s="166"/>
      <c r="E123" s="417"/>
      <c r="F123" s="294"/>
      <c r="G123" s="295"/>
      <c r="H123" s="166"/>
      <c r="I123" s="417"/>
      <c r="J123" s="294"/>
      <c r="K123" s="295"/>
      <c r="L123" s="166"/>
      <c r="M123" s="23"/>
    </row>
    <row r="124" spans="1:14" ht="15.75" x14ac:dyDescent="0.2">
      <c r="A124" s="21" t="s">
        <v>393</v>
      </c>
      <c r="B124" s="234"/>
      <c r="C124" s="234"/>
      <c r="D124" s="166"/>
      <c r="E124" s="27"/>
      <c r="F124" s="234"/>
      <c r="G124" s="234"/>
      <c r="H124" s="166"/>
      <c r="I124" s="27"/>
      <c r="J124" s="287"/>
      <c r="K124" s="44"/>
      <c r="L124" s="254"/>
      <c r="M124" s="27"/>
    </row>
    <row r="125" spans="1:14" ht="15.75" x14ac:dyDescent="0.2">
      <c r="A125" s="21" t="s">
        <v>385</v>
      </c>
      <c r="B125" s="234"/>
      <c r="C125" s="234"/>
      <c r="D125" s="166"/>
      <c r="E125" s="27"/>
      <c r="F125" s="234"/>
      <c r="G125" s="234"/>
      <c r="H125" s="166"/>
      <c r="I125" s="27"/>
      <c r="J125" s="287"/>
      <c r="K125" s="44"/>
      <c r="L125" s="254"/>
      <c r="M125" s="27"/>
    </row>
    <row r="126" spans="1:14" ht="15.75" x14ac:dyDescent="0.2">
      <c r="A126" s="10" t="s">
        <v>386</v>
      </c>
      <c r="B126" s="45"/>
      <c r="C126" s="45"/>
      <c r="D126" s="167"/>
      <c r="E126" s="418"/>
      <c r="F126" s="45"/>
      <c r="G126" s="45"/>
      <c r="H126" s="167"/>
      <c r="I126" s="22"/>
      <c r="J126" s="288"/>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35"/>
      <c r="C130" s="735"/>
      <c r="D130" s="735"/>
      <c r="E130" s="299"/>
      <c r="F130" s="735"/>
      <c r="G130" s="735"/>
      <c r="H130" s="735"/>
      <c r="I130" s="299"/>
      <c r="J130" s="735"/>
      <c r="K130" s="735"/>
      <c r="L130" s="735"/>
      <c r="M130" s="299"/>
    </row>
    <row r="131" spans="1:14" s="3" customFormat="1" x14ac:dyDescent="0.2">
      <c r="A131" s="144"/>
      <c r="B131" s="733" t="s">
        <v>0</v>
      </c>
      <c r="C131" s="734"/>
      <c r="D131" s="734"/>
      <c r="E131" s="301"/>
      <c r="F131" s="733" t="s">
        <v>1</v>
      </c>
      <c r="G131" s="734"/>
      <c r="H131" s="734"/>
      <c r="I131" s="304"/>
      <c r="J131" s="733" t="s">
        <v>2</v>
      </c>
      <c r="K131" s="734"/>
      <c r="L131" s="734"/>
      <c r="M131" s="304"/>
      <c r="N131" s="148"/>
    </row>
    <row r="132" spans="1:14" s="3" customFormat="1" x14ac:dyDescent="0.2">
      <c r="A132" s="140"/>
      <c r="B132" s="152" t="s">
        <v>421</v>
      </c>
      <c r="C132" s="152" t="s">
        <v>422</v>
      </c>
      <c r="D132" s="245" t="s">
        <v>3</v>
      </c>
      <c r="E132" s="305" t="s">
        <v>29</v>
      </c>
      <c r="F132" s="152" t="s">
        <v>421</v>
      </c>
      <c r="G132" s="152" t="s">
        <v>422</v>
      </c>
      <c r="H132" s="206" t="s">
        <v>3</v>
      </c>
      <c r="I132" s="162" t="s">
        <v>29</v>
      </c>
      <c r="J132" s="152" t="s">
        <v>421</v>
      </c>
      <c r="K132" s="152" t="s">
        <v>422</v>
      </c>
      <c r="L132" s="246" t="s">
        <v>3</v>
      </c>
      <c r="M132" s="162" t="s">
        <v>29</v>
      </c>
      <c r="N132" s="148"/>
    </row>
    <row r="133" spans="1:14" s="3" customFormat="1" x14ac:dyDescent="0.2">
      <c r="A133" s="708"/>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389</v>
      </c>
      <c r="B134" s="236"/>
      <c r="C134" s="309"/>
      <c r="D134" s="350"/>
      <c r="E134" s="11"/>
      <c r="F134" s="316"/>
      <c r="G134" s="317"/>
      <c r="H134" s="431"/>
      <c r="I134" s="24"/>
      <c r="J134" s="318"/>
      <c r="K134" s="318"/>
      <c r="L134" s="427"/>
      <c r="M134" s="11"/>
      <c r="N134" s="148"/>
    </row>
    <row r="135" spans="1:14" s="3" customFormat="1" ht="15.75" x14ac:dyDescent="0.2">
      <c r="A135" s="13" t="s">
        <v>394</v>
      </c>
      <c r="B135" s="236"/>
      <c r="C135" s="309"/>
      <c r="D135" s="171"/>
      <c r="E135" s="11"/>
      <c r="F135" s="236"/>
      <c r="G135" s="309"/>
      <c r="H135" s="432"/>
      <c r="I135" s="24"/>
      <c r="J135" s="308"/>
      <c r="K135" s="308"/>
      <c r="L135" s="428"/>
      <c r="M135" s="11"/>
      <c r="N135" s="148"/>
    </row>
    <row r="136" spans="1:14" s="3" customFormat="1" ht="15.75" x14ac:dyDescent="0.2">
      <c r="A136" s="13" t="s">
        <v>391</v>
      </c>
      <c r="B136" s="236"/>
      <c r="C136" s="309"/>
      <c r="D136" s="171"/>
      <c r="E136" s="11"/>
      <c r="F136" s="236"/>
      <c r="G136" s="309"/>
      <c r="H136" s="432"/>
      <c r="I136" s="24"/>
      <c r="J136" s="308"/>
      <c r="K136" s="308"/>
      <c r="L136" s="428"/>
      <c r="M136" s="11"/>
      <c r="N136" s="148"/>
    </row>
    <row r="137" spans="1:14" s="3" customFormat="1" ht="15.75" x14ac:dyDescent="0.2">
      <c r="A137" s="41" t="s">
        <v>392</v>
      </c>
      <c r="B137" s="276"/>
      <c r="C137" s="315"/>
      <c r="D137" s="169"/>
      <c r="E137" s="9"/>
      <c r="F137" s="276"/>
      <c r="G137" s="315"/>
      <c r="H137" s="433"/>
      <c r="I137" s="36"/>
      <c r="J137" s="314"/>
      <c r="K137" s="314"/>
      <c r="L137" s="429"/>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332" priority="132">
      <formula>kvartal &lt; 4</formula>
    </cfRule>
  </conditionalFormatting>
  <conditionalFormatting sqref="A50:A52">
    <cfRule type="expression" dxfId="331" priority="12">
      <formula>kvartal &lt; 4</formula>
    </cfRule>
  </conditionalFormatting>
  <conditionalFormatting sqref="A69:A74">
    <cfRule type="expression" dxfId="330" priority="10">
      <formula>kvartal &lt; 4</formula>
    </cfRule>
  </conditionalFormatting>
  <conditionalFormatting sqref="A80:A85">
    <cfRule type="expression" dxfId="329" priority="9">
      <formula>kvartal &lt; 4</formula>
    </cfRule>
  </conditionalFormatting>
  <conditionalFormatting sqref="A90:A95">
    <cfRule type="expression" dxfId="328" priority="6">
      <formula>kvartal &lt; 4</formula>
    </cfRule>
  </conditionalFormatting>
  <conditionalFormatting sqref="A101:A106">
    <cfRule type="expression" dxfId="327" priority="5">
      <formula>kvartal &lt; 4</formula>
    </cfRule>
  </conditionalFormatting>
  <conditionalFormatting sqref="A115">
    <cfRule type="expression" dxfId="326" priority="4">
      <formula>kvartal &lt; 4</formula>
    </cfRule>
  </conditionalFormatting>
  <conditionalFormatting sqref="A123">
    <cfRule type="expression" dxfId="325" priority="3">
      <formula>kvartal &lt; 4</formula>
    </cfRule>
  </conditionalFormatting>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24"/>
  <dimension ref="A1:N144"/>
  <sheetViews>
    <sheetView showGridLines="0" zoomScaleNormal="100" workbookViewId="0">
      <selection activeCell="A3" sqref="A3"/>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135</v>
      </c>
      <c r="B1" s="709"/>
      <c r="C1" s="583" t="s">
        <v>407</v>
      </c>
      <c r="D1" s="26"/>
      <c r="E1" s="26"/>
      <c r="F1" s="26"/>
      <c r="G1" s="26"/>
      <c r="H1" s="26"/>
      <c r="I1" s="26"/>
      <c r="J1" s="26"/>
      <c r="K1" s="26"/>
      <c r="L1" s="26"/>
      <c r="M1" s="26"/>
    </row>
    <row r="2" spans="1:14" ht="15.75" x14ac:dyDescent="0.25">
      <c r="A2" s="165" t="s">
        <v>28</v>
      </c>
      <c r="B2" s="732"/>
      <c r="C2" s="732"/>
      <c r="D2" s="732"/>
      <c r="E2" s="299"/>
      <c r="F2" s="732"/>
      <c r="G2" s="732"/>
      <c r="H2" s="732"/>
      <c r="I2" s="299"/>
      <c r="J2" s="732"/>
      <c r="K2" s="732"/>
      <c r="L2" s="732"/>
      <c r="M2" s="299"/>
    </row>
    <row r="3" spans="1:14" ht="15.75" x14ac:dyDescent="0.25">
      <c r="A3" s="615"/>
      <c r="B3" s="608"/>
      <c r="C3" s="616"/>
      <c r="D3" s="608"/>
      <c r="E3" s="608"/>
      <c r="F3" s="299"/>
      <c r="G3" s="299"/>
      <c r="H3" s="299"/>
      <c r="I3" s="299"/>
      <c r="J3" s="299"/>
      <c r="K3" s="299"/>
      <c r="L3" s="299"/>
      <c r="M3" s="299"/>
    </row>
    <row r="4" spans="1:14" x14ac:dyDescent="0.2">
      <c r="A4" s="144"/>
      <c r="B4" s="733" t="s">
        <v>0</v>
      </c>
      <c r="C4" s="734"/>
      <c r="D4" s="734"/>
      <c r="E4" s="301"/>
      <c r="F4" s="733" t="s">
        <v>1</v>
      </c>
      <c r="G4" s="734"/>
      <c r="H4" s="734"/>
      <c r="I4" s="304"/>
      <c r="J4" s="733" t="s">
        <v>2</v>
      </c>
      <c r="K4" s="734"/>
      <c r="L4" s="734"/>
      <c r="M4" s="304"/>
    </row>
    <row r="5" spans="1:14" x14ac:dyDescent="0.2">
      <c r="A5" s="158"/>
      <c r="B5" s="152" t="s">
        <v>421</v>
      </c>
      <c r="C5" s="152" t="s">
        <v>422</v>
      </c>
      <c r="D5" s="245" t="s">
        <v>3</v>
      </c>
      <c r="E5" s="305" t="s">
        <v>29</v>
      </c>
      <c r="F5" s="152" t="s">
        <v>421</v>
      </c>
      <c r="G5" s="152" t="s">
        <v>422</v>
      </c>
      <c r="H5" s="245" t="s">
        <v>3</v>
      </c>
      <c r="I5" s="162" t="s">
        <v>29</v>
      </c>
      <c r="J5" s="152" t="s">
        <v>421</v>
      </c>
      <c r="K5" s="152" t="s">
        <v>422</v>
      </c>
      <c r="L5" s="245" t="s">
        <v>3</v>
      </c>
      <c r="M5" s="162" t="s">
        <v>29</v>
      </c>
    </row>
    <row r="6" spans="1:14" x14ac:dyDescent="0.2">
      <c r="A6" s="707"/>
      <c r="B6" s="156"/>
      <c r="C6" s="156"/>
      <c r="D6" s="246" t="s">
        <v>4</v>
      </c>
      <c r="E6" s="156" t="s">
        <v>30</v>
      </c>
      <c r="F6" s="161"/>
      <c r="G6" s="161"/>
      <c r="H6" s="245" t="s">
        <v>4</v>
      </c>
      <c r="I6" s="156" t="s">
        <v>30</v>
      </c>
      <c r="J6" s="161"/>
      <c r="K6" s="161"/>
      <c r="L6" s="245" t="s">
        <v>4</v>
      </c>
      <c r="M6" s="156" t="s">
        <v>30</v>
      </c>
    </row>
    <row r="7" spans="1:14" ht="15.75" x14ac:dyDescent="0.2">
      <c r="A7" s="14" t="s">
        <v>23</v>
      </c>
      <c r="B7" s="306">
        <v>8725.2720000000008</v>
      </c>
      <c r="C7" s="307">
        <v>8144.5912699999999</v>
      </c>
      <c r="D7" s="350">
        <f>IF(B7=0, "    ---- ", IF(ABS(ROUND(100/B7*C7-100,1))&lt;999,ROUND(100/B7*C7-100,1),IF(ROUND(100/B7*C7-100,1)&gt;999,999,-999)))</f>
        <v>-6.7</v>
      </c>
      <c r="E7" s="11">
        <f>IFERROR(100/'Skjema total MA'!C7*C7,0)</f>
        <v>0.22071691725646242</v>
      </c>
      <c r="F7" s="306"/>
      <c r="G7" s="307"/>
      <c r="H7" s="350"/>
      <c r="I7" s="160"/>
      <c r="J7" s="308">
        <f t="shared" ref="J7:K10" si="0">SUM(B7,F7)</f>
        <v>8725.2720000000008</v>
      </c>
      <c r="K7" s="309">
        <f t="shared" si="0"/>
        <v>8144.5912699999999</v>
      </c>
      <c r="L7" s="427">
        <f>IF(J7=0, "    ---- ", IF(ABS(ROUND(100/J7*K7-100,1))&lt;999,ROUND(100/J7*K7-100,1),IF(ROUND(100/J7*K7-100,1)&gt;999,999,-999)))</f>
        <v>-6.7</v>
      </c>
      <c r="M7" s="11">
        <f>IFERROR(100/'Skjema total MA'!I7*K7,0)</f>
        <v>7.6879468774296245E-2</v>
      </c>
    </row>
    <row r="8" spans="1:14" ht="15.75" x14ac:dyDescent="0.2">
      <c r="A8" s="21" t="s">
        <v>25</v>
      </c>
      <c r="B8" s="281">
        <v>5380.6270000000004</v>
      </c>
      <c r="C8" s="282">
        <v>5373.4324999999999</v>
      </c>
      <c r="D8" s="166">
        <f t="shared" ref="D8:D10" si="1">IF(B8=0, "    ---- ", IF(ABS(ROUND(100/B8*C8-100,1))&lt;999,ROUND(100/B8*C8-100,1),IF(ROUND(100/B8*C8-100,1)&gt;999,999,-999)))</f>
        <v>-0.1</v>
      </c>
      <c r="E8" s="27">
        <f>IFERROR(100/'Skjema total MA'!C8*C8,0)</f>
        <v>0.22212280749891736</v>
      </c>
      <c r="F8" s="285"/>
      <c r="G8" s="286"/>
      <c r="H8" s="166"/>
      <c r="I8" s="175"/>
      <c r="J8" s="234">
        <f t="shared" si="0"/>
        <v>5380.6270000000004</v>
      </c>
      <c r="K8" s="287">
        <f t="shared" si="0"/>
        <v>5373.4324999999999</v>
      </c>
      <c r="L8" s="166">
        <f t="shared" ref="L8:L9" si="2">IF(J8=0, "    ---- ", IF(ABS(ROUND(100/J8*K8-100,1))&lt;999,ROUND(100/J8*K8-100,1),IF(ROUND(100/J8*K8-100,1)&gt;999,999,-999)))</f>
        <v>-0.1</v>
      </c>
      <c r="M8" s="27">
        <f>IFERROR(100/'Skjema total MA'!I8*K8,0)</f>
        <v>0.22212280749891736</v>
      </c>
    </row>
    <row r="9" spans="1:14" ht="15.75" x14ac:dyDescent="0.2">
      <c r="A9" s="21" t="s">
        <v>24</v>
      </c>
      <c r="B9" s="281">
        <v>3344.645</v>
      </c>
      <c r="C9" s="282">
        <v>2771.15877</v>
      </c>
      <c r="D9" s="166">
        <f t="shared" si="1"/>
        <v>-17.100000000000001</v>
      </c>
      <c r="E9" s="27">
        <f>IFERROR(100/'Skjema total MA'!C9*C9,0)</f>
        <v>0.36731410226212141</v>
      </c>
      <c r="F9" s="285"/>
      <c r="G9" s="286"/>
      <c r="H9" s="166"/>
      <c r="I9" s="175"/>
      <c r="J9" s="234">
        <f t="shared" si="0"/>
        <v>3344.645</v>
      </c>
      <c r="K9" s="287">
        <f t="shared" si="0"/>
        <v>2771.15877</v>
      </c>
      <c r="L9" s="166">
        <f t="shared" si="2"/>
        <v>-17.100000000000001</v>
      </c>
      <c r="M9" s="27">
        <f>IFERROR(100/'Skjema total MA'!I9*K9,0)</f>
        <v>0.36731410226212141</v>
      </c>
    </row>
    <row r="10" spans="1:14" ht="15.75" x14ac:dyDescent="0.2">
      <c r="A10" s="13" t="s">
        <v>365</v>
      </c>
      <c r="B10" s="310">
        <v>3921.4128289581399</v>
      </c>
      <c r="C10" s="311"/>
      <c r="D10" s="171">
        <f t="shared" si="1"/>
        <v>-100</v>
      </c>
      <c r="E10" s="11">
        <f>IFERROR(100/'Skjema total MA'!C10*C10,0)</f>
        <v>0</v>
      </c>
      <c r="F10" s="310"/>
      <c r="G10" s="311"/>
      <c r="H10" s="171"/>
      <c r="I10" s="160"/>
      <c r="J10" s="308">
        <f t="shared" si="0"/>
        <v>3921.4128289581399</v>
      </c>
      <c r="K10" s="309"/>
      <c r="L10" s="428">
        <f t="shared" ref="L10" si="3">IF(J10=0, "    ---- ", IF(ABS(ROUND(100/J10*K10-100,1))&lt;999,ROUND(100/J10*K10-100,1),IF(ROUND(100/J10*K10-100,1)&gt;999,999,-999)))</f>
        <v>-100</v>
      </c>
      <c r="M10" s="11">
        <f>IFERROR(100/'Skjema total MA'!I10*K10,0)</f>
        <v>0</v>
      </c>
    </row>
    <row r="11" spans="1:14" s="43" customFormat="1" ht="15.75" x14ac:dyDescent="0.2">
      <c r="A11" s="13" t="s">
        <v>366</v>
      </c>
      <c r="B11" s="310"/>
      <c r="C11" s="311"/>
      <c r="D11" s="171"/>
      <c r="E11" s="11"/>
      <c r="F11" s="310"/>
      <c r="G11" s="311"/>
      <c r="H11" s="171"/>
      <c r="I11" s="160"/>
      <c r="J11" s="308"/>
      <c r="K11" s="309"/>
      <c r="L11" s="428"/>
      <c r="M11" s="11"/>
      <c r="N11" s="143"/>
    </row>
    <row r="12" spans="1:14" s="43" customFormat="1" ht="15.75" x14ac:dyDescent="0.2">
      <c r="A12" s="41" t="s">
        <v>367</v>
      </c>
      <c r="B12" s="312"/>
      <c r="C12" s="313"/>
      <c r="D12" s="169"/>
      <c r="E12" s="36"/>
      <c r="F12" s="312"/>
      <c r="G12" s="313"/>
      <c r="H12" s="169"/>
      <c r="I12" s="169"/>
      <c r="J12" s="314"/>
      <c r="K12" s="315"/>
      <c r="L12" s="429"/>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275</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272</v>
      </c>
      <c r="B17" s="157"/>
      <c r="C17" s="157"/>
      <c r="D17" s="151"/>
      <c r="E17" s="151"/>
      <c r="F17" s="157"/>
      <c r="G17" s="157"/>
      <c r="H17" s="157"/>
      <c r="I17" s="157"/>
      <c r="J17" s="157"/>
      <c r="K17" s="157"/>
      <c r="L17" s="157"/>
      <c r="M17" s="157"/>
    </row>
    <row r="18" spans="1:14" ht="15.75" x14ac:dyDescent="0.25">
      <c r="B18" s="735"/>
      <c r="C18" s="735"/>
      <c r="D18" s="735"/>
      <c r="E18" s="299"/>
      <c r="F18" s="735"/>
      <c r="G18" s="735"/>
      <c r="H18" s="735"/>
      <c r="I18" s="299"/>
      <c r="J18" s="735"/>
      <c r="K18" s="735"/>
      <c r="L18" s="735"/>
      <c r="M18" s="299"/>
    </row>
    <row r="19" spans="1:14" x14ac:dyDescent="0.2">
      <c r="A19" s="144"/>
      <c r="B19" s="733" t="s">
        <v>0</v>
      </c>
      <c r="C19" s="734"/>
      <c r="D19" s="734"/>
      <c r="E19" s="301"/>
      <c r="F19" s="733" t="s">
        <v>1</v>
      </c>
      <c r="G19" s="734"/>
      <c r="H19" s="734"/>
      <c r="I19" s="304"/>
      <c r="J19" s="733" t="s">
        <v>2</v>
      </c>
      <c r="K19" s="734"/>
      <c r="L19" s="734"/>
      <c r="M19" s="304"/>
    </row>
    <row r="20" spans="1:14" x14ac:dyDescent="0.2">
      <c r="A20" s="140" t="s">
        <v>5</v>
      </c>
      <c r="B20" s="152" t="s">
        <v>421</v>
      </c>
      <c r="C20" s="152" t="s">
        <v>422</v>
      </c>
      <c r="D20" s="162" t="s">
        <v>3</v>
      </c>
      <c r="E20" s="305" t="s">
        <v>29</v>
      </c>
      <c r="F20" s="152" t="s">
        <v>421</v>
      </c>
      <c r="G20" s="152" t="s">
        <v>422</v>
      </c>
      <c r="H20" s="162" t="s">
        <v>3</v>
      </c>
      <c r="I20" s="162" t="s">
        <v>29</v>
      </c>
      <c r="J20" s="152" t="s">
        <v>421</v>
      </c>
      <c r="K20" s="152" t="s">
        <v>422</v>
      </c>
      <c r="L20" s="162" t="s">
        <v>3</v>
      </c>
      <c r="M20" s="162" t="s">
        <v>29</v>
      </c>
    </row>
    <row r="21" spans="1:14" x14ac:dyDescent="0.2">
      <c r="A21" s="708"/>
      <c r="B21" s="156"/>
      <c r="C21" s="156"/>
      <c r="D21" s="246" t="s">
        <v>4</v>
      </c>
      <c r="E21" s="156" t="s">
        <v>30</v>
      </c>
      <c r="F21" s="161"/>
      <c r="G21" s="161"/>
      <c r="H21" s="245" t="s">
        <v>4</v>
      </c>
      <c r="I21" s="156" t="s">
        <v>30</v>
      </c>
      <c r="J21" s="161"/>
      <c r="K21" s="161"/>
      <c r="L21" s="156" t="s">
        <v>4</v>
      </c>
      <c r="M21" s="156" t="s">
        <v>30</v>
      </c>
    </row>
    <row r="22" spans="1:14" ht="15.75" x14ac:dyDescent="0.2">
      <c r="A22" s="14" t="s">
        <v>23</v>
      </c>
      <c r="B22" s="310"/>
      <c r="C22" s="310"/>
      <c r="D22" s="350"/>
      <c r="E22" s="11"/>
      <c r="F22" s="318"/>
      <c r="G22" s="318"/>
      <c r="H22" s="350"/>
      <c r="I22" s="11"/>
      <c r="J22" s="316"/>
      <c r="K22" s="316"/>
      <c r="L22" s="427"/>
      <c r="M22" s="24"/>
    </row>
    <row r="23" spans="1:14" ht="15.75" x14ac:dyDescent="0.2">
      <c r="A23" s="584" t="s">
        <v>368</v>
      </c>
      <c r="B23" s="281"/>
      <c r="C23" s="281"/>
      <c r="D23" s="166" t="str">
        <f t="shared" ref="D23:D27" si="4">IF(B23=0, "    ---- ", IF(ABS(ROUND(100/B23*C23-100,1))&lt;999,ROUND(100/B23*C23-100,1),IF(ROUND(100/B23*C23-100,1)&gt;999,999,-999)))</f>
        <v xml:space="preserve">    ---- </v>
      </c>
      <c r="E23" s="11"/>
      <c r="F23" s="290"/>
      <c r="G23" s="290"/>
      <c r="H23" s="166" t="str">
        <f t="shared" ref="H23:H27" si="5">IF(F23=0, "    ---- ", IF(ABS(ROUND(100/F23*G23-100,1))&lt;999,ROUND(100/F23*G23-100,1),IF(ROUND(100/F23*G23-100,1)&gt;999,999,-999)))</f>
        <v xml:space="preserve">    ---- </v>
      </c>
      <c r="I23" s="417"/>
      <c r="J23" s="290"/>
      <c r="K23" s="290"/>
      <c r="L23" s="166" t="str">
        <f t="shared" ref="L23:L27" si="6">IF(J23=0, "    ---- ", IF(ABS(ROUND(100/J23*K23-100,1))&lt;999,ROUND(100/J23*K23-100,1),IF(ROUND(100/J23*K23-100,1)&gt;999,999,-999)))</f>
        <v xml:space="preserve">    ---- </v>
      </c>
      <c r="M23" s="23"/>
    </row>
    <row r="24" spans="1:14" ht="15.75" x14ac:dyDescent="0.2">
      <c r="A24" s="584" t="s">
        <v>369</v>
      </c>
      <c r="B24" s="281"/>
      <c r="C24" s="281"/>
      <c r="D24" s="166" t="str">
        <f t="shared" si="4"/>
        <v xml:space="preserve">    ---- </v>
      </c>
      <c r="E24" s="11"/>
      <c r="F24" s="290"/>
      <c r="G24" s="290"/>
      <c r="H24" s="166" t="str">
        <f t="shared" si="5"/>
        <v xml:space="preserve">    ---- </v>
      </c>
      <c r="I24" s="417"/>
      <c r="J24" s="290"/>
      <c r="K24" s="290"/>
      <c r="L24" s="166" t="str">
        <f t="shared" si="6"/>
        <v xml:space="preserve">    ---- </v>
      </c>
      <c r="M24" s="23"/>
    </row>
    <row r="25" spans="1:14" ht="15.75" x14ac:dyDescent="0.2">
      <c r="A25" s="584" t="s">
        <v>370</v>
      </c>
      <c r="B25" s="281"/>
      <c r="C25" s="281"/>
      <c r="D25" s="166" t="str">
        <f t="shared" si="4"/>
        <v xml:space="preserve">    ---- </v>
      </c>
      <c r="E25" s="11"/>
      <c r="F25" s="290"/>
      <c r="G25" s="290"/>
      <c r="H25" s="166" t="str">
        <f t="shared" si="5"/>
        <v xml:space="preserve">    ---- </v>
      </c>
      <c r="I25" s="417"/>
      <c r="J25" s="290"/>
      <c r="K25" s="290"/>
      <c r="L25" s="166" t="str">
        <f t="shared" si="6"/>
        <v xml:space="preserve">    ---- </v>
      </c>
      <c r="M25" s="23"/>
    </row>
    <row r="26" spans="1:14" ht="15.75" x14ac:dyDescent="0.2">
      <c r="A26" s="584" t="s">
        <v>371</v>
      </c>
      <c r="B26" s="281"/>
      <c r="C26" s="281"/>
      <c r="D26" s="166" t="str">
        <f t="shared" si="4"/>
        <v xml:space="preserve">    ---- </v>
      </c>
      <c r="E26" s="11"/>
      <c r="F26" s="290"/>
      <c r="G26" s="290"/>
      <c r="H26" s="166" t="str">
        <f t="shared" si="5"/>
        <v xml:space="preserve">    ---- </v>
      </c>
      <c r="I26" s="417"/>
      <c r="J26" s="290"/>
      <c r="K26" s="290"/>
      <c r="L26" s="166" t="str">
        <f t="shared" si="6"/>
        <v xml:space="preserve">    ---- </v>
      </c>
      <c r="M26" s="23"/>
    </row>
    <row r="27" spans="1:14" x14ac:dyDescent="0.2">
      <c r="A27" s="584" t="s">
        <v>11</v>
      </c>
      <c r="B27" s="281"/>
      <c r="C27" s="281"/>
      <c r="D27" s="166" t="str">
        <f t="shared" si="4"/>
        <v xml:space="preserve">    ---- </v>
      </c>
      <c r="E27" s="11"/>
      <c r="F27" s="290"/>
      <c r="G27" s="290"/>
      <c r="H27" s="166" t="str">
        <f t="shared" si="5"/>
        <v xml:space="preserve">    ---- </v>
      </c>
      <c r="I27" s="417"/>
      <c r="J27" s="290"/>
      <c r="K27" s="290"/>
      <c r="L27" s="166" t="str">
        <f t="shared" si="6"/>
        <v xml:space="preserve">    ---- </v>
      </c>
      <c r="M27" s="23"/>
    </row>
    <row r="28" spans="1:14" ht="15.75" x14ac:dyDescent="0.2">
      <c r="A28" s="49" t="s">
        <v>276</v>
      </c>
      <c r="B28" s="44"/>
      <c r="C28" s="287"/>
      <c r="D28" s="166"/>
      <c r="E28" s="11"/>
      <c r="F28" s="234"/>
      <c r="G28" s="287"/>
      <c r="H28" s="166"/>
      <c r="I28" s="27"/>
      <c r="J28" s="44"/>
      <c r="K28" s="44"/>
      <c r="L28" s="254"/>
      <c r="M28" s="23"/>
    </row>
    <row r="29" spans="1:14" s="3" customFormat="1" ht="15.75" x14ac:dyDescent="0.2">
      <c r="A29" s="13" t="s">
        <v>365</v>
      </c>
      <c r="B29" s="236"/>
      <c r="C29" s="236"/>
      <c r="D29" s="171"/>
      <c r="E29" s="11"/>
      <c r="F29" s="308"/>
      <c r="G29" s="308"/>
      <c r="H29" s="171"/>
      <c r="I29" s="11"/>
      <c r="J29" s="236"/>
      <c r="K29" s="236"/>
      <c r="L29" s="428"/>
      <c r="M29" s="24"/>
      <c r="N29" s="148"/>
    </row>
    <row r="30" spans="1:14" s="3" customFormat="1" ht="15.75" x14ac:dyDescent="0.2">
      <c r="A30" s="584" t="s">
        <v>368</v>
      </c>
      <c r="B30" s="281"/>
      <c r="C30" s="281"/>
      <c r="D30" s="166" t="str">
        <f t="shared" ref="D30:D33" si="7">IF(B30=0, "    ---- ", IF(ABS(ROUND(100/B30*C30-100,1))&lt;999,ROUND(100/B30*C30-100,1),IF(ROUND(100/B30*C30-100,1)&gt;999,999,-999)))</f>
        <v xml:space="preserve">    ---- </v>
      </c>
      <c r="E30" s="11"/>
      <c r="F30" s="290"/>
      <c r="G30" s="290"/>
      <c r="H30" s="166" t="str">
        <f t="shared" ref="H30:H33" si="8">IF(F30=0, "    ---- ", IF(ABS(ROUND(100/F30*G30-100,1))&lt;999,ROUND(100/F30*G30-100,1),IF(ROUND(100/F30*G30-100,1)&gt;999,999,-999)))</f>
        <v xml:space="preserve">    ---- </v>
      </c>
      <c r="I30" s="417"/>
      <c r="J30" s="290"/>
      <c r="K30" s="290"/>
      <c r="L30" s="166" t="str">
        <f t="shared" ref="L30:L33" si="9">IF(J30=0, "    ---- ", IF(ABS(ROUND(100/J30*K30-100,1))&lt;999,ROUND(100/J30*K30-100,1),IF(ROUND(100/J30*K30-100,1)&gt;999,999,-999)))</f>
        <v xml:space="preserve">    ---- </v>
      </c>
      <c r="M30" s="23"/>
      <c r="N30" s="148"/>
    </row>
    <row r="31" spans="1:14" s="3" customFormat="1" ht="15.75" x14ac:dyDescent="0.2">
      <c r="A31" s="584" t="s">
        <v>369</v>
      </c>
      <c r="B31" s="281"/>
      <c r="C31" s="281"/>
      <c r="D31" s="166" t="str">
        <f t="shared" si="7"/>
        <v xml:space="preserve">    ---- </v>
      </c>
      <c r="E31" s="11"/>
      <c r="F31" s="290"/>
      <c r="G31" s="290"/>
      <c r="H31" s="166" t="str">
        <f t="shared" si="8"/>
        <v xml:space="preserve">    ---- </v>
      </c>
      <c r="I31" s="417"/>
      <c r="J31" s="290"/>
      <c r="K31" s="290"/>
      <c r="L31" s="166" t="str">
        <f t="shared" si="9"/>
        <v xml:space="preserve">    ---- </v>
      </c>
      <c r="M31" s="23"/>
      <c r="N31" s="148"/>
    </row>
    <row r="32" spans="1:14" ht="15.75" x14ac:dyDescent="0.2">
      <c r="A32" s="584" t="s">
        <v>370</v>
      </c>
      <c r="B32" s="281"/>
      <c r="C32" s="281"/>
      <c r="D32" s="166" t="str">
        <f t="shared" si="7"/>
        <v xml:space="preserve">    ---- </v>
      </c>
      <c r="E32" s="11"/>
      <c r="F32" s="290"/>
      <c r="G32" s="290"/>
      <c r="H32" s="166" t="str">
        <f t="shared" si="8"/>
        <v xml:space="preserve">    ---- </v>
      </c>
      <c r="I32" s="417"/>
      <c r="J32" s="290"/>
      <c r="K32" s="290"/>
      <c r="L32" s="166" t="str">
        <f t="shared" si="9"/>
        <v xml:space="preserve">    ---- </v>
      </c>
      <c r="M32" s="23"/>
    </row>
    <row r="33" spans="1:14" ht="15.75" x14ac:dyDescent="0.2">
      <c r="A33" s="584" t="s">
        <v>371</v>
      </c>
      <c r="B33" s="281"/>
      <c r="C33" s="281"/>
      <c r="D33" s="166" t="str">
        <f t="shared" si="7"/>
        <v xml:space="preserve">    ---- </v>
      </c>
      <c r="E33" s="11"/>
      <c r="F33" s="290"/>
      <c r="G33" s="290"/>
      <c r="H33" s="166" t="str">
        <f t="shared" si="8"/>
        <v xml:space="preserve">    ---- </v>
      </c>
      <c r="I33" s="417"/>
      <c r="J33" s="290"/>
      <c r="K33" s="290"/>
      <c r="L33" s="166" t="str">
        <f t="shared" si="9"/>
        <v xml:space="preserve">    ---- </v>
      </c>
      <c r="M33" s="23"/>
    </row>
    <row r="34" spans="1:14" ht="15.75" x14ac:dyDescent="0.2">
      <c r="A34" s="13" t="s">
        <v>366</v>
      </c>
      <c r="B34" s="236"/>
      <c r="C34" s="309"/>
      <c r="D34" s="171"/>
      <c r="E34" s="11"/>
      <c r="F34" s="308"/>
      <c r="G34" s="309"/>
      <c r="H34" s="171"/>
      <c r="I34" s="11"/>
      <c r="J34" s="236"/>
      <c r="K34" s="236"/>
      <c r="L34" s="428"/>
      <c r="M34" s="24"/>
    </row>
    <row r="35" spans="1:14" ht="15.75" x14ac:dyDescent="0.2">
      <c r="A35" s="13" t="s">
        <v>367</v>
      </c>
      <c r="B35" s="236"/>
      <c r="C35" s="309"/>
      <c r="D35" s="171"/>
      <c r="E35" s="11"/>
      <c r="F35" s="308"/>
      <c r="G35" s="309"/>
      <c r="H35" s="171"/>
      <c r="I35" s="11"/>
      <c r="J35" s="236"/>
      <c r="K35" s="236"/>
      <c r="L35" s="428"/>
      <c r="M35" s="24"/>
    </row>
    <row r="36" spans="1:14" ht="15.75" x14ac:dyDescent="0.2">
      <c r="A36" s="12" t="s">
        <v>284</v>
      </c>
      <c r="B36" s="236"/>
      <c r="C36" s="309"/>
      <c r="D36" s="171"/>
      <c r="E36" s="11"/>
      <c r="F36" s="319"/>
      <c r="G36" s="320"/>
      <c r="H36" s="171"/>
      <c r="I36" s="434"/>
      <c r="J36" s="236"/>
      <c r="K36" s="236"/>
      <c r="L36" s="428"/>
      <c r="M36" s="24"/>
    </row>
    <row r="37" spans="1:14" ht="15.75" x14ac:dyDescent="0.2">
      <c r="A37" s="12" t="s">
        <v>373</v>
      </c>
      <c r="B37" s="236"/>
      <c r="C37" s="309"/>
      <c r="D37" s="171"/>
      <c r="E37" s="11"/>
      <c r="F37" s="319"/>
      <c r="G37" s="321"/>
      <c r="H37" s="171"/>
      <c r="I37" s="434"/>
      <c r="J37" s="236"/>
      <c r="K37" s="236"/>
      <c r="L37" s="428"/>
      <c r="M37" s="24"/>
    </row>
    <row r="38" spans="1:14" ht="15.75" x14ac:dyDescent="0.2">
      <c r="A38" s="12" t="s">
        <v>374</v>
      </c>
      <c r="B38" s="236"/>
      <c r="C38" s="309"/>
      <c r="D38" s="171"/>
      <c r="E38" s="24"/>
      <c r="F38" s="319"/>
      <c r="G38" s="320"/>
      <c r="H38" s="171"/>
      <c r="I38" s="434"/>
      <c r="J38" s="236"/>
      <c r="K38" s="236"/>
      <c r="L38" s="428"/>
      <c r="M38" s="24"/>
    </row>
    <row r="39" spans="1:14" ht="15.75" x14ac:dyDescent="0.2">
      <c r="A39" s="18" t="s">
        <v>375</v>
      </c>
      <c r="B39" s="276"/>
      <c r="C39" s="315"/>
      <c r="D39" s="169"/>
      <c r="E39" s="36"/>
      <c r="F39" s="322"/>
      <c r="G39" s="323"/>
      <c r="H39" s="169"/>
      <c r="I39" s="36"/>
      <c r="J39" s="236"/>
      <c r="K39" s="236"/>
      <c r="L39" s="429"/>
      <c r="M39" s="36"/>
    </row>
    <row r="40" spans="1:14" ht="15.75" x14ac:dyDescent="0.25">
      <c r="A40" s="47"/>
      <c r="B40" s="253"/>
      <c r="C40" s="253"/>
      <c r="D40" s="736"/>
      <c r="E40" s="736"/>
      <c r="F40" s="736"/>
      <c r="G40" s="736"/>
      <c r="H40" s="736"/>
      <c r="I40" s="736"/>
      <c r="J40" s="736"/>
      <c r="K40" s="736"/>
      <c r="L40" s="736"/>
      <c r="M40" s="302"/>
    </row>
    <row r="41" spans="1:14" x14ac:dyDescent="0.2">
      <c r="A41" s="155"/>
    </row>
    <row r="42" spans="1:14" ht="15.75" x14ac:dyDescent="0.25">
      <c r="A42" s="147" t="s">
        <v>273</v>
      </c>
      <c r="B42" s="732"/>
      <c r="C42" s="732"/>
      <c r="D42" s="732"/>
      <c r="E42" s="299"/>
      <c r="F42" s="737"/>
      <c r="G42" s="737"/>
      <c r="H42" s="737"/>
      <c r="I42" s="302"/>
      <c r="J42" s="737"/>
      <c r="K42" s="737"/>
      <c r="L42" s="737"/>
      <c r="M42" s="302"/>
    </row>
    <row r="43" spans="1:14" ht="15.75" x14ac:dyDescent="0.25">
      <c r="A43" s="163"/>
      <c r="B43" s="303"/>
      <c r="C43" s="303"/>
      <c r="D43" s="303"/>
      <c r="E43" s="303"/>
      <c r="F43" s="302"/>
      <c r="G43" s="302"/>
      <c r="H43" s="302"/>
      <c r="I43" s="302"/>
      <c r="J43" s="302"/>
      <c r="K43" s="302"/>
      <c r="L43" s="302"/>
      <c r="M43" s="302"/>
    </row>
    <row r="44" spans="1:14" ht="15.75" x14ac:dyDescent="0.25">
      <c r="A44" s="247"/>
      <c r="B44" s="733" t="s">
        <v>0</v>
      </c>
      <c r="C44" s="734"/>
      <c r="D44" s="734"/>
      <c r="E44" s="243"/>
      <c r="F44" s="302"/>
      <c r="G44" s="302"/>
      <c r="H44" s="302"/>
      <c r="I44" s="302"/>
      <c r="J44" s="302"/>
      <c r="K44" s="302"/>
      <c r="L44" s="302"/>
      <c r="M44" s="302"/>
    </row>
    <row r="45" spans="1:14" s="3" customFormat="1" x14ac:dyDescent="0.2">
      <c r="A45" s="140"/>
      <c r="B45" s="152" t="s">
        <v>421</v>
      </c>
      <c r="C45" s="152" t="s">
        <v>422</v>
      </c>
      <c r="D45" s="162" t="s">
        <v>3</v>
      </c>
      <c r="E45" s="162" t="s">
        <v>29</v>
      </c>
      <c r="F45" s="174"/>
      <c r="G45" s="174"/>
      <c r="H45" s="173"/>
      <c r="I45" s="173"/>
      <c r="J45" s="174"/>
      <c r="K45" s="174"/>
      <c r="L45" s="173"/>
      <c r="M45" s="173"/>
      <c r="N45" s="148"/>
    </row>
    <row r="46" spans="1:14" s="3" customFormat="1" x14ac:dyDescent="0.2">
      <c r="A46" s="708"/>
      <c r="B46" s="244"/>
      <c r="C46" s="244"/>
      <c r="D46" s="245" t="s">
        <v>4</v>
      </c>
      <c r="E46" s="156" t="s">
        <v>30</v>
      </c>
      <c r="F46" s="173"/>
      <c r="G46" s="173"/>
      <c r="H46" s="173"/>
      <c r="I46" s="173"/>
      <c r="J46" s="173"/>
      <c r="K46" s="173"/>
      <c r="L46" s="173"/>
      <c r="M46" s="173"/>
      <c r="N46" s="148"/>
    </row>
    <row r="47" spans="1:14" s="3" customFormat="1" ht="15.75" x14ac:dyDescent="0.2">
      <c r="A47" s="14" t="s">
        <v>23</v>
      </c>
      <c r="B47" s="310">
        <v>4056.4430000000002</v>
      </c>
      <c r="C47" s="311">
        <v>3000.7625579488199</v>
      </c>
      <c r="D47" s="427">
        <f t="shared" ref="D47:D57" si="10">IF(B47=0, "    ---- ", IF(ABS(ROUND(100/B47*C47-100,1))&lt;999,ROUND(100/B47*C47-100,1),IF(ROUND(100/B47*C47-100,1)&gt;999,999,-999)))</f>
        <v>-26</v>
      </c>
      <c r="E47" s="11">
        <f>IFERROR(100/'Skjema total MA'!C47*C47,0)</f>
        <v>7.1005737692517279E-2</v>
      </c>
      <c r="F47" s="145"/>
      <c r="G47" s="33"/>
      <c r="H47" s="159"/>
      <c r="I47" s="159"/>
      <c r="J47" s="37"/>
      <c r="K47" s="37"/>
      <c r="L47" s="159"/>
      <c r="M47" s="159"/>
      <c r="N47" s="148"/>
    </row>
    <row r="48" spans="1:14" s="3" customFormat="1" ht="15.75" x14ac:dyDescent="0.2">
      <c r="A48" s="38" t="s">
        <v>376</v>
      </c>
      <c r="B48" s="281">
        <v>4056.4430000000002</v>
      </c>
      <c r="C48" s="282">
        <v>3000.7625579488199</v>
      </c>
      <c r="D48" s="254">
        <f t="shared" si="10"/>
        <v>-26</v>
      </c>
      <c r="E48" s="27">
        <f>IFERROR(100/'Skjema total MA'!C48*C48,0)</f>
        <v>0.12614210534434808</v>
      </c>
      <c r="F48" s="145"/>
      <c r="G48" s="33"/>
      <c r="H48" s="145"/>
      <c r="I48" s="145"/>
      <c r="J48" s="33"/>
      <c r="K48" s="33"/>
      <c r="L48" s="159"/>
      <c r="M48" s="159"/>
      <c r="N48" s="148"/>
    </row>
    <row r="49" spans="1:14" s="3" customFormat="1" ht="15.75" x14ac:dyDescent="0.2">
      <c r="A49" s="38" t="s">
        <v>377</v>
      </c>
      <c r="B49" s="44"/>
      <c r="C49" s="287"/>
      <c r="D49" s="254"/>
      <c r="E49" s="27"/>
      <c r="F49" s="145"/>
      <c r="G49" s="33"/>
      <c r="H49" s="145"/>
      <c r="I49" s="145"/>
      <c r="J49" s="37"/>
      <c r="K49" s="37"/>
      <c r="L49" s="159"/>
      <c r="M49" s="159"/>
      <c r="N49" s="148"/>
    </row>
    <row r="50" spans="1:14" s="3" customFormat="1" x14ac:dyDescent="0.2">
      <c r="A50" s="296" t="s">
        <v>6</v>
      </c>
      <c r="B50" s="290"/>
      <c r="C50" s="291"/>
      <c r="D50" s="254"/>
      <c r="E50" s="23"/>
      <c r="F50" s="145"/>
      <c r="G50" s="33"/>
      <c r="H50" s="145"/>
      <c r="I50" s="145"/>
      <c r="J50" s="33"/>
      <c r="K50" s="33"/>
      <c r="L50" s="159"/>
      <c r="M50" s="159"/>
      <c r="N50" s="148"/>
    </row>
    <row r="51" spans="1:14" s="3" customFormat="1" x14ac:dyDescent="0.2">
      <c r="A51" s="296" t="s">
        <v>7</v>
      </c>
      <c r="B51" s="290"/>
      <c r="C51" s="291"/>
      <c r="D51" s="254"/>
      <c r="E51" s="23"/>
      <c r="F51" s="145"/>
      <c r="G51" s="33"/>
      <c r="H51" s="145"/>
      <c r="I51" s="145"/>
      <c r="J51" s="33"/>
      <c r="K51" s="33"/>
      <c r="L51" s="159"/>
      <c r="M51" s="159"/>
      <c r="N51" s="148"/>
    </row>
    <row r="52" spans="1:14" s="3" customFormat="1" x14ac:dyDescent="0.2">
      <c r="A52" s="296" t="s">
        <v>8</v>
      </c>
      <c r="B52" s="290"/>
      <c r="C52" s="291"/>
      <c r="D52" s="254"/>
      <c r="E52" s="23"/>
      <c r="F52" s="145"/>
      <c r="G52" s="33"/>
      <c r="H52" s="145"/>
      <c r="I52" s="145"/>
      <c r="J52" s="33"/>
      <c r="K52" s="33"/>
      <c r="L52" s="159"/>
      <c r="M52" s="159"/>
      <c r="N52" s="148"/>
    </row>
    <row r="53" spans="1:14" s="3" customFormat="1" ht="15.75" x14ac:dyDescent="0.2">
      <c r="A53" s="39" t="s">
        <v>378</v>
      </c>
      <c r="B53" s="310">
        <v>0</v>
      </c>
      <c r="C53" s="311">
        <v>24.018999999999998</v>
      </c>
      <c r="D53" s="428" t="str">
        <f t="shared" si="10"/>
        <v xml:space="preserve">    ---- </v>
      </c>
      <c r="E53" s="11">
        <f>IFERROR(100/'Skjema total MA'!C53*C53,0)</f>
        <v>1.5450011247073009E-2</v>
      </c>
      <c r="F53" s="145"/>
      <c r="G53" s="33"/>
      <c r="H53" s="145"/>
      <c r="I53" s="145"/>
      <c r="J53" s="33"/>
      <c r="K53" s="33"/>
      <c r="L53" s="159"/>
      <c r="M53" s="159"/>
      <c r="N53" s="148"/>
    </row>
    <row r="54" spans="1:14" s="3" customFormat="1" ht="15.75" x14ac:dyDescent="0.2">
      <c r="A54" s="38" t="s">
        <v>376</v>
      </c>
      <c r="B54" s="281">
        <v>0</v>
      </c>
      <c r="C54" s="282">
        <v>24.018999999999998</v>
      </c>
      <c r="D54" s="254" t="str">
        <f t="shared" si="10"/>
        <v xml:space="preserve">    ---- </v>
      </c>
      <c r="E54" s="27">
        <f>IFERROR(100/'Skjema total MA'!C54*C54,0)</f>
        <v>1.5450011247073009E-2</v>
      </c>
      <c r="F54" s="145"/>
      <c r="G54" s="33"/>
      <c r="H54" s="145"/>
      <c r="I54" s="145"/>
      <c r="J54" s="33"/>
      <c r="K54" s="33"/>
      <c r="L54" s="159"/>
      <c r="M54" s="159"/>
      <c r="N54" s="148"/>
    </row>
    <row r="55" spans="1:14" s="3" customFormat="1" ht="15.75" x14ac:dyDescent="0.2">
      <c r="A55" s="38" t="s">
        <v>377</v>
      </c>
      <c r="B55" s="281"/>
      <c r="C55" s="282"/>
      <c r="D55" s="254"/>
      <c r="E55" s="27"/>
      <c r="F55" s="145"/>
      <c r="G55" s="33"/>
      <c r="H55" s="145"/>
      <c r="I55" s="145"/>
      <c r="J55" s="33"/>
      <c r="K55" s="33"/>
      <c r="L55" s="159"/>
      <c r="M55" s="159"/>
      <c r="N55" s="148"/>
    </row>
    <row r="56" spans="1:14" s="3" customFormat="1" ht="15.75" x14ac:dyDescent="0.2">
      <c r="A56" s="39" t="s">
        <v>379</v>
      </c>
      <c r="B56" s="310">
        <v>264.21499999999997</v>
      </c>
      <c r="C56" s="311">
        <v>220.928</v>
      </c>
      <c r="D56" s="428">
        <f t="shared" si="10"/>
        <v>-16.399999999999999</v>
      </c>
      <c r="E56" s="11">
        <f>IFERROR(100/'Skjema total MA'!C56*C56,0)</f>
        <v>0.1860940612958433</v>
      </c>
      <c r="F56" s="145"/>
      <c r="G56" s="33"/>
      <c r="H56" s="145"/>
      <c r="I56" s="145"/>
      <c r="J56" s="33"/>
      <c r="K56" s="33"/>
      <c r="L56" s="159"/>
      <c r="M56" s="159"/>
      <c r="N56" s="148"/>
    </row>
    <row r="57" spans="1:14" s="3" customFormat="1" ht="15.75" x14ac:dyDescent="0.2">
      <c r="A57" s="38" t="s">
        <v>376</v>
      </c>
      <c r="B57" s="281">
        <v>264.21499999999997</v>
      </c>
      <c r="C57" s="282">
        <v>220.928</v>
      </c>
      <c r="D57" s="254">
        <f t="shared" si="10"/>
        <v>-16.399999999999999</v>
      </c>
      <c r="E57" s="27">
        <f>IFERROR(100/'Skjema total MA'!C57*C57,0)</f>
        <v>0.1860940612958433</v>
      </c>
      <c r="F57" s="145"/>
      <c r="G57" s="33"/>
      <c r="H57" s="145"/>
      <c r="I57" s="145"/>
      <c r="J57" s="33"/>
      <c r="K57" s="33"/>
      <c r="L57" s="159"/>
      <c r="M57" s="159"/>
      <c r="N57" s="148"/>
    </row>
    <row r="58" spans="1:14" s="3" customFormat="1" ht="15.75" x14ac:dyDescent="0.2">
      <c r="A58" s="46" t="s">
        <v>377</v>
      </c>
      <c r="B58" s="283"/>
      <c r="C58" s="284"/>
      <c r="D58" s="255"/>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274</v>
      </c>
      <c r="C61" s="26"/>
      <c r="D61" s="26"/>
      <c r="E61" s="26"/>
      <c r="F61" s="26"/>
      <c r="G61" s="26"/>
      <c r="H61" s="26"/>
      <c r="I61" s="26"/>
      <c r="J61" s="26"/>
      <c r="K61" s="26"/>
      <c r="L61" s="26"/>
      <c r="M61" s="26"/>
    </row>
    <row r="62" spans="1:14" ht="15.75" x14ac:dyDescent="0.25">
      <c r="B62" s="735"/>
      <c r="C62" s="735"/>
      <c r="D62" s="735"/>
      <c r="E62" s="299"/>
      <c r="F62" s="735"/>
      <c r="G62" s="735"/>
      <c r="H62" s="735"/>
      <c r="I62" s="299"/>
      <c r="J62" s="735"/>
      <c r="K62" s="735"/>
      <c r="L62" s="735"/>
      <c r="M62" s="299"/>
    </row>
    <row r="63" spans="1:14" x14ac:dyDescent="0.2">
      <c r="A63" s="144"/>
      <c r="B63" s="733" t="s">
        <v>0</v>
      </c>
      <c r="C63" s="734"/>
      <c r="D63" s="738"/>
      <c r="E63" s="300"/>
      <c r="F63" s="734" t="s">
        <v>1</v>
      </c>
      <c r="G63" s="734"/>
      <c r="H63" s="734"/>
      <c r="I63" s="304"/>
      <c r="J63" s="733" t="s">
        <v>2</v>
      </c>
      <c r="K63" s="734"/>
      <c r="L63" s="734"/>
      <c r="M63" s="304"/>
    </row>
    <row r="64" spans="1:14" x14ac:dyDescent="0.2">
      <c r="A64" s="140"/>
      <c r="B64" s="152" t="s">
        <v>421</v>
      </c>
      <c r="C64" s="152" t="s">
        <v>422</v>
      </c>
      <c r="D64" s="245" t="s">
        <v>3</v>
      </c>
      <c r="E64" s="305" t="s">
        <v>29</v>
      </c>
      <c r="F64" s="152" t="s">
        <v>421</v>
      </c>
      <c r="G64" s="152" t="s">
        <v>422</v>
      </c>
      <c r="H64" s="245" t="s">
        <v>3</v>
      </c>
      <c r="I64" s="305" t="s">
        <v>29</v>
      </c>
      <c r="J64" s="152" t="s">
        <v>421</v>
      </c>
      <c r="K64" s="152" t="s">
        <v>422</v>
      </c>
      <c r="L64" s="245" t="s">
        <v>3</v>
      </c>
      <c r="M64" s="162" t="s">
        <v>29</v>
      </c>
    </row>
    <row r="65" spans="1:14" x14ac:dyDescent="0.2">
      <c r="A65" s="708"/>
      <c r="B65" s="156"/>
      <c r="C65" s="156"/>
      <c r="D65" s="246" t="s">
        <v>4</v>
      </c>
      <c r="E65" s="156" t="s">
        <v>30</v>
      </c>
      <c r="F65" s="161"/>
      <c r="G65" s="161"/>
      <c r="H65" s="245" t="s">
        <v>4</v>
      </c>
      <c r="I65" s="156" t="s">
        <v>30</v>
      </c>
      <c r="J65" s="161"/>
      <c r="K65" s="206"/>
      <c r="L65" s="156" t="s">
        <v>4</v>
      </c>
      <c r="M65" s="156" t="s">
        <v>30</v>
      </c>
    </row>
    <row r="66" spans="1:14" ht="15.75" x14ac:dyDescent="0.2">
      <c r="A66" s="14" t="s">
        <v>23</v>
      </c>
      <c r="B66" s="353"/>
      <c r="C66" s="353"/>
      <c r="D66" s="350"/>
      <c r="E66" s="11"/>
      <c r="F66" s="352"/>
      <c r="G66" s="352"/>
      <c r="H66" s="350"/>
      <c r="I66" s="11"/>
      <c r="J66" s="309"/>
      <c r="K66" s="316"/>
      <c r="L66" s="428"/>
      <c r="M66" s="11"/>
    </row>
    <row r="67" spans="1:14" x14ac:dyDescent="0.2">
      <c r="A67" s="419" t="s">
        <v>9</v>
      </c>
      <c r="B67" s="44"/>
      <c r="C67" s="145"/>
      <c r="D67" s="166"/>
      <c r="E67" s="27"/>
      <c r="F67" s="234"/>
      <c r="G67" s="145"/>
      <c r="H67" s="166"/>
      <c r="I67" s="27"/>
      <c r="J67" s="287"/>
      <c r="K67" s="44"/>
      <c r="L67" s="254"/>
      <c r="M67" s="27"/>
    </row>
    <row r="68" spans="1:14" x14ac:dyDescent="0.2">
      <c r="A68" s="21" t="s">
        <v>10</v>
      </c>
      <c r="B68" s="292"/>
      <c r="C68" s="293"/>
      <c r="D68" s="166"/>
      <c r="E68" s="27"/>
      <c r="F68" s="292"/>
      <c r="G68" s="293"/>
      <c r="H68" s="166"/>
      <c r="I68" s="27"/>
      <c r="J68" s="287"/>
      <c r="K68" s="44"/>
      <c r="L68" s="254"/>
      <c r="M68" s="27"/>
    </row>
    <row r="69" spans="1:14" ht="15.75" x14ac:dyDescent="0.2">
      <c r="A69" s="296" t="s">
        <v>380</v>
      </c>
      <c r="B69" s="294"/>
      <c r="C69" s="295"/>
      <c r="D69" s="166"/>
      <c r="E69" s="417"/>
      <c r="F69" s="294"/>
      <c r="G69" s="295"/>
      <c r="H69" s="166"/>
      <c r="I69" s="417"/>
      <c r="J69" s="294"/>
      <c r="K69" s="295"/>
      <c r="L69" s="166"/>
      <c r="M69" s="23"/>
    </row>
    <row r="70" spans="1:14" x14ac:dyDescent="0.2">
      <c r="A70" s="296" t="s">
        <v>12</v>
      </c>
      <c r="B70" s="294"/>
      <c r="C70" s="295"/>
      <c r="D70" s="166"/>
      <c r="E70" s="417"/>
      <c r="F70" s="294"/>
      <c r="G70" s="295"/>
      <c r="H70" s="166"/>
      <c r="I70" s="417"/>
      <c r="J70" s="294"/>
      <c r="K70" s="295"/>
      <c r="L70" s="166"/>
      <c r="M70" s="23"/>
    </row>
    <row r="71" spans="1:14" x14ac:dyDescent="0.2">
      <c r="A71" s="296" t="s">
        <v>13</v>
      </c>
      <c r="B71" s="235"/>
      <c r="C71" s="289"/>
      <c r="D71" s="166"/>
      <c r="E71" s="417"/>
      <c r="F71" s="294"/>
      <c r="G71" s="295"/>
      <c r="H71" s="166"/>
      <c r="I71" s="417"/>
      <c r="J71" s="294"/>
      <c r="K71" s="295"/>
      <c r="L71" s="166"/>
      <c r="M71" s="23"/>
    </row>
    <row r="72" spans="1:14" ht="15.75" x14ac:dyDescent="0.2">
      <c r="A72" s="296" t="s">
        <v>381</v>
      </c>
      <c r="B72" s="294"/>
      <c r="C72" s="295"/>
      <c r="D72" s="166"/>
      <c r="E72" s="417"/>
      <c r="F72" s="294"/>
      <c r="G72" s="295"/>
      <c r="H72" s="166"/>
      <c r="I72" s="417"/>
      <c r="J72" s="294"/>
      <c r="K72" s="295"/>
      <c r="L72" s="166"/>
      <c r="M72" s="23"/>
    </row>
    <row r="73" spans="1:14" x14ac:dyDescent="0.2">
      <c r="A73" s="296" t="s">
        <v>12</v>
      </c>
      <c r="B73" s="235"/>
      <c r="C73" s="289"/>
      <c r="D73" s="166"/>
      <c r="E73" s="417"/>
      <c r="F73" s="294"/>
      <c r="G73" s="295"/>
      <c r="H73" s="166"/>
      <c r="I73" s="417"/>
      <c r="J73" s="294"/>
      <c r="K73" s="295"/>
      <c r="L73" s="166"/>
      <c r="M73" s="23"/>
    </row>
    <row r="74" spans="1:14" s="3" customFormat="1" x14ac:dyDescent="0.2">
      <c r="A74" s="296" t="s">
        <v>13</v>
      </c>
      <c r="B74" s="235"/>
      <c r="C74" s="289"/>
      <c r="D74" s="166"/>
      <c r="E74" s="417"/>
      <c r="F74" s="294"/>
      <c r="G74" s="295"/>
      <c r="H74" s="166"/>
      <c r="I74" s="417"/>
      <c r="J74" s="294"/>
      <c r="K74" s="295"/>
      <c r="L74" s="166"/>
      <c r="M74" s="23"/>
      <c r="N74" s="148"/>
    </row>
    <row r="75" spans="1:14" s="3" customFormat="1" x14ac:dyDescent="0.2">
      <c r="A75" s="21" t="s">
        <v>350</v>
      </c>
      <c r="B75" s="234"/>
      <c r="C75" s="145"/>
      <c r="D75" s="166"/>
      <c r="E75" s="27"/>
      <c r="F75" s="234"/>
      <c r="G75" s="145"/>
      <c r="H75" s="166"/>
      <c r="I75" s="27"/>
      <c r="J75" s="287"/>
      <c r="K75" s="44"/>
      <c r="L75" s="254"/>
      <c r="M75" s="27"/>
      <c r="N75" s="148"/>
    </row>
    <row r="76" spans="1:14" s="3" customFormat="1" x14ac:dyDescent="0.2">
      <c r="A76" s="21" t="s">
        <v>349</v>
      </c>
      <c r="B76" s="234"/>
      <c r="C76" s="145"/>
      <c r="D76" s="166"/>
      <c r="E76" s="27"/>
      <c r="F76" s="234"/>
      <c r="G76" s="145"/>
      <c r="H76" s="166"/>
      <c r="I76" s="27"/>
      <c r="J76" s="287"/>
      <c r="K76" s="44"/>
      <c r="L76" s="254"/>
      <c r="M76" s="27"/>
      <c r="N76" s="148"/>
    </row>
    <row r="77" spans="1:14" ht="15.75" x14ac:dyDescent="0.2">
      <c r="A77" s="21" t="s">
        <v>382</v>
      </c>
      <c r="B77" s="234"/>
      <c r="C77" s="234"/>
      <c r="D77" s="166"/>
      <c r="E77" s="27"/>
      <c r="F77" s="234"/>
      <c r="G77" s="145"/>
      <c r="H77" s="166"/>
      <c r="I77" s="27"/>
      <c r="J77" s="287"/>
      <c r="K77" s="44"/>
      <c r="L77" s="254"/>
      <c r="M77" s="27"/>
    </row>
    <row r="78" spans="1:14" x14ac:dyDescent="0.2">
      <c r="A78" s="21" t="s">
        <v>9</v>
      </c>
      <c r="B78" s="234"/>
      <c r="C78" s="145"/>
      <c r="D78" s="166"/>
      <c r="E78" s="27"/>
      <c r="F78" s="234"/>
      <c r="G78" s="145"/>
      <c r="H78" s="166"/>
      <c r="I78" s="27"/>
      <c r="J78" s="287"/>
      <c r="K78" s="44"/>
      <c r="L78" s="254"/>
      <c r="M78" s="27"/>
    </row>
    <row r="79" spans="1:14" x14ac:dyDescent="0.2">
      <c r="A79" s="21" t="s">
        <v>10</v>
      </c>
      <c r="B79" s="292"/>
      <c r="C79" s="293"/>
      <c r="D79" s="166"/>
      <c r="E79" s="27"/>
      <c r="F79" s="292"/>
      <c r="G79" s="293"/>
      <c r="H79" s="166"/>
      <c r="I79" s="27"/>
      <c r="J79" s="287"/>
      <c r="K79" s="44"/>
      <c r="L79" s="254"/>
      <c r="M79" s="27"/>
    </row>
    <row r="80" spans="1:14" ht="15.75" x14ac:dyDescent="0.2">
      <c r="A80" s="296" t="s">
        <v>380</v>
      </c>
      <c r="B80" s="294"/>
      <c r="C80" s="295"/>
      <c r="D80" s="166"/>
      <c r="E80" s="417"/>
      <c r="F80" s="294"/>
      <c r="G80" s="295"/>
      <c r="H80" s="166"/>
      <c r="I80" s="417"/>
      <c r="J80" s="294"/>
      <c r="K80" s="295"/>
      <c r="L80" s="166"/>
      <c r="M80" s="23"/>
    </row>
    <row r="81" spans="1:13" x14ac:dyDescent="0.2">
      <c r="A81" s="296" t="s">
        <v>12</v>
      </c>
      <c r="B81" s="294"/>
      <c r="C81" s="295"/>
      <c r="D81" s="166"/>
      <c r="E81" s="417"/>
      <c r="F81" s="294"/>
      <c r="G81" s="295"/>
      <c r="H81" s="166"/>
      <c r="I81" s="417"/>
      <c r="J81" s="294"/>
      <c r="K81" s="295"/>
      <c r="L81" s="166"/>
      <c r="M81" s="23"/>
    </row>
    <row r="82" spans="1:13" x14ac:dyDescent="0.2">
      <c r="A82" s="296" t="s">
        <v>13</v>
      </c>
      <c r="B82" s="294"/>
      <c r="C82" s="295"/>
      <c r="D82" s="166"/>
      <c r="E82" s="417"/>
      <c r="F82" s="294"/>
      <c r="G82" s="295"/>
      <c r="H82" s="166"/>
      <c r="I82" s="417"/>
      <c r="J82" s="294"/>
      <c r="K82" s="295"/>
      <c r="L82" s="166"/>
      <c r="M82" s="23"/>
    </row>
    <row r="83" spans="1:13" ht="15.75" x14ac:dyDescent="0.2">
      <c r="A83" s="296" t="s">
        <v>381</v>
      </c>
      <c r="B83" s="294"/>
      <c r="C83" s="295"/>
      <c r="D83" s="166"/>
      <c r="E83" s="417"/>
      <c r="F83" s="294"/>
      <c r="G83" s="295"/>
      <c r="H83" s="166"/>
      <c r="I83" s="417"/>
      <c r="J83" s="294"/>
      <c r="K83" s="295"/>
      <c r="L83" s="166"/>
      <c r="M83" s="23"/>
    </row>
    <row r="84" spans="1:13" x14ac:dyDescent="0.2">
      <c r="A84" s="296" t="s">
        <v>12</v>
      </c>
      <c r="B84" s="294"/>
      <c r="C84" s="295"/>
      <c r="D84" s="166"/>
      <c r="E84" s="417"/>
      <c r="F84" s="294"/>
      <c r="G84" s="295"/>
      <c r="H84" s="166"/>
      <c r="I84" s="417"/>
      <c r="J84" s="294"/>
      <c r="K84" s="295"/>
      <c r="L84" s="166"/>
      <c r="M84" s="23"/>
    </row>
    <row r="85" spans="1:13" x14ac:dyDescent="0.2">
      <c r="A85" s="296" t="s">
        <v>13</v>
      </c>
      <c r="B85" s="294"/>
      <c r="C85" s="295"/>
      <c r="D85" s="166"/>
      <c r="E85" s="417"/>
      <c r="F85" s="294"/>
      <c r="G85" s="295"/>
      <c r="H85" s="166"/>
      <c r="I85" s="417"/>
      <c r="J85" s="294"/>
      <c r="K85" s="295"/>
      <c r="L85" s="166"/>
      <c r="M85" s="23"/>
    </row>
    <row r="86" spans="1:13" ht="15.75" x14ac:dyDescent="0.2">
      <c r="A86" s="21" t="s">
        <v>383</v>
      </c>
      <c r="B86" s="234"/>
      <c r="C86" s="145"/>
      <c r="D86" s="166"/>
      <c r="E86" s="27"/>
      <c r="F86" s="234"/>
      <c r="G86" s="145"/>
      <c r="H86" s="166"/>
      <c r="I86" s="27"/>
      <c r="J86" s="287"/>
      <c r="K86" s="44"/>
      <c r="L86" s="254"/>
      <c r="M86" s="27"/>
    </row>
    <row r="87" spans="1:13" ht="15.75" x14ac:dyDescent="0.2">
      <c r="A87" s="13" t="s">
        <v>365</v>
      </c>
      <c r="B87" s="353"/>
      <c r="C87" s="353"/>
      <c r="D87" s="171"/>
      <c r="E87" s="11"/>
      <c r="F87" s="352"/>
      <c r="G87" s="352"/>
      <c r="H87" s="171"/>
      <c r="I87" s="11"/>
      <c r="J87" s="309"/>
      <c r="K87" s="236"/>
      <c r="L87" s="428"/>
      <c r="M87" s="11"/>
    </row>
    <row r="88" spans="1:13" x14ac:dyDescent="0.2">
      <c r="A88" s="21" t="s">
        <v>9</v>
      </c>
      <c r="B88" s="234"/>
      <c r="C88" s="145"/>
      <c r="D88" s="166"/>
      <c r="E88" s="27"/>
      <c r="F88" s="234"/>
      <c r="G88" s="145"/>
      <c r="H88" s="166"/>
      <c r="I88" s="27"/>
      <c r="J88" s="287"/>
      <c r="K88" s="44"/>
      <c r="L88" s="254"/>
      <c r="M88" s="27"/>
    </row>
    <row r="89" spans="1:13" x14ac:dyDescent="0.2">
      <c r="A89" s="21" t="s">
        <v>10</v>
      </c>
      <c r="B89" s="234"/>
      <c r="C89" s="145"/>
      <c r="D89" s="166"/>
      <c r="E89" s="27"/>
      <c r="F89" s="234"/>
      <c r="G89" s="145"/>
      <c r="H89" s="166"/>
      <c r="I89" s="27"/>
      <c r="J89" s="287"/>
      <c r="K89" s="44"/>
      <c r="L89" s="254"/>
      <c r="M89" s="27"/>
    </row>
    <row r="90" spans="1:13" ht="15.75" x14ac:dyDescent="0.2">
      <c r="A90" s="296" t="s">
        <v>380</v>
      </c>
      <c r="B90" s="294"/>
      <c r="C90" s="295"/>
      <c r="D90" s="166"/>
      <c r="E90" s="417"/>
      <c r="F90" s="294"/>
      <c r="G90" s="295"/>
      <c r="H90" s="166"/>
      <c r="I90" s="417"/>
      <c r="J90" s="294"/>
      <c r="K90" s="295"/>
      <c r="L90" s="166"/>
      <c r="M90" s="23"/>
    </row>
    <row r="91" spans="1:13" x14ac:dyDescent="0.2">
      <c r="A91" s="296" t="s">
        <v>12</v>
      </c>
      <c r="B91" s="294"/>
      <c r="C91" s="295"/>
      <c r="D91" s="166"/>
      <c r="E91" s="417"/>
      <c r="F91" s="294"/>
      <c r="G91" s="295"/>
      <c r="H91" s="166"/>
      <c r="I91" s="417"/>
      <c r="J91" s="294"/>
      <c r="K91" s="295"/>
      <c r="L91" s="166"/>
      <c r="M91" s="23"/>
    </row>
    <row r="92" spans="1:13" x14ac:dyDescent="0.2">
      <c r="A92" s="296" t="s">
        <v>13</v>
      </c>
      <c r="B92" s="294"/>
      <c r="C92" s="295"/>
      <c r="D92" s="166"/>
      <c r="E92" s="417"/>
      <c r="F92" s="294"/>
      <c r="G92" s="295"/>
      <c r="H92" s="166"/>
      <c r="I92" s="417"/>
      <c r="J92" s="294"/>
      <c r="K92" s="295"/>
      <c r="L92" s="166"/>
      <c r="M92" s="23"/>
    </row>
    <row r="93" spans="1:13" ht="15.75" x14ac:dyDescent="0.2">
      <c r="A93" s="296" t="s">
        <v>381</v>
      </c>
      <c r="B93" s="294"/>
      <c r="C93" s="295"/>
      <c r="D93" s="166"/>
      <c r="E93" s="417"/>
      <c r="F93" s="294"/>
      <c r="G93" s="295"/>
      <c r="H93" s="166"/>
      <c r="I93" s="417"/>
      <c r="J93" s="294"/>
      <c r="K93" s="295"/>
      <c r="L93" s="166"/>
      <c r="M93" s="23"/>
    </row>
    <row r="94" spans="1:13" x14ac:dyDescent="0.2">
      <c r="A94" s="296" t="s">
        <v>12</v>
      </c>
      <c r="B94" s="294"/>
      <c r="C94" s="295"/>
      <c r="D94" s="166"/>
      <c r="E94" s="417"/>
      <c r="F94" s="294"/>
      <c r="G94" s="295"/>
      <c r="H94" s="166"/>
      <c r="I94" s="417"/>
      <c r="J94" s="294"/>
      <c r="K94" s="295"/>
      <c r="L94" s="166"/>
      <c r="M94" s="23"/>
    </row>
    <row r="95" spans="1:13" x14ac:dyDescent="0.2">
      <c r="A95" s="296" t="s">
        <v>13</v>
      </c>
      <c r="B95" s="294"/>
      <c r="C95" s="295"/>
      <c r="D95" s="166"/>
      <c r="E95" s="417"/>
      <c r="F95" s="294"/>
      <c r="G95" s="295"/>
      <c r="H95" s="166"/>
      <c r="I95" s="417"/>
      <c r="J95" s="294"/>
      <c r="K95" s="295"/>
      <c r="L95" s="166"/>
      <c r="M95" s="23"/>
    </row>
    <row r="96" spans="1:13" x14ac:dyDescent="0.2">
      <c r="A96" s="21" t="s">
        <v>348</v>
      </c>
      <c r="B96" s="234"/>
      <c r="C96" s="145"/>
      <c r="D96" s="166"/>
      <c r="E96" s="27"/>
      <c r="F96" s="234"/>
      <c r="G96" s="145"/>
      <c r="H96" s="166"/>
      <c r="I96" s="27"/>
      <c r="J96" s="287"/>
      <c r="K96" s="44"/>
      <c r="L96" s="254"/>
      <c r="M96" s="27"/>
    </row>
    <row r="97" spans="1:13" x14ac:dyDescent="0.2">
      <c r="A97" s="21" t="s">
        <v>347</v>
      </c>
      <c r="B97" s="234"/>
      <c r="C97" s="145"/>
      <c r="D97" s="166"/>
      <c r="E97" s="27"/>
      <c r="F97" s="234"/>
      <c r="G97" s="145"/>
      <c r="H97" s="166"/>
      <c r="I97" s="27"/>
      <c r="J97" s="287"/>
      <c r="K97" s="44"/>
      <c r="L97" s="254"/>
      <c r="M97" s="27"/>
    </row>
    <row r="98" spans="1:13" ht="15.75" x14ac:dyDescent="0.2">
      <c r="A98" s="21" t="s">
        <v>382</v>
      </c>
      <c r="B98" s="234"/>
      <c r="C98" s="234"/>
      <c r="D98" s="166"/>
      <c r="E98" s="27"/>
      <c r="F98" s="292"/>
      <c r="G98" s="292"/>
      <c r="H98" s="166"/>
      <c r="I98" s="27"/>
      <c r="J98" s="287"/>
      <c r="K98" s="44"/>
      <c r="L98" s="254"/>
      <c r="M98" s="27"/>
    </row>
    <row r="99" spans="1:13" x14ac:dyDescent="0.2">
      <c r="A99" s="21" t="s">
        <v>9</v>
      </c>
      <c r="B99" s="292"/>
      <c r="C99" s="293"/>
      <c r="D99" s="166"/>
      <c r="E99" s="27"/>
      <c r="F99" s="234"/>
      <c r="G99" s="145"/>
      <c r="H99" s="166"/>
      <c r="I99" s="27"/>
      <c r="J99" s="287"/>
      <c r="K99" s="44"/>
      <c r="L99" s="254"/>
      <c r="M99" s="27"/>
    </row>
    <row r="100" spans="1:13" x14ac:dyDescent="0.2">
      <c r="A100" s="21" t="s">
        <v>10</v>
      </c>
      <c r="B100" s="292"/>
      <c r="C100" s="293"/>
      <c r="D100" s="166"/>
      <c r="E100" s="27"/>
      <c r="F100" s="234"/>
      <c r="G100" s="234"/>
      <c r="H100" s="166"/>
      <c r="I100" s="27"/>
      <c r="J100" s="287"/>
      <c r="K100" s="44"/>
      <c r="L100" s="254"/>
      <c r="M100" s="27"/>
    </row>
    <row r="101" spans="1:13" ht="15.75" x14ac:dyDescent="0.2">
      <c r="A101" s="296" t="s">
        <v>380</v>
      </c>
      <c r="B101" s="294"/>
      <c r="C101" s="295"/>
      <c r="D101" s="166"/>
      <c r="E101" s="417"/>
      <c r="F101" s="294"/>
      <c r="G101" s="295"/>
      <c r="H101" s="166"/>
      <c r="I101" s="417"/>
      <c r="J101" s="294"/>
      <c r="K101" s="295"/>
      <c r="L101" s="166"/>
      <c r="M101" s="23"/>
    </row>
    <row r="102" spans="1:13" x14ac:dyDescent="0.2">
      <c r="A102" s="296" t="s">
        <v>12</v>
      </c>
      <c r="B102" s="294"/>
      <c r="C102" s="295"/>
      <c r="D102" s="166"/>
      <c r="E102" s="417"/>
      <c r="F102" s="294"/>
      <c r="G102" s="295"/>
      <c r="H102" s="166"/>
      <c r="I102" s="417"/>
      <c r="J102" s="294"/>
      <c r="K102" s="295"/>
      <c r="L102" s="166"/>
      <c r="M102" s="23"/>
    </row>
    <row r="103" spans="1:13" x14ac:dyDescent="0.2">
      <c r="A103" s="296" t="s">
        <v>13</v>
      </c>
      <c r="B103" s="294"/>
      <c r="C103" s="295"/>
      <c r="D103" s="166"/>
      <c r="E103" s="417"/>
      <c r="F103" s="294"/>
      <c r="G103" s="295"/>
      <c r="H103" s="166"/>
      <c r="I103" s="417"/>
      <c r="J103" s="294"/>
      <c r="K103" s="295"/>
      <c r="L103" s="166"/>
      <c r="M103" s="23"/>
    </row>
    <row r="104" spans="1:13" ht="15.75" x14ac:dyDescent="0.2">
      <c r="A104" s="296" t="s">
        <v>381</v>
      </c>
      <c r="B104" s="294"/>
      <c r="C104" s="295"/>
      <c r="D104" s="166"/>
      <c r="E104" s="417"/>
      <c r="F104" s="294"/>
      <c r="G104" s="295"/>
      <c r="H104" s="166"/>
      <c r="I104" s="417"/>
      <c r="J104" s="294"/>
      <c r="K104" s="295"/>
      <c r="L104" s="166"/>
      <c r="M104" s="23"/>
    </row>
    <row r="105" spans="1:13" x14ac:dyDescent="0.2">
      <c r="A105" s="296" t="s">
        <v>12</v>
      </c>
      <c r="B105" s="294"/>
      <c r="C105" s="295"/>
      <c r="D105" s="166"/>
      <c r="E105" s="417"/>
      <c r="F105" s="294"/>
      <c r="G105" s="295"/>
      <c r="H105" s="166"/>
      <c r="I105" s="417"/>
      <c r="J105" s="294"/>
      <c r="K105" s="295"/>
      <c r="L105" s="166"/>
      <c r="M105" s="23"/>
    </row>
    <row r="106" spans="1:13" x14ac:dyDescent="0.2">
      <c r="A106" s="296" t="s">
        <v>13</v>
      </c>
      <c r="B106" s="294"/>
      <c r="C106" s="295"/>
      <c r="D106" s="166"/>
      <c r="E106" s="417"/>
      <c r="F106" s="294"/>
      <c r="G106" s="295"/>
      <c r="H106" s="166"/>
      <c r="I106" s="417"/>
      <c r="J106" s="294"/>
      <c r="K106" s="295"/>
      <c r="L106" s="166"/>
      <c r="M106" s="23"/>
    </row>
    <row r="107" spans="1:13" ht="15.75" x14ac:dyDescent="0.2">
      <c r="A107" s="21" t="s">
        <v>383</v>
      </c>
      <c r="B107" s="234"/>
      <c r="C107" s="145"/>
      <c r="D107" s="166"/>
      <c r="E107" s="27"/>
      <c r="F107" s="234"/>
      <c r="G107" s="145"/>
      <c r="H107" s="166"/>
      <c r="I107" s="27"/>
      <c r="J107" s="287"/>
      <c r="K107" s="44"/>
      <c r="L107" s="254"/>
      <c r="M107" s="27"/>
    </row>
    <row r="108" spans="1:13" ht="15.75" x14ac:dyDescent="0.2">
      <c r="A108" s="21" t="s">
        <v>384</v>
      </c>
      <c r="B108" s="234"/>
      <c r="C108" s="234"/>
      <c r="D108" s="166"/>
      <c r="E108" s="27"/>
      <c r="F108" s="234"/>
      <c r="G108" s="234"/>
      <c r="H108" s="166"/>
      <c r="I108" s="27"/>
      <c r="J108" s="287"/>
      <c r="K108" s="44"/>
      <c r="L108" s="254"/>
      <c r="M108" s="27"/>
    </row>
    <row r="109" spans="1:13" ht="15.75" x14ac:dyDescent="0.2">
      <c r="A109" s="21" t="s">
        <v>385</v>
      </c>
      <c r="B109" s="234"/>
      <c r="C109" s="234"/>
      <c r="D109" s="166"/>
      <c r="E109" s="27"/>
      <c r="F109" s="234"/>
      <c r="G109" s="234"/>
      <c r="H109" s="166"/>
      <c r="I109" s="27"/>
      <c r="J109" s="287"/>
      <c r="K109" s="44"/>
      <c r="L109" s="254"/>
      <c r="M109" s="27"/>
    </row>
    <row r="110" spans="1:13" ht="15.75" x14ac:dyDescent="0.2">
      <c r="A110" s="21" t="s">
        <v>386</v>
      </c>
      <c r="B110" s="234"/>
      <c r="C110" s="234"/>
      <c r="D110" s="166"/>
      <c r="E110" s="27"/>
      <c r="F110" s="234"/>
      <c r="G110" s="234"/>
      <c r="H110" s="166"/>
      <c r="I110" s="27"/>
      <c r="J110" s="287"/>
      <c r="K110" s="44"/>
      <c r="L110" s="254"/>
      <c r="M110" s="27"/>
    </row>
    <row r="111" spans="1:13" ht="15.75" x14ac:dyDescent="0.2">
      <c r="A111" s="13" t="s">
        <v>366</v>
      </c>
      <c r="B111" s="308"/>
      <c r="C111" s="159"/>
      <c r="D111" s="171"/>
      <c r="E111" s="11"/>
      <c r="F111" s="308"/>
      <c r="G111" s="159"/>
      <c r="H111" s="171"/>
      <c r="I111" s="11"/>
      <c r="J111" s="309"/>
      <c r="K111" s="236"/>
      <c r="L111" s="428"/>
      <c r="M111" s="11"/>
    </row>
    <row r="112" spans="1:13" x14ac:dyDescent="0.2">
      <c r="A112" s="21" t="s">
        <v>9</v>
      </c>
      <c r="B112" s="234"/>
      <c r="C112" s="145"/>
      <c r="D112" s="166"/>
      <c r="E112" s="27"/>
      <c r="F112" s="234"/>
      <c r="G112" s="145"/>
      <c r="H112" s="166"/>
      <c r="I112" s="27"/>
      <c r="J112" s="287"/>
      <c r="K112" s="44"/>
      <c r="L112" s="254"/>
      <c r="M112" s="27"/>
    </row>
    <row r="113" spans="1:14" x14ac:dyDescent="0.2">
      <c r="A113" s="21" t="s">
        <v>10</v>
      </c>
      <c r="B113" s="234"/>
      <c r="C113" s="145"/>
      <c r="D113" s="166"/>
      <c r="E113" s="27"/>
      <c r="F113" s="234"/>
      <c r="G113" s="145"/>
      <c r="H113" s="166"/>
      <c r="I113" s="27"/>
      <c r="J113" s="287"/>
      <c r="K113" s="44"/>
      <c r="L113" s="254"/>
      <c r="M113" s="27"/>
    </row>
    <row r="114" spans="1:14" x14ac:dyDescent="0.2">
      <c r="A114" s="21" t="s">
        <v>26</v>
      </c>
      <c r="B114" s="234"/>
      <c r="C114" s="145"/>
      <c r="D114" s="166"/>
      <c r="E114" s="27"/>
      <c r="F114" s="234"/>
      <c r="G114" s="145"/>
      <c r="H114" s="166"/>
      <c r="I114" s="27"/>
      <c r="J114" s="287"/>
      <c r="K114" s="44"/>
      <c r="L114" s="254"/>
      <c r="M114" s="27"/>
    </row>
    <row r="115" spans="1:14" x14ac:dyDescent="0.2">
      <c r="A115" s="296" t="s">
        <v>15</v>
      </c>
      <c r="B115" s="294"/>
      <c r="C115" s="295"/>
      <c r="D115" s="166"/>
      <c r="E115" s="417"/>
      <c r="F115" s="294"/>
      <c r="G115" s="295"/>
      <c r="H115" s="166"/>
      <c r="I115" s="417"/>
      <c r="J115" s="294"/>
      <c r="K115" s="295"/>
      <c r="L115" s="166"/>
      <c r="M115" s="23"/>
    </row>
    <row r="116" spans="1:14" ht="15.75" x14ac:dyDescent="0.2">
      <c r="A116" s="21" t="s">
        <v>387</v>
      </c>
      <c r="B116" s="234"/>
      <c r="C116" s="234"/>
      <c r="D116" s="166"/>
      <c r="E116" s="27"/>
      <c r="F116" s="234"/>
      <c r="G116" s="234"/>
      <c r="H116" s="166"/>
      <c r="I116" s="27"/>
      <c r="J116" s="287"/>
      <c r="K116" s="44"/>
      <c r="L116" s="254"/>
      <c r="M116" s="27"/>
    </row>
    <row r="117" spans="1:14" ht="15.75" x14ac:dyDescent="0.2">
      <c r="A117" s="21" t="s">
        <v>388</v>
      </c>
      <c r="B117" s="234"/>
      <c r="C117" s="234"/>
      <c r="D117" s="166"/>
      <c r="E117" s="27"/>
      <c r="F117" s="234"/>
      <c r="G117" s="234"/>
      <c r="H117" s="166"/>
      <c r="I117" s="27"/>
      <c r="J117" s="287"/>
      <c r="K117" s="44"/>
      <c r="L117" s="254"/>
      <c r="M117" s="27"/>
    </row>
    <row r="118" spans="1:14" ht="15.75" x14ac:dyDescent="0.2">
      <c r="A118" s="21" t="s">
        <v>386</v>
      </c>
      <c r="B118" s="234"/>
      <c r="C118" s="234"/>
      <c r="D118" s="166"/>
      <c r="E118" s="27"/>
      <c r="F118" s="234"/>
      <c r="G118" s="234"/>
      <c r="H118" s="166"/>
      <c r="I118" s="27"/>
      <c r="J118" s="287"/>
      <c r="K118" s="44"/>
      <c r="L118" s="254"/>
      <c r="M118" s="27"/>
    </row>
    <row r="119" spans="1:14" ht="15.75" x14ac:dyDescent="0.2">
      <c r="A119" s="13" t="s">
        <v>367</v>
      </c>
      <c r="B119" s="308"/>
      <c r="C119" s="159"/>
      <c r="D119" s="171"/>
      <c r="E119" s="11"/>
      <c r="F119" s="308"/>
      <c r="G119" s="159"/>
      <c r="H119" s="171"/>
      <c r="I119" s="11"/>
      <c r="J119" s="309"/>
      <c r="K119" s="236"/>
      <c r="L119" s="428"/>
      <c r="M119" s="11"/>
    </row>
    <row r="120" spans="1:14" x14ac:dyDescent="0.2">
      <c r="A120" s="21" t="s">
        <v>9</v>
      </c>
      <c r="B120" s="234"/>
      <c r="C120" s="145"/>
      <c r="D120" s="166"/>
      <c r="E120" s="27"/>
      <c r="F120" s="234"/>
      <c r="G120" s="145"/>
      <c r="H120" s="166"/>
      <c r="I120" s="27"/>
      <c r="J120" s="287"/>
      <c r="K120" s="44"/>
      <c r="L120" s="254"/>
      <c r="M120" s="27"/>
    </row>
    <row r="121" spans="1:14" x14ac:dyDescent="0.2">
      <c r="A121" s="21" t="s">
        <v>10</v>
      </c>
      <c r="B121" s="234"/>
      <c r="C121" s="145"/>
      <c r="D121" s="166"/>
      <c r="E121" s="27"/>
      <c r="F121" s="234"/>
      <c r="G121" s="145"/>
      <c r="H121" s="166"/>
      <c r="I121" s="27"/>
      <c r="J121" s="287"/>
      <c r="K121" s="44"/>
      <c r="L121" s="254"/>
      <c r="M121" s="27"/>
    </row>
    <row r="122" spans="1:14" x14ac:dyDescent="0.2">
      <c r="A122" s="21" t="s">
        <v>26</v>
      </c>
      <c r="B122" s="234"/>
      <c r="C122" s="145"/>
      <c r="D122" s="166"/>
      <c r="E122" s="27"/>
      <c r="F122" s="234"/>
      <c r="G122" s="145"/>
      <c r="H122" s="166"/>
      <c r="I122" s="27"/>
      <c r="J122" s="287"/>
      <c r="K122" s="44"/>
      <c r="L122" s="254"/>
      <c r="M122" s="27"/>
    </row>
    <row r="123" spans="1:14" x14ac:dyDescent="0.2">
      <c r="A123" s="296" t="s">
        <v>14</v>
      </c>
      <c r="B123" s="294"/>
      <c r="C123" s="295"/>
      <c r="D123" s="166"/>
      <c r="E123" s="417"/>
      <c r="F123" s="294"/>
      <c r="G123" s="295"/>
      <c r="H123" s="166"/>
      <c r="I123" s="417"/>
      <c r="J123" s="294"/>
      <c r="K123" s="295"/>
      <c r="L123" s="166"/>
      <c r="M123" s="23"/>
    </row>
    <row r="124" spans="1:14" ht="15.75" x14ac:dyDescent="0.2">
      <c r="A124" s="21" t="s">
        <v>393</v>
      </c>
      <c r="B124" s="234"/>
      <c r="C124" s="234"/>
      <c r="D124" s="166"/>
      <c r="E124" s="27"/>
      <c r="F124" s="234"/>
      <c r="G124" s="234"/>
      <c r="H124" s="166"/>
      <c r="I124" s="27"/>
      <c r="J124" s="287"/>
      <c r="K124" s="44"/>
      <c r="L124" s="254"/>
      <c r="M124" s="27"/>
    </row>
    <row r="125" spans="1:14" ht="15.75" x14ac:dyDescent="0.2">
      <c r="A125" s="21" t="s">
        <v>385</v>
      </c>
      <c r="B125" s="234"/>
      <c r="C125" s="234"/>
      <c r="D125" s="166"/>
      <c r="E125" s="27"/>
      <c r="F125" s="234"/>
      <c r="G125" s="234"/>
      <c r="H125" s="166"/>
      <c r="I125" s="27"/>
      <c r="J125" s="287"/>
      <c r="K125" s="44"/>
      <c r="L125" s="254"/>
      <c r="M125" s="27"/>
    </row>
    <row r="126" spans="1:14" ht="15.75" x14ac:dyDescent="0.2">
      <c r="A126" s="10" t="s">
        <v>386</v>
      </c>
      <c r="B126" s="45"/>
      <c r="C126" s="45"/>
      <c r="D126" s="167"/>
      <c r="E126" s="418"/>
      <c r="F126" s="45"/>
      <c r="G126" s="45"/>
      <c r="H126" s="167"/>
      <c r="I126" s="22"/>
      <c r="J126" s="288"/>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35"/>
      <c r="C130" s="735"/>
      <c r="D130" s="735"/>
      <c r="E130" s="299"/>
      <c r="F130" s="735"/>
      <c r="G130" s="735"/>
      <c r="H130" s="735"/>
      <c r="I130" s="299"/>
      <c r="J130" s="735"/>
      <c r="K130" s="735"/>
      <c r="L130" s="735"/>
      <c r="M130" s="299"/>
    </row>
    <row r="131" spans="1:14" s="3" customFormat="1" x14ac:dyDescent="0.2">
      <c r="A131" s="144"/>
      <c r="B131" s="733" t="s">
        <v>0</v>
      </c>
      <c r="C131" s="734"/>
      <c r="D131" s="734"/>
      <c r="E131" s="301"/>
      <c r="F131" s="733" t="s">
        <v>1</v>
      </c>
      <c r="G131" s="734"/>
      <c r="H131" s="734"/>
      <c r="I131" s="304"/>
      <c r="J131" s="733" t="s">
        <v>2</v>
      </c>
      <c r="K131" s="734"/>
      <c r="L131" s="734"/>
      <c r="M131" s="304"/>
      <c r="N131" s="148"/>
    </row>
    <row r="132" spans="1:14" s="3" customFormat="1" x14ac:dyDescent="0.2">
      <c r="A132" s="140"/>
      <c r="B132" s="152" t="s">
        <v>421</v>
      </c>
      <c r="C132" s="152" t="s">
        <v>422</v>
      </c>
      <c r="D132" s="245" t="s">
        <v>3</v>
      </c>
      <c r="E132" s="305" t="s">
        <v>29</v>
      </c>
      <c r="F132" s="152" t="s">
        <v>421</v>
      </c>
      <c r="G132" s="152" t="s">
        <v>422</v>
      </c>
      <c r="H132" s="206" t="s">
        <v>3</v>
      </c>
      <c r="I132" s="162" t="s">
        <v>29</v>
      </c>
      <c r="J132" s="152" t="s">
        <v>421</v>
      </c>
      <c r="K132" s="152" t="s">
        <v>422</v>
      </c>
      <c r="L132" s="246" t="s">
        <v>3</v>
      </c>
      <c r="M132" s="162" t="s">
        <v>29</v>
      </c>
      <c r="N132" s="148"/>
    </row>
    <row r="133" spans="1:14" s="3" customFormat="1" x14ac:dyDescent="0.2">
      <c r="A133" s="708"/>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389</v>
      </c>
      <c r="B134" s="236"/>
      <c r="C134" s="309"/>
      <c r="D134" s="350"/>
      <c r="E134" s="11"/>
      <c r="F134" s="316"/>
      <c r="G134" s="317"/>
      <c r="H134" s="431"/>
      <c r="I134" s="24"/>
      <c r="J134" s="318"/>
      <c r="K134" s="318"/>
      <c r="L134" s="427"/>
      <c r="M134" s="11"/>
      <c r="N134" s="148"/>
    </row>
    <row r="135" spans="1:14" s="3" customFormat="1" ht="15.75" x14ac:dyDescent="0.2">
      <c r="A135" s="13" t="s">
        <v>394</v>
      </c>
      <c r="B135" s="236"/>
      <c r="C135" s="309"/>
      <c r="D135" s="171"/>
      <c r="E135" s="11"/>
      <c r="F135" s="236"/>
      <c r="G135" s="309"/>
      <c r="H135" s="432"/>
      <c r="I135" s="24"/>
      <c r="J135" s="308"/>
      <c r="K135" s="308"/>
      <c r="L135" s="428"/>
      <c r="M135" s="11"/>
      <c r="N135" s="148"/>
    </row>
    <row r="136" spans="1:14" s="3" customFormat="1" ht="15.75" x14ac:dyDescent="0.2">
      <c r="A136" s="13" t="s">
        <v>391</v>
      </c>
      <c r="B136" s="236"/>
      <c r="C136" s="309"/>
      <c r="D136" s="171"/>
      <c r="E136" s="11"/>
      <c r="F136" s="236"/>
      <c r="G136" s="309"/>
      <c r="H136" s="432"/>
      <c r="I136" s="24"/>
      <c r="J136" s="308"/>
      <c r="K136" s="308"/>
      <c r="L136" s="428"/>
      <c r="M136" s="11"/>
      <c r="N136" s="148"/>
    </row>
    <row r="137" spans="1:14" s="3" customFormat="1" ht="15.75" x14ac:dyDescent="0.2">
      <c r="A137" s="41" t="s">
        <v>392</v>
      </c>
      <c r="B137" s="276"/>
      <c r="C137" s="315"/>
      <c r="D137" s="169"/>
      <c r="E137" s="9"/>
      <c r="F137" s="276"/>
      <c r="G137" s="315"/>
      <c r="H137" s="433"/>
      <c r="I137" s="36"/>
      <c r="J137" s="314"/>
      <c r="K137" s="314"/>
      <c r="L137" s="429"/>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324" priority="132">
      <formula>kvartal &lt; 4</formula>
    </cfRule>
  </conditionalFormatting>
  <conditionalFormatting sqref="A50:A52">
    <cfRule type="expression" dxfId="323" priority="12">
      <formula>kvartal &lt; 4</formula>
    </cfRule>
  </conditionalFormatting>
  <conditionalFormatting sqref="A69:A74">
    <cfRule type="expression" dxfId="322" priority="10">
      <formula>kvartal &lt; 4</formula>
    </cfRule>
  </conditionalFormatting>
  <conditionalFormatting sqref="A80:A85">
    <cfRule type="expression" dxfId="321" priority="9">
      <formula>kvartal &lt; 4</formula>
    </cfRule>
  </conditionalFormatting>
  <conditionalFormatting sqref="A90:A95">
    <cfRule type="expression" dxfId="320" priority="6">
      <formula>kvartal &lt; 4</formula>
    </cfRule>
  </conditionalFormatting>
  <conditionalFormatting sqref="A101:A106">
    <cfRule type="expression" dxfId="319" priority="5">
      <formula>kvartal &lt; 4</formula>
    </cfRule>
  </conditionalFormatting>
  <conditionalFormatting sqref="A115">
    <cfRule type="expression" dxfId="318" priority="4">
      <formula>kvartal &lt; 4</formula>
    </cfRule>
  </conditionalFormatting>
  <conditionalFormatting sqref="A123">
    <cfRule type="expression" dxfId="317" priority="3">
      <formula>kvartal &lt; 4</formula>
    </cfRule>
  </conditionalFormatting>
  <pageMargins left="0.70866141732283472" right="0.70866141732283472" top="0.74803149606299213" bottom="0.74803149606299213" header="0.31496062992125984" footer="0.31496062992125984"/>
  <pageSetup paperSize="9"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N58"/>
  <sheetViews>
    <sheetView showGridLines="0" tabSelected="1" zoomScale="70" zoomScaleNormal="70" workbookViewId="0">
      <selection activeCell="C36" sqref="C36"/>
    </sheetView>
  </sheetViews>
  <sheetFormatPr baseColWidth="10" defaultColWidth="11.42578125" defaultRowHeight="25.5" x14ac:dyDescent="0.35"/>
  <cols>
    <col min="1" max="1" width="11.42578125" style="67"/>
    <col min="2" max="2" width="25" style="67" customWidth="1"/>
    <col min="3" max="3" width="141.7109375" style="67" customWidth="1"/>
    <col min="4" max="16384" width="11.42578125" style="67"/>
  </cols>
  <sheetData>
    <row r="1" spans="1:14" ht="20.100000000000001" customHeight="1" x14ac:dyDescent="0.35">
      <c r="C1" s="68"/>
      <c r="D1" s="69"/>
      <c r="E1" s="69"/>
      <c r="F1" s="69"/>
      <c r="G1" s="69"/>
      <c r="H1" s="69"/>
      <c r="I1" s="69"/>
      <c r="J1" s="69"/>
      <c r="K1" s="69"/>
      <c r="L1" s="69"/>
      <c r="M1" s="69"/>
      <c r="N1" s="69"/>
    </row>
    <row r="2" spans="1:14" ht="20.100000000000001" customHeight="1" x14ac:dyDescent="0.35">
      <c r="C2" s="275" t="s">
        <v>31</v>
      </c>
      <c r="D2" s="69"/>
      <c r="E2" s="69"/>
      <c r="F2" s="69"/>
      <c r="G2" s="69"/>
      <c r="H2" s="69"/>
      <c r="I2" s="69"/>
      <c r="J2" s="69"/>
      <c r="K2" s="69"/>
      <c r="L2" s="69"/>
      <c r="M2" s="69"/>
      <c r="N2" s="69"/>
    </row>
    <row r="3" spans="1:14" ht="20.100000000000001" customHeight="1" x14ac:dyDescent="0.35">
      <c r="C3" s="70"/>
      <c r="D3" s="69"/>
      <c r="E3" s="69"/>
      <c r="F3" s="69"/>
      <c r="G3" s="69"/>
      <c r="H3" s="69"/>
      <c r="I3" s="69"/>
      <c r="J3" s="69"/>
      <c r="K3" s="69"/>
      <c r="L3" s="69"/>
      <c r="M3" s="69"/>
      <c r="N3" s="69"/>
    </row>
    <row r="4" spans="1:14" ht="20.100000000000001" customHeight="1" x14ac:dyDescent="0.35">
      <c r="C4" s="70"/>
      <c r="D4" s="69"/>
      <c r="E4" s="69"/>
      <c r="F4" s="69"/>
      <c r="G4" s="69"/>
      <c r="H4" s="69"/>
      <c r="I4" s="69"/>
      <c r="J4" s="69"/>
      <c r="K4" s="69"/>
      <c r="L4" s="69"/>
      <c r="M4" s="69"/>
      <c r="N4" s="69"/>
    </row>
    <row r="5" spans="1:14" ht="20.100000000000001" customHeight="1" x14ac:dyDescent="0.35">
      <c r="A5" s="70"/>
      <c r="B5" s="70"/>
      <c r="C5" s="70"/>
      <c r="D5" s="69"/>
      <c r="E5" s="69"/>
      <c r="F5" s="69"/>
      <c r="G5" s="69"/>
      <c r="H5" s="69"/>
      <c r="I5" s="69"/>
      <c r="J5" s="69"/>
      <c r="K5" s="69"/>
      <c r="L5" s="69"/>
      <c r="M5" s="69"/>
      <c r="N5" s="69"/>
    </row>
    <row r="6" spans="1:14" ht="20.100000000000001" customHeight="1" x14ac:dyDescent="0.35">
      <c r="A6" s="71" t="s">
        <v>32</v>
      </c>
      <c r="B6" s="71"/>
      <c r="C6" s="70"/>
      <c r="D6" s="69"/>
      <c r="E6" s="69"/>
      <c r="F6" s="69"/>
      <c r="G6" s="69"/>
      <c r="H6" s="69"/>
      <c r="I6" s="69"/>
      <c r="J6" s="69"/>
      <c r="K6" s="69"/>
      <c r="L6" s="69"/>
      <c r="M6" s="69"/>
      <c r="N6" s="69"/>
    </row>
    <row r="7" spans="1:14" ht="20.100000000000001" customHeight="1" x14ac:dyDescent="0.35">
      <c r="A7" s="70"/>
      <c r="B7" s="70" t="s">
        <v>33</v>
      </c>
      <c r="C7" s="70" t="s">
        <v>34</v>
      </c>
      <c r="D7" s="69"/>
      <c r="E7" s="69"/>
      <c r="F7" s="69"/>
      <c r="G7" s="69"/>
      <c r="H7" s="69"/>
      <c r="I7" s="69"/>
      <c r="J7" s="69"/>
      <c r="K7" s="69"/>
      <c r="L7" s="69"/>
      <c r="M7" s="69"/>
      <c r="N7" s="69"/>
    </row>
    <row r="8" spans="1:14" ht="20.100000000000001" customHeight="1" x14ac:dyDescent="0.35">
      <c r="A8" s="70"/>
      <c r="B8" s="70" t="s">
        <v>35</v>
      </c>
      <c r="C8" s="70" t="s">
        <v>36</v>
      </c>
      <c r="D8" s="69"/>
      <c r="E8" s="69"/>
      <c r="F8" s="69"/>
      <c r="G8" s="69"/>
      <c r="H8" s="69"/>
      <c r="I8" s="69"/>
      <c r="J8" s="69"/>
      <c r="K8" s="69"/>
      <c r="L8" s="69"/>
      <c r="M8" s="69"/>
      <c r="N8" s="69"/>
    </row>
    <row r="9" spans="1:14" ht="20.100000000000001" customHeight="1" x14ac:dyDescent="0.35">
      <c r="A9" s="70"/>
      <c r="B9" s="70" t="s">
        <v>37</v>
      </c>
      <c r="C9" s="70" t="s">
        <v>40</v>
      </c>
      <c r="D9" s="69"/>
      <c r="E9" s="69"/>
      <c r="F9" s="69"/>
      <c r="G9" s="69"/>
      <c r="H9" s="69"/>
      <c r="I9" s="69"/>
      <c r="J9" s="69"/>
      <c r="K9" s="69"/>
      <c r="L9" s="69"/>
      <c r="M9" s="69"/>
      <c r="N9" s="69"/>
    </row>
    <row r="10" spans="1:14" ht="20.100000000000001" customHeight="1" x14ac:dyDescent="0.35">
      <c r="A10" s="70"/>
      <c r="B10" s="70" t="s">
        <v>38</v>
      </c>
      <c r="C10" s="70" t="s">
        <v>42</v>
      </c>
      <c r="D10" s="69"/>
      <c r="E10" s="69"/>
      <c r="F10" s="69"/>
      <c r="G10" s="69"/>
      <c r="H10" s="69"/>
      <c r="I10" s="69"/>
      <c r="J10" s="69"/>
      <c r="K10" s="69"/>
      <c r="L10" s="69"/>
      <c r="M10" s="69"/>
      <c r="N10" s="69"/>
    </row>
    <row r="11" spans="1:14" ht="20.100000000000001" customHeight="1" x14ac:dyDescent="0.35">
      <c r="A11" s="70"/>
      <c r="B11" s="70" t="s">
        <v>39</v>
      </c>
      <c r="C11" s="70" t="s">
        <v>43</v>
      </c>
      <c r="D11" s="69"/>
      <c r="E11" s="69"/>
      <c r="F11" s="69"/>
      <c r="G11" s="69"/>
      <c r="H11" s="69"/>
      <c r="I11" s="69"/>
      <c r="J11" s="69"/>
      <c r="K11" s="69"/>
      <c r="L11" s="69"/>
      <c r="M11" s="69"/>
      <c r="N11" s="69"/>
    </row>
    <row r="12" spans="1:14" ht="20.100000000000001" customHeight="1" x14ac:dyDescent="0.35">
      <c r="A12" s="70"/>
      <c r="B12" s="70" t="s">
        <v>41</v>
      </c>
      <c r="C12" s="70" t="s">
        <v>44</v>
      </c>
      <c r="D12" s="69"/>
      <c r="E12" s="69"/>
      <c r="F12" s="69"/>
      <c r="G12" s="69"/>
      <c r="H12" s="69"/>
      <c r="I12" s="69"/>
      <c r="J12" s="69"/>
      <c r="K12" s="69"/>
      <c r="L12" s="69"/>
      <c r="M12" s="69"/>
      <c r="N12" s="69"/>
    </row>
    <row r="13" spans="1:14" ht="18.75" customHeight="1" x14ac:dyDescent="0.35">
      <c r="A13" s="70"/>
      <c r="B13" s="70"/>
      <c r="C13" s="70"/>
      <c r="D13" s="69"/>
      <c r="E13" s="69"/>
      <c r="F13" s="69"/>
      <c r="G13" s="69"/>
      <c r="H13" s="69"/>
      <c r="I13" s="69"/>
      <c r="J13" s="69"/>
      <c r="K13" s="69"/>
      <c r="L13" s="69"/>
      <c r="M13" s="69"/>
      <c r="N13" s="69"/>
    </row>
    <row r="14" spans="1:14" ht="20.100000000000001" customHeight="1" x14ac:dyDescent="0.35">
      <c r="A14" s="274" t="s">
        <v>45</v>
      </c>
      <c r="B14" s="71"/>
      <c r="C14" s="70"/>
      <c r="D14" s="69"/>
      <c r="E14" s="69"/>
      <c r="F14" s="69"/>
      <c r="G14" s="69"/>
      <c r="H14" s="69"/>
      <c r="I14" s="69"/>
      <c r="J14" s="69"/>
      <c r="K14" s="69"/>
      <c r="L14" s="69"/>
      <c r="M14" s="69"/>
      <c r="N14" s="69"/>
    </row>
    <row r="15" spans="1:14" ht="20.100000000000001" customHeight="1" x14ac:dyDescent="0.35">
      <c r="A15" s="70"/>
      <c r="B15" s="70" t="s">
        <v>46</v>
      </c>
      <c r="C15" s="70"/>
      <c r="D15" s="69"/>
      <c r="E15" s="69"/>
      <c r="F15" s="69"/>
      <c r="G15" s="69"/>
      <c r="H15" s="69"/>
      <c r="I15" s="69"/>
      <c r="J15" s="69"/>
      <c r="K15" s="69"/>
      <c r="L15" s="69"/>
      <c r="M15" s="69"/>
      <c r="N15" s="69"/>
    </row>
    <row r="16" spans="1:14" ht="20.100000000000001" customHeight="1" x14ac:dyDescent="0.35">
      <c r="A16" s="70"/>
      <c r="B16" s="71" t="s">
        <v>47</v>
      </c>
      <c r="C16" s="70" t="s">
        <v>48</v>
      </c>
      <c r="D16" s="69"/>
      <c r="E16" s="69"/>
      <c r="F16" s="69"/>
      <c r="G16" s="69"/>
      <c r="H16" s="69"/>
      <c r="I16" s="69"/>
      <c r="J16" s="69"/>
      <c r="K16" s="69"/>
      <c r="L16" s="69"/>
      <c r="M16" s="69"/>
      <c r="N16" s="69"/>
    </row>
    <row r="17" spans="1:14" ht="20.100000000000001" customHeight="1" x14ac:dyDescent="0.35">
      <c r="A17" s="70"/>
      <c r="B17" s="71" t="s">
        <v>49</v>
      </c>
      <c r="C17" s="70" t="s">
        <v>50</v>
      </c>
      <c r="D17" s="69"/>
      <c r="E17" s="69"/>
      <c r="F17" s="69"/>
      <c r="G17" s="69"/>
      <c r="H17" s="69"/>
      <c r="I17" s="69"/>
      <c r="J17" s="69"/>
      <c r="K17" s="69"/>
      <c r="L17" s="69"/>
      <c r="M17" s="69"/>
      <c r="N17" s="69"/>
    </row>
    <row r="18" spans="1:14" ht="20.100000000000001" customHeight="1" x14ac:dyDescent="0.35">
      <c r="A18" s="70"/>
      <c r="B18" s="71" t="s">
        <v>341</v>
      </c>
      <c r="C18" s="70" t="s">
        <v>342</v>
      </c>
      <c r="D18" s="69"/>
      <c r="E18" s="69"/>
      <c r="F18" s="69"/>
      <c r="G18" s="69"/>
      <c r="H18" s="69"/>
      <c r="I18" s="69"/>
      <c r="J18" s="69"/>
      <c r="K18" s="69"/>
      <c r="L18" s="69"/>
      <c r="M18" s="69"/>
      <c r="N18" s="69"/>
    </row>
    <row r="19" spans="1:14" ht="20.100000000000001" customHeight="1" x14ac:dyDescent="0.35">
      <c r="A19" s="70"/>
      <c r="B19" s="70" t="s">
        <v>343</v>
      </c>
      <c r="C19" s="70" t="s">
        <v>271</v>
      </c>
      <c r="D19" s="69"/>
      <c r="E19" s="69"/>
      <c r="F19" s="69"/>
      <c r="G19" s="69"/>
      <c r="H19" s="69"/>
      <c r="I19" s="69"/>
      <c r="J19" s="69"/>
      <c r="K19" s="69"/>
      <c r="L19" s="69"/>
      <c r="M19" s="69"/>
      <c r="N19" s="69"/>
    </row>
    <row r="20" spans="1:14" s="348" customFormat="1" ht="20.100000000000001" customHeight="1" x14ac:dyDescent="0.35">
      <c r="A20" s="346"/>
      <c r="B20" s="346" t="s">
        <v>345</v>
      </c>
      <c r="C20" s="346" t="s">
        <v>344</v>
      </c>
      <c r="D20" s="347"/>
      <c r="E20" s="347"/>
      <c r="F20" s="347"/>
      <c r="G20" s="347"/>
      <c r="H20" s="347"/>
      <c r="I20" s="347"/>
      <c r="J20" s="347"/>
      <c r="K20" s="347"/>
      <c r="L20" s="347"/>
      <c r="M20" s="347"/>
      <c r="N20" s="347"/>
    </row>
    <row r="21" spans="1:14" ht="20.100000000000001" customHeight="1" x14ac:dyDescent="0.35">
      <c r="A21" s="70"/>
      <c r="B21" s="70"/>
      <c r="C21" s="70"/>
    </row>
    <row r="22" spans="1:14" ht="18.75" customHeight="1" x14ac:dyDescent="0.35">
      <c r="A22" s="70"/>
      <c r="B22" s="346" t="s">
        <v>255</v>
      </c>
      <c r="C22" s="346"/>
    </row>
    <row r="23" spans="1:14" ht="20.100000000000001" customHeight="1" x14ac:dyDescent="0.35">
      <c r="A23" s="70"/>
      <c r="B23" s="349" t="s">
        <v>256</v>
      </c>
      <c r="C23" s="346" t="s">
        <v>257</v>
      </c>
    </row>
    <row r="24" spans="1:14" ht="20.100000000000001" hidden="1" customHeight="1" x14ac:dyDescent="0.35">
      <c r="A24" s="70"/>
      <c r="B24" s="349" t="s">
        <v>258</v>
      </c>
      <c r="C24" s="346" t="s">
        <v>259</v>
      </c>
    </row>
    <row r="25" spans="1:14" ht="20.100000000000001" hidden="1" customHeight="1" x14ac:dyDescent="0.35">
      <c r="A25" s="70"/>
      <c r="B25" s="349" t="s">
        <v>260</v>
      </c>
      <c r="C25" s="346" t="s">
        <v>261</v>
      </c>
    </row>
    <row r="26" spans="1:14" ht="20.100000000000001" hidden="1" customHeight="1" x14ac:dyDescent="0.35">
      <c r="A26" s="70"/>
      <c r="B26" s="349" t="s">
        <v>262</v>
      </c>
      <c r="C26" s="346" t="s">
        <v>263</v>
      </c>
    </row>
    <row r="27" spans="1:14" ht="20.100000000000001" customHeight="1" x14ac:dyDescent="0.35">
      <c r="A27" s="70"/>
      <c r="B27" s="349" t="s">
        <v>173</v>
      </c>
      <c r="C27" s="346" t="s">
        <v>264</v>
      </c>
    </row>
    <row r="28" spans="1:14" ht="20.100000000000001" hidden="1" customHeight="1" x14ac:dyDescent="0.35">
      <c r="A28" s="70"/>
      <c r="B28" s="343" t="s">
        <v>265</v>
      </c>
      <c r="C28" s="273" t="s">
        <v>266</v>
      </c>
    </row>
    <row r="29" spans="1:14" ht="20.100000000000001" hidden="1" customHeight="1" x14ac:dyDescent="0.35">
      <c r="A29" s="70"/>
      <c r="B29" s="343" t="s">
        <v>267</v>
      </c>
      <c r="C29" s="273" t="s">
        <v>268</v>
      </c>
    </row>
    <row r="30" spans="1:14" ht="18.75" customHeight="1" x14ac:dyDescent="0.35">
      <c r="A30" s="70"/>
      <c r="B30" s="349" t="s">
        <v>269</v>
      </c>
      <c r="C30" s="346" t="s">
        <v>270</v>
      </c>
    </row>
    <row r="31" spans="1:14" ht="18.75" customHeight="1" x14ac:dyDescent="0.35">
      <c r="A31" s="70"/>
      <c r="B31" s="349"/>
      <c r="C31" s="346"/>
    </row>
    <row r="32" spans="1:14" ht="20.100000000000001" customHeight="1" x14ac:dyDescent="0.35">
      <c r="A32" s="70"/>
      <c r="B32" s="70"/>
      <c r="C32" s="70"/>
    </row>
    <row r="33" spans="1:14" x14ac:dyDescent="0.35">
      <c r="A33" s="71" t="s">
        <v>51</v>
      </c>
      <c r="B33" s="70"/>
      <c r="C33" s="70"/>
    </row>
    <row r="34" spans="1:14" ht="26.25" hidden="1" customHeight="1" x14ac:dyDescent="0.4">
      <c r="C34" s="72"/>
    </row>
    <row r="35" spans="1:14" ht="26.25" hidden="1" customHeight="1" x14ac:dyDescent="0.4">
      <c r="C35" s="72"/>
    </row>
    <row r="36" spans="1:14" ht="18.75" customHeight="1" x14ac:dyDescent="0.4">
      <c r="C36" s="344"/>
      <c r="D36" s="345"/>
    </row>
    <row r="37" spans="1:14" ht="26.25" x14ac:dyDescent="0.4">
      <c r="C37" s="72"/>
    </row>
    <row r="38" spans="1:14" ht="26.25" x14ac:dyDescent="0.4">
      <c r="C38" s="72"/>
    </row>
    <row r="39" spans="1:14" ht="26.25" x14ac:dyDescent="0.4">
      <c r="C39" s="344"/>
      <c r="D39" s="348"/>
      <c r="E39" s="348"/>
      <c r="F39" s="348"/>
      <c r="G39" s="348"/>
      <c r="H39" s="348"/>
      <c r="I39" s="348"/>
      <c r="J39" s="348"/>
      <c r="K39" s="348"/>
      <c r="L39" s="348"/>
      <c r="M39" s="348"/>
      <c r="N39" s="348"/>
    </row>
    <row r="40" spans="1:14" ht="26.25" x14ac:dyDescent="0.4">
      <c r="C40" s="72"/>
    </row>
    <row r="41" spans="1:14" ht="26.25" x14ac:dyDescent="0.4">
      <c r="C41" s="72"/>
    </row>
    <row r="42" spans="1:14" ht="26.25" x14ac:dyDescent="0.4">
      <c r="C42" s="72"/>
    </row>
    <row r="43" spans="1:14" ht="26.25" x14ac:dyDescent="0.4">
      <c r="C43" s="72"/>
    </row>
    <row r="44" spans="1:14" ht="26.25" x14ac:dyDescent="0.4">
      <c r="C44" s="72"/>
    </row>
    <row r="45" spans="1:14" ht="26.25" x14ac:dyDescent="0.4">
      <c r="C45" s="72"/>
    </row>
    <row r="46" spans="1:14" ht="26.25" x14ac:dyDescent="0.4">
      <c r="C46" s="72"/>
    </row>
    <row r="47" spans="1:14" ht="26.25" x14ac:dyDescent="0.4">
      <c r="C47" s="72"/>
    </row>
    <row r="48" spans="1:14" ht="26.25" x14ac:dyDescent="0.4">
      <c r="C48" s="72"/>
    </row>
    <row r="49" spans="3:3" ht="26.25" x14ac:dyDescent="0.4">
      <c r="C49" s="72"/>
    </row>
    <row r="50" spans="3:3" ht="26.25" x14ac:dyDescent="0.4">
      <c r="C50" s="72"/>
    </row>
    <row r="51" spans="3:3" ht="26.25" x14ac:dyDescent="0.4">
      <c r="C51" s="72"/>
    </row>
    <row r="52" spans="3:3" ht="26.25" x14ac:dyDescent="0.4">
      <c r="C52" s="72"/>
    </row>
    <row r="53" spans="3:3" ht="26.25" x14ac:dyDescent="0.4">
      <c r="C53" s="72"/>
    </row>
    <row r="54" spans="3:3" ht="26.25" x14ac:dyDescent="0.4">
      <c r="C54" s="72"/>
    </row>
    <row r="55" spans="3:3" ht="26.25" x14ac:dyDescent="0.4">
      <c r="C55" s="72"/>
    </row>
    <row r="56" spans="3:3" ht="26.25" x14ac:dyDescent="0.4">
      <c r="C56" s="72"/>
    </row>
    <row r="57" spans="3:3" ht="26.25" x14ac:dyDescent="0.4">
      <c r="C57" s="72"/>
    </row>
    <row r="58" spans="3:3" ht="26.25" x14ac:dyDescent="0.4">
      <c r="C58" s="72"/>
    </row>
  </sheetData>
  <hyperlinks>
    <hyperlink ref="A6" location="Figurer!A1" display="FIGURER" xr:uid="{00000000-0004-0000-0100-000000000000}"/>
    <hyperlink ref="A14" location="'Tabel 1.1'!A1" display="TABELLER" xr:uid="{00000000-0004-0000-0100-000001000000}"/>
    <hyperlink ref="B16" location="'Tabell 1.1'!A1" display="Tabell 1.1" xr:uid="{00000000-0004-0000-0100-000002000000}"/>
    <hyperlink ref="B17" location="'Tabell 1.2'!A1" display="Tabell 1.2" xr:uid="{00000000-0004-0000-0100-000003000000}"/>
    <hyperlink ref="A33" location="'Noter og kommentarer'!A1" display="NOTER OG KOMMENTARER" xr:uid="{00000000-0004-0000-0100-000004000000}"/>
    <hyperlink ref="B23" location="'Tabell 4'!A1" display="Tabell 4" xr:uid="{00000000-0004-0000-0100-000005000000}"/>
    <hyperlink ref="B27" location="'Tabell 6'!A1" display="Tabell 6" xr:uid="{00000000-0004-0000-0100-000006000000}"/>
    <hyperlink ref="B30" location="'Tabell 8'!A1" display="Tabell 8" xr:uid="{00000000-0004-0000-0100-000007000000}"/>
    <hyperlink ref="B24" location="'Tabell 5.1'!A1" display="Tabell 5.1" xr:uid="{00000000-0004-0000-0100-000008000000}"/>
    <hyperlink ref="B25" location="'Tabell 5.2'!A1" display="Tabell 5.2" xr:uid="{00000000-0004-0000-0100-000009000000}"/>
    <hyperlink ref="B26" location="'Tabell 5.3'!A1" display="Tabell 5.3" xr:uid="{00000000-0004-0000-0100-00000A000000}"/>
    <hyperlink ref="B28" location="'Tabell 7a'!A1" display="Tabell 7a" xr:uid="{00000000-0004-0000-0100-00000B000000}"/>
    <hyperlink ref="B29" location="'Tabell 7b'!A1" display="Tabell 7b" xr:uid="{00000000-0004-0000-0100-00000C000000}"/>
  </hyperlink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20"/>
  <dimension ref="A1:N144"/>
  <sheetViews>
    <sheetView showGridLines="0" zoomScaleNormal="100" workbookViewId="0">
      <selection activeCell="A3" sqref="A3"/>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135</v>
      </c>
      <c r="B1" s="709"/>
      <c r="C1" s="248" t="s">
        <v>63</v>
      </c>
      <c r="D1" s="26"/>
      <c r="E1" s="26"/>
      <c r="F1" s="26"/>
      <c r="G1" s="26"/>
      <c r="H1" s="26"/>
      <c r="I1" s="26"/>
      <c r="J1" s="26"/>
      <c r="K1" s="26"/>
      <c r="L1" s="26"/>
      <c r="M1" s="26"/>
    </row>
    <row r="2" spans="1:14" ht="15.75" x14ac:dyDescent="0.25">
      <c r="A2" s="165" t="s">
        <v>28</v>
      </c>
      <c r="B2" s="732"/>
      <c r="C2" s="732"/>
      <c r="D2" s="732"/>
      <c r="E2" s="299"/>
      <c r="F2" s="732"/>
      <c r="G2" s="732"/>
      <c r="H2" s="732"/>
      <c r="I2" s="299"/>
      <c r="J2" s="732"/>
      <c r="K2" s="732"/>
      <c r="L2" s="732"/>
      <c r="M2" s="299"/>
    </row>
    <row r="3" spans="1:14" ht="15.75" x14ac:dyDescent="0.25">
      <c r="A3" s="163"/>
      <c r="B3" s="299"/>
      <c r="C3" s="299"/>
      <c r="D3" s="299"/>
      <c r="E3" s="299"/>
      <c r="F3" s="299"/>
      <c r="G3" s="299"/>
      <c r="H3" s="299"/>
      <c r="I3" s="299"/>
      <c r="J3" s="299"/>
      <c r="K3" s="299"/>
      <c r="L3" s="299"/>
      <c r="M3" s="299"/>
    </row>
    <row r="4" spans="1:14" x14ac:dyDescent="0.2">
      <c r="A4" s="144"/>
      <c r="B4" s="733" t="s">
        <v>0</v>
      </c>
      <c r="C4" s="734"/>
      <c r="D4" s="734"/>
      <c r="E4" s="301"/>
      <c r="F4" s="733" t="s">
        <v>1</v>
      </c>
      <c r="G4" s="734"/>
      <c r="H4" s="734"/>
      <c r="I4" s="304"/>
      <c r="J4" s="733" t="s">
        <v>2</v>
      </c>
      <c r="K4" s="734"/>
      <c r="L4" s="734"/>
      <c r="M4" s="304"/>
    </row>
    <row r="5" spans="1:14" x14ac:dyDescent="0.2">
      <c r="A5" s="158"/>
      <c r="B5" s="152" t="s">
        <v>421</v>
      </c>
      <c r="C5" s="152" t="s">
        <v>422</v>
      </c>
      <c r="D5" s="245" t="s">
        <v>3</v>
      </c>
      <c r="E5" s="305" t="s">
        <v>29</v>
      </c>
      <c r="F5" s="152" t="s">
        <v>421</v>
      </c>
      <c r="G5" s="152" t="s">
        <v>422</v>
      </c>
      <c r="H5" s="245" t="s">
        <v>3</v>
      </c>
      <c r="I5" s="162" t="s">
        <v>29</v>
      </c>
      <c r="J5" s="152" t="s">
        <v>421</v>
      </c>
      <c r="K5" s="152" t="s">
        <v>422</v>
      </c>
      <c r="L5" s="245" t="s">
        <v>3</v>
      </c>
      <c r="M5" s="162" t="s">
        <v>29</v>
      </c>
    </row>
    <row r="6" spans="1:14" x14ac:dyDescent="0.2">
      <c r="A6" s="707"/>
      <c r="B6" s="156"/>
      <c r="C6" s="156"/>
      <c r="D6" s="246" t="s">
        <v>4</v>
      </c>
      <c r="E6" s="156" t="s">
        <v>30</v>
      </c>
      <c r="F6" s="161"/>
      <c r="G6" s="161"/>
      <c r="H6" s="245" t="s">
        <v>4</v>
      </c>
      <c r="I6" s="156" t="s">
        <v>30</v>
      </c>
      <c r="J6" s="161"/>
      <c r="K6" s="161"/>
      <c r="L6" s="245" t="s">
        <v>4</v>
      </c>
      <c r="M6" s="156" t="s">
        <v>30</v>
      </c>
    </row>
    <row r="7" spans="1:14" ht="15.75" x14ac:dyDescent="0.2">
      <c r="A7" s="14" t="s">
        <v>23</v>
      </c>
      <c r="B7" s="306"/>
      <c r="C7" s="307"/>
      <c r="D7" s="350"/>
      <c r="E7" s="11"/>
      <c r="F7" s="306"/>
      <c r="G7" s="307"/>
      <c r="H7" s="350"/>
      <c r="I7" s="160"/>
      <c r="J7" s="308"/>
      <c r="K7" s="309"/>
      <c r="L7" s="427"/>
      <c r="M7" s="11"/>
    </row>
    <row r="8" spans="1:14" ht="15.75" x14ac:dyDescent="0.2">
      <c r="A8" s="21" t="s">
        <v>25</v>
      </c>
      <c r="B8" s="281"/>
      <c r="C8" s="282"/>
      <c r="D8" s="166"/>
      <c r="E8" s="27"/>
      <c r="F8" s="285"/>
      <c r="G8" s="286"/>
      <c r="H8" s="166"/>
      <c r="I8" s="175"/>
      <c r="J8" s="234"/>
      <c r="K8" s="287"/>
      <c r="L8" s="166"/>
      <c r="M8" s="27"/>
    </row>
    <row r="9" spans="1:14" ht="15.75" x14ac:dyDescent="0.2">
      <c r="A9" s="21" t="s">
        <v>24</v>
      </c>
      <c r="B9" s="281"/>
      <c r="C9" s="282"/>
      <c r="D9" s="166"/>
      <c r="E9" s="27"/>
      <c r="F9" s="285"/>
      <c r="G9" s="286"/>
      <c r="H9" s="166"/>
      <c r="I9" s="175"/>
      <c r="J9" s="234"/>
      <c r="K9" s="287"/>
      <c r="L9" s="166"/>
      <c r="M9" s="27"/>
    </row>
    <row r="10" spans="1:14" ht="15.75" x14ac:dyDescent="0.2">
      <c r="A10" s="13" t="s">
        <v>365</v>
      </c>
      <c r="B10" s="310"/>
      <c r="C10" s="311"/>
      <c r="D10" s="171"/>
      <c r="E10" s="11"/>
      <c r="F10" s="310"/>
      <c r="G10" s="311"/>
      <c r="H10" s="171"/>
      <c r="I10" s="160"/>
      <c r="J10" s="308"/>
      <c r="K10" s="309"/>
      <c r="L10" s="428"/>
      <c r="M10" s="11"/>
    </row>
    <row r="11" spans="1:14" s="43" customFormat="1" ht="15.75" x14ac:dyDescent="0.2">
      <c r="A11" s="13" t="s">
        <v>366</v>
      </c>
      <c r="B11" s="310"/>
      <c r="C11" s="311"/>
      <c r="D11" s="171"/>
      <c r="E11" s="11"/>
      <c r="F11" s="310"/>
      <c r="G11" s="311"/>
      <c r="H11" s="171"/>
      <c r="I11" s="160"/>
      <c r="J11" s="308"/>
      <c r="K11" s="309"/>
      <c r="L11" s="428"/>
      <c r="M11" s="11"/>
      <c r="N11" s="143"/>
    </row>
    <row r="12" spans="1:14" s="43" customFormat="1" ht="15.75" x14ac:dyDescent="0.2">
      <c r="A12" s="41" t="s">
        <v>367</v>
      </c>
      <c r="B12" s="312"/>
      <c r="C12" s="313"/>
      <c r="D12" s="169"/>
      <c r="E12" s="36"/>
      <c r="F12" s="312"/>
      <c r="G12" s="313"/>
      <c r="H12" s="169"/>
      <c r="I12" s="169"/>
      <c r="J12" s="314"/>
      <c r="K12" s="315"/>
      <c r="L12" s="429"/>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275</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272</v>
      </c>
      <c r="B17" s="157"/>
      <c r="C17" s="157"/>
      <c r="D17" s="151"/>
      <c r="E17" s="151"/>
      <c r="F17" s="157"/>
      <c r="G17" s="157"/>
      <c r="H17" s="157"/>
      <c r="I17" s="157"/>
      <c r="J17" s="157"/>
      <c r="K17" s="157"/>
      <c r="L17" s="157"/>
      <c r="M17" s="157"/>
    </row>
    <row r="18" spans="1:14" ht="15.75" x14ac:dyDescent="0.25">
      <c r="B18" s="735"/>
      <c r="C18" s="735"/>
      <c r="D18" s="735"/>
      <c r="E18" s="299"/>
      <c r="F18" s="735"/>
      <c r="G18" s="735"/>
      <c r="H18" s="735"/>
      <c r="I18" s="299"/>
      <c r="J18" s="735"/>
      <c r="K18" s="735"/>
      <c r="L18" s="735"/>
      <c r="M18" s="299"/>
    </row>
    <row r="19" spans="1:14" x14ac:dyDescent="0.2">
      <c r="A19" s="144"/>
      <c r="B19" s="733" t="s">
        <v>0</v>
      </c>
      <c r="C19" s="734"/>
      <c r="D19" s="734"/>
      <c r="E19" s="301"/>
      <c r="F19" s="733" t="s">
        <v>1</v>
      </c>
      <c r="G19" s="734"/>
      <c r="H19" s="734"/>
      <c r="I19" s="304"/>
      <c r="J19" s="733" t="s">
        <v>2</v>
      </c>
      <c r="K19" s="734"/>
      <c r="L19" s="734"/>
      <c r="M19" s="304"/>
    </row>
    <row r="20" spans="1:14" x14ac:dyDescent="0.2">
      <c r="A20" s="140" t="s">
        <v>5</v>
      </c>
      <c r="B20" s="152" t="s">
        <v>421</v>
      </c>
      <c r="C20" s="152" t="s">
        <v>422</v>
      </c>
      <c r="D20" s="162" t="s">
        <v>3</v>
      </c>
      <c r="E20" s="305" t="s">
        <v>29</v>
      </c>
      <c r="F20" s="152" t="s">
        <v>421</v>
      </c>
      <c r="G20" s="152" t="s">
        <v>422</v>
      </c>
      <c r="H20" s="162" t="s">
        <v>3</v>
      </c>
      <c r="I20" s="162" t="s">
        <v>29</v>
      </c>
      <c r="J20" s="152" t="s">
        <v>421</v>
      </c>
      <c r="K20" s="152" t="s">
        <v>422</v>
      </c>
      <c r="L20" s="162" t="s">
        <v>3</v>
      </c>
      <c r="M20" s="162" t="s">
        <v>29</v>
      </c>
    </row>
    <row r="21" spans="1:14" x14ac:dyDescent="0.2">
      <c r="A21" s="708"/>
      <c r="B21" s="156"/>
      <c r="C21" s="156"/>
      <c r="D21" s="246" t="s">
        <v>4</v>
      </c>
      <c r="E21" s="156" t="s">
        <v>30</v>
      </c>
      <c r="F21" s="161"/>
      <c r="G21" s="161"/>
      <c r="H21" s="245" t="s">
        <v>4</v>
      </c>
      <c r="I21" s="156" t="s">
        <v>30</v>
      </c>
      <c r="J21" s="161"/>
      <c r="K21" s="161"/>
      <c r="L21" s="156" t="s">
        <v>4</v>
      </c>
      <c r="M21" s="156" t="s">
        <v>30</v>
      </c>
    </row>
    <row r="22" spans="1:14" ht="15.75" x14ac:dyDescent="0.2">
      <c r="A22" s="14" t="s">
        <v>23</v>
      </c>
      <c r="B22" s="310"/>
      <c r="C22" s="310"/>
      <c r="D22" s="350"/>
      <c r="E22" s="11"/>
      <c r="F22" s="318"/>
      <c r="G22" s="318"/>
      <c r="H22" s="350"/>
      <c r="I22" s="11"/>
      <c r="J22" s="316"/>
      <c r="K22" s="316"/>
      <c r="L22" s="427"/>
      <c r="M22" s="24"/>
    </row>
    <row r="23" spans="1:14" ht="15.75" x14ac:dyDescent="0.2">
      <c r="A23" s="584" t="s">
        <v>368</v>
      </c>
      <c r="B23" s="281"/>
      <c r="C23" s="281"/>
      <c r="D23" s="166"/>
      <c r="E23" s="11"/>
      <c r="F23" s="290"/>
      <c r="G23" s="290"/>
      <c r="H23" s="166"/>
      <c r="I23" s="417"/>
      <c r="J23" s="290"/>
      <c r="K23" s="290"/>
      <c r="L23" s="166"/>
      <c r="M23" s="23"/>
    </row>
    <row r="24" spans="1:14" ht="15.75" x14ac:dyDescent="0.2">
      <c r="A24" s="584" t="s">
        <v>369</v>
      </c>
      <c r="B24" s="281"/>
      <c r="C24" s="281"/>
      <c r="D24" s="166"/>
      <c r="E24" s="11"/>
      <c r="F24" s="290"/>
      <c r="G24" s="290"/>
      <c r="H24" s="166"/>
      <c r="I24" s="417"/>
      <c r="J24" s="290"/>
      <c r="K24" s="290"/>
      <c r="L24" s="166"/>
      <c r="M24" s="23"/>
    </row>
    <row r="25" spans="1:14" ht="15.75" x14ac:dyDescent="0.2">
      <c r="A25" s="584" t="s">
        <v>370</v>
      </c>
      <c r="B25" s="281"/>
      <c r="C25" s="281"/>
      <c r="D25" s="166"/>
      <c r="E25" s="11"/>
      <c r="F25" s="290"/>
      <c r="G25" s="290"/>
      <c r="H25" s="166"/>
      <c r="I25" s="417"/>
      <c r="J25" s="290"/>
      <c r="K25" s="290"/>
      <c r="L25" s="166"/>
      <c r="M25" s="23"/>
    </row>
    <row r="26" spans="1:14" ht="15.75" x14ac:dyDescent="0.2">
      <c r="A26" s="584" t="s">
        <v>371</v>
      </c>
      <c r="B26" s="281"/>
      <c r="C26" s="281"/>
      <c r="D26" s="166"/>
      <c r="E26" s="11"/>
      <c r="F26" s="290"/>
      <c r="G26" s="290"/>
      <c r="H26" s="166"/>
      <c r="I26" s="417"/>
      <c r="J26" s="290"/>
      <c r="K26" s="290"/>
      <c r="L26" s="166"/>
      <c r="M26" s="23"/>
    </row>
    <row r="27" spans="1:14" x14ac:dyDescent="0.2">
      <c r="A27" s="584" t="s">
        <v>11</v>
      </c>
      <c r="B27" s="281"/>
      <c r="C27" s="281"/>
      <c r="D27" s="166"/>
      <c r="E27" s="11"/>
      <c r="F27" s="290"/>
      <c r="G27" s="290"/>
      <c r="H27" s="166"/>
      <c r="I27" s="417"/>
      <c r="J27" s="290"/>
      <c r="K27" s="290"/>
      <c r="L27" s="166"/>
      <c r="M27" s="23"/>
    </row>
    <row r="28" spans="1:14" ht="15.75" x14ac:dyDescent="0.2">
      <c r="A28" s="49" t="s">
        <v>276</v>
      </c>
      <c r="B28" s="44"/>
      <c r="C28" s="287"/>
      <c r="D28" s="166"/>
      <c r="E28" s="11"/>
      <c r="F28" s="234"/>
      <c r="G28" s="287"/>
      <c r="H28" s="166"/>
      <c r="I28" s="27"/>
      <c r="J28" s="44"/>
      <c r="K28" s="44"/>
      <c r="L28" s="254"/>
      <c r="M28" s="23"/>
    </row>
    <row r="29" spans="1:14" s="3" customFormat="1" ht="15.75" x14ac:dyDescent="0.2">
      <c r="A29" s="13" t="s">
        <v>365</v>
      </c>
      <c r="B29" s="236"/>
      <c r="C29" s="236"/>
      <c r="D29" s="171"/>
      <c r="E29" s="11"/>
      <c r="F29" s="308"/>
      <c r="G29" s="308"/>
      <c r="H29" s="171"/>
      <c r="I29" s="11"/>
      <c r="J29" s="236"/>
      <c r="K29" s="236"/>
      <c r="L29" s="428"/>
      <c r="M29" s="24"/>
      <c r="N29" s="148"/>
    </row>
    <row r="30" spans="1:14" s="3" customFormat="1" ht="15.75" x14ac:dyDescent="0.2">
      <c r="A30" s="584" t="s">
        <v>368</v>
      </c>
      <c r="B30" s="281"/>
      <c r="C30" s="281"/>
      <c r="D30" s="166"/>
      <c r="E30" s="11"/>
      <c r="F30" s="290"/>
      <c r="G30" s="290"/>
      <c r="H30" s="166"/>
      <c r="I30" s="417"/>
      <c r="J30" s="290"/>
      <c r="K30" s="290"/>
      <c r="L30" s="166"/>
      <c r="M30" s="23"/>
      <c r="N30" s="148"/>
    </row>
    <row r="31" spans="1:14" s="3" customFormat="1" ht="15.75" x14ac:dyDescent="0.2">
      <c r="A31" s="584" t="s">
        <v>369</v>
      </c>
      <c r="B31" s="281"/>
      <c r="C31" s="281"/>
      <c r="D31" s="166"/>
      <c r="E31" s="11"/>
      <c r="F31" s="290"/>
      <c r="G31" s="290"/>
      <c r="H31" s="166"/>
      <c r="I31" s="417"/>
      <c r="J31" s="290"/>
      <c r="K31" s="290"/>
      <c r="L31" s="166"/>
      <c r="M31" s="23"/>
      <c r="N31" s="148"/>
    </row>
    <row r="32" spans="1:14" ht="15.75" x14ac:dyDescent="0.2">
      <c r="A32" s="584" t="s">
        <v>370</v>
      </c>
      <c r="B32" s="281"/>
      <c r="C32" s="281"/>
      <c r="D32" s="166"/>
      <c r="E32" s="11"/>
      <c r="F32" s="290"/>
      <c r="G32" s="290"/>
      <c r="H32" s="166"/>
      <c r="I32" s="417"/>
      <c r="J32" s="290"/>
      <c r="K32" s="290"/>
      <c r="L32" s="166"/>
      <c r="M32" s="23"/>
    </row>
    <row r="33" spans="1:14" ht="15.75" x14ac:dyDescent="0.2">
      <c r="A33" s="584" t="s">
        <v>371</v>
      </c>
      <c r="B33" s="281"/>
      <c r="C33" s="281"/>
      <c r="D33" s="166"/>
      <c r="E33" s="11"/>
      <c r="F33" s="290"/>
      <c r="G33" s="290"/>
      <c r="H33" s="166"/>
      <c r="I33" s="417"/>
      <c r="J33" s="290"/>
      <c r="K33" s="290"/>
      <c r="L33" s="166"/>
      <c r="M33" s="23"/>
    </row>
    <row r="34" spans="1:14" ht="15.75" x14ac:dyDescent="0.2">
      <c r="A34" s="13" t="s">
        <v>366</v>
      </c>
      <c r="B34" s="236"/>
      <c r="C34" s="309"/>
      <c r="D34" s="171"/>
      <c r="E34" s="11"/>
      <c r="F34" s="308"/>
      <c r="G34" s="309"/>
      <c r="H34" s="171"/>
      <c r="I34" s="11"/>
      <c r="J34" s="236"/>
      <c r="K34" s="236"/>
      <c r="L34" s="428"/>
      <c r="M34" s="24"/>
    </row>
    <row r="35" spans="1:14" ht="15.75" x14ac:dyDescent="0.2">
      <c r="A35" s="13" t="s">
        <v>367</v>
      </c>
      <c r="B35" s="236"/>
      <c r="C35" s="309"/>
      <c r="D35" s="171"/>
      <c r="E35" s="11"/>
      <c r="F35" s="308"/>
      <c r="G35" s="309"/>
      <c r="H35" s="171"/>
      <c r="I35" s="11"/>
      <c r="J35" s="236"/>
      <c r="K35" s="236"/>
      <c r="L35" s="428"/>
      <c r="M35" s="24"/>
    </row>
    <row r="36" spans="1:14" ht="15.75" x14ac:dyDescent="0.2">
      <c r="A36" s="12" t="s">
        <v>284</v>
      </c>
      <c r="B36" s="236"/>
      <c r="C36" s="309"/>
      <c r="D36" s="171"/>
      <c r="E36" s="11"/>
      <c r="F36" s="319"/>
      <c r="G36" s="320"/>
      <c r="H36" s="171"/>
      <c r="I36" s="434"/>
      <c r="J36" s="236"/>
      <c r="K36" s="236"/>
      <c r="L36" s="428"/>
      <c r="M36" s="24"/>
    </row>
    <row r="37" spans="1:14" ht="15.75" x14ac:dyDescent="0.2">
      <c r="A37" s="12" t="s">
        <v>373</v>
      </c>
      <c r="B37" s="236"/>
      <c r="C37" s="309"/>
      <c r="D37" s="171"/>
      <c r="E37" s="11"/>
      <c r="F37" s="319"/>
      <c r="G37" s="321"/>
      <c r="H37" s="171"/>
      <c r="I37" s="434"/>
      <c r="J37" s="236"/>
      <c r="K37" s="236"/>
      <c r="L37" s="428"/>
      <c r="M37" s="24"/>
    </row>
    <row r="38" spans="1:14" ht="15.75" x14ac:dyDescent="0.2">
      <c r="A38" s="12" t="s">
        <v>374</v>
      </c>
      <c r="B38" s="236"/>
      <c r="C38" s="309"/>
      <c r="D38" s="171"/>
      <c r="E38" s="24"/>
      <c r="F38" s="319"/>
      <c r="G38" s="320"/>
      <c r="H38" s="171"/>
      <c r="I38" s="434"/>
      <c r="J38" s="236"/>
      <c r="K38" s="236"/>
      <c r="L38" s="428"/>
      <c r="M38" s="24"/>
    </row>
    <row r="39" spans="1:14" ht="15.75" x14ac:dyDescent="0.2">
      <c r="A39" s="18" t="s">
        <v>375</v>
      </c>
      <c r="B39" s="276"/>
      <c r="C39" s="315"/>
      <c r="D39" s="169"/>
      <c r="E39" s="36"/>
      <c r="F39" s="322"/>
      <c r="G39" s="323"/>
      <c r="H39" s="169"/>
      <c r="I39" s="36"/>
      <c r="J39" s="236"/>
      <c r="K39" s="236"/>
      <c r="L39" s="429"/>
      <c r="M39" s="36"/>
    </row>
    <row r="40" spans="1:14" ht="15.75" x14ac:dyDescent="0.25">
      <c r="A40" s="47"/>
      <c r="B40" s="253"/>
      <c r="C40" s="253"/>
      <c r="D40" s="736"/>
      <c r="E40" s="736"/>
      <c r="F40" s="736"/>
      <c r="G40" s="736"/>
      <c r="H40" s="736"/>
      <c r="I40" s="736"/>
      <c r="J40" s="736"/>
      <c r="K40" s="736"/>
      <c r="L40" s="736"/>
      <c r="M40" s="302"/>
    </row>
    <row r="41" spans="1:14" x14ac:dyDescent="0.2">
      <c r="A41" s="155"/>
    </row>
    <row r="42" spans="1:14" ht="15.75" x14ac:dyDescent="0.25">
      <c r="A42" s="147" t="s">
        <v>273</v>
      </c>
      <c r="B42" s="732"/>
      <c r="C42" s="732"/>
      <c r="D42" s="732"/>
      <c r="E42" s="299"/>
      <c r="F42" s="737"/>
      <c r="G42" s="737"/>
      <c r="H42" s="737"/>
      <c r="I42" s="302"/>
      <c r="J42" s="737"/>
      <c r="K42" s="737"/>
      <c r="L42" s="737"/>
      <c r="M42" s="302"/>
    </row>
    <row r="43" spans="1:14" ht="15.75" x14ac:dyDescent="0.25">
      <c r="A43" s="163"/>
      <c r="B43" s="303"/>
      <c r="C43" s="303"/>
      <c r="D43" s="303"/>
      <c r="E43" s="303"/>
      <c r="F43" s="302"/>
      <c r="G43" s="302"/>
      <c r="H43" s="302"/>
      <c r="I43" s="302"/>
      <c r="J43" s="302"/>
      <c r="K43" s="302"/>
      <c r="L43" s="302"/>
      <c r="M43" s="302"/>
    </row>
    <row r="44" spans="1:14" ht="15.75" x14ac:dyDescent="0.25">
      <c r="A44" s="247"/>
      <c r="B44" s="733" t="s">
        <v>0</v>
      </c>
      <c r="C44" s="734"/>
      <c r="D44" s="734"/>
      <c r="E44" s="243"/>
      <c r="F44" s="302"/>
      <c r="G44" s="302"/>
      <c r="H44" s="302"/>
      <c r="I44" s="302"/>
      <c r="J44" s="302"/>
      <c r="K44" s="302"/>
      <c r="L44" s="302"/>
      <c r="M44" s="302"/>
    </row>
    <row r="45" spans="1:14" s="3" customFormat="1" x14ac:dyDescent="0.2">
      <c r="A45" s="140"/>
      <c r="B45" s="152" t="s">
        <v>421</v>
      </c>
      <c r="C45" s="152" t="s">
        <v>422</v>
      </c>
      <c r="D45" s="162" t="s">
        <v>3</v>
      </c>
      <c r="E45" s="162" t="s">
        <v>29</v>
      </c>
      <c r="F45" s="174"/>
      <c r="G45" s="174"/>
      <c r="H45" s="173"/>
      <c r="I45" s="173"/>
      <c r="J45" s="174"/>
      <c r="K45" s="174"/>
      <c r="L45" s="173"/>
      <c r="M45" s="173"/>
      <c r="N45" s="148"/>
    </row>
    <row r="46" spans="1:14" s="3" customFormat="1" x14ac:dyDescent="0.2">
      <c r="A46" s="708"/>
      <c r="B46" s="244"/>
      <c r="C46" s="244"/>
      <c r="D46" s="245" t="s">
        <v>4</v>
      </c>
      <c r="E46" s="156" t="s">
        <v>30</v>
      </c>
      <c r="F46" s="173"/>
      <c r="G46" s="173"/>
      <c r="H46" s="173"/>
      <c r="I46" s="173"/>
      <c r="J46" s="173"/>
      <c r="K46" s="173"/>
      <c r="L46" s="173"/>
      <c r="M46" s="173"/>
      <c r="N46" s="148"/>
    </row>
    <row r="47" spans="1:14" s="3" customFormat="1" ht="15.75" x14ac:dyDescent="0.2">
      <c r="A47" s="14" t="s">
        <v>23</v>
      </c>
      <c r="B47" s="310">
        <v>2732.9288299999998</v>
      </c>
      <c r="C47" s="311">
        <v>2476.0995199999998</v>
      </c>
      <c r="D47" s="427">
        <f t="shared" ref="D47:D48" si="0">IF(B47=0, "    ---- ", IF(ABS(ROUND(100/B47*C47-100,1))&lt;999,ROUND(100/B47*C47-100,1),IF(ROUND(100/B47*C47-100,1)&gt;999,999,-999)))</f>
        <v>-9.4</v>
      </c>
      <c r="E47" s="11">
        <f>IFERROR(100/'Skjema total MA'!C47*C47,0)</f>
        <v>5.8590864696028581E-2</v>
      </c>
      <c r="F47" s="145"/>
      <c r="G47" s="33"/>
      <c r="H47" s="159"/>
      <c r="I47" s="159"/>
      <c r="J47" s="37"/>
      <c r="K47" s="37"/>
      <c r="L47" s="159"/>
      <c r="M47" s="159"/>
      <c r="N47" s="148"/>
    </row>
    <row r="48" spans="1:14" s="3" customFormat="1" ht="15.75" x14ac:dyDescent="0.2">
      <c r="A48" s="38" t="s">
        <v>376</v>
      </c>
      <c r="B48" s="281">
        <v>888.2355</v>
      </c>
      <c r="C48" s="282">
        <v>943.50028999999995</v>
      </c>
      <c r="D48" s="254">
        <f t="shared" si="0"/>
        <v>6.2</v>
      </c>
      <c r="E48" s="27">
        <f>IFERROR(100/'Skjema total MA'!C48*C48,0)</f>
        <v>3.9661622895933522E-2</v>
      </c>
      <c r="F48" s="145"/>
      <c r="G48" s="33"/>
      <c r="H48" s="145"/>
      <c r="I48" s="145"/>
      <c r="J48" s="33"/>
      <c r="K48" s="33"/>
      <c r="L48" s="159"/>
      <c r="M48" s="159"/>
      <c r="N48" s="148"/>
    </row>
    <row r="49" spans="1:14" s="3" customFormat="1" ht="15.75" x14ac:dyDescent="0.2">
      <c r="A49" s="38" t="s">
        <v>377</v>
      </c>
      <c r="B49" s="44">
        <v>1844.6933300000001</v>
      </c>
      <c r="C49" s="287">
        <v>1532.59923</v>
      </c>
      <c r="D49" s="254">
        <f>IF(B49=0, "    ---- ", IF(ABS(ROUND(100/B49*C49-100,1))&lt;999,ROUND(100/B49*C49-100,1),IF(ROUND(100/B49*C49-100,1)&gt;999,999,-999)))</f>
        <v>-16.899999999999999</v>
      </c>
      <c r="E49" s="27">
        <f>IFERROR(100/'Skjema total MA'!C49*C49,0)</f>
        <v>8.2968327978761788E-2</v>
      </c>
      <c r="F49" s="145"/>
      <c r="G49" s="33"/>
      <c r="H49" s="145"/>
      <c r="I49" s="145"/>
      <c r="J49" s="37"/>
      <c r="K49" s="37"/>
      <c r="L49" s="159"/>
      <c r="M49" s="159"/>
      <c r="N49" s="148"/>
    </row>
    <row r="50" spans="1:14" s="3" customFormat="1" x14ac:dyDescent="0.2">
      <c r="A50" s="296" t="s">
        <v>6</v>
      </c>
      <c r="B50" s="290"/>
      <c r="C50" s="291"/>
      <c r="D50" s="254"/>
      <c r="E50" s="23"/>
      <c r="F50" s="145"/>
      <c r="G50" s="33"/>
      <c r="H50" s="145"/>
      <c r="I50" s="145"/>
      <c r="J50" s="33"/>
      <c r="K50" s="33"/>
      <c r="L50" s="159"/>
      <c r="M50" s="159"/>
      <c r="N50" s="148"/>
    </row>
    <row r="51" spans="1:14" s="3" customFormat="1" x14ac:dyDescent="0.2">
      <c r="A51" s="296" t="s">
        <v>7</v>
      </c>
      <c r="B51" s="290"/>
      <c r="C51" s="291"/>
      <c r="D51" s="254"/>
      <c r="E51" s="23"/>
      <c r="F51" s="145"/>
      <c r="G51" s="33"/>
      <c r="H51" s="145"/>
      <c r="I51" s="145"/>
      <c r="J51" s="33"/>
      <c r="K51" s="33"/>
      <c r="L51" s="159"/>
      <c r="M51" s="159"/>
      <c r="N51" s="148"/>
    </row>
    <row r="52" spans="1:14" s="3" customFormat="1" x14ac:dyDescent="0.2">
      <c r="A52" s="296" t="s">
        <v>8</v>
      </c>
      <c r="B52" s="290"/>
      <c r="C52" s="291"/>
      <c r="D52" s="254"/>
      <c r="E52" s="23"/>
      <c r="F52" s="145"/>
      <c r="G52" s="33"/>
      <c r="H52" s="145"/>
      <c r="I52" s="145"/>
      <c r="J52" s="33"/>
      <c r="K52" s="33"/>
      <c r="L52" s="159"/>
      <c r="M52" s="159"/>
      <c r="N52" s="148"/>
    </row>
    <row r="53" spans="1:14" s="3" customFormat="1" ht="15.75" x14ac:dyDescent="0.2">
      <c r="A53" s="39" t="s">
        <v>378</v>
      </c>
      <c r="B53" s="310"/>
      <c r="C53" s="311"/>
      <c r="D53" s="428"/>
      <c r="E53" s="11"/>
      <c r="F53" s="145"/>
      <c r="G53" s="33"/>
      <c r="H53" s="145"/>
      <c r="I53" s="145"/>
      <c r="J53" s="33"/>
      <c r="K53" s="33"/>
      <c r="L53" s="159"/>
      <c r="M53" s="159"/>
      <c r="N53" s="148"/>
    </row>
    <row r="54" spans="1:14" s="3" customFormat="1" ht="15.75" x14ac:dyDescent="0.2">
      <c r="A54" s="38" t="s">
        <v>376</v>
      </c>
      <c r="B54" s="281"/>
      <c r="C54" s="282"/>
      <c r="D54" s="254"/>
      <c r="E54" s="27"/>
      <c r="F54" s="145"/>
      <c r="G54" s="33"/>
      <c r="H54" s="145"/>
      <c r="I54" s="145"/>
      <c r="J54" s="33"/>
      <c r="K54" s="33"/>
      <c r="L54" s="159"/>
      <c r="M54" s="159"/>
      <c r="N54" s="148"/>
    </row>
    <row r="55" spans="1:14" s="3" customFormat="1" ht="15.75" x14ac:dyDescent="0.2">
      <c r="A55" s="38" t="s">
        <v>377</v>
      </c>
      <c r="B55" s="281"/>
      <c r="C55" s="282"/>
      <c r="D55" s="254"/>
      <c r="E55" s="27"/>
      <c r="F55" s="145"/>
      <c r="G55" s="33"/>
      <c r="H55" s="145"/>
      <c r="I55" s="145"/>
      <c r="J55" s="33"/>
      <c r="K55" s="33"/>
      <c r="L55" s="159"/>
      <c r="M55" s="159"/>
      <c r="N55" s="148"/>
    </row>
    <row r="56" spans="1:14" s="3" customFormat="1" ht="15.75" x14ac:dyDescent="0.2">
      <c r="A56" s="39" t="s">
        <v>379</v>
      </c>
      <c r="B56" s="310"/>
      <c r="C56" s="311"/>
      <c r="D56" s="428"/>
      <c r="E56" s="11"/>
      <c r="F56" s="145"/>
      <c r="G56" s="33"/>
      <c r="H56" s="145"/>
      <c r="I56" s="145"/>
      <c r="J56" s="33"/>
      <c r="K56" s="33"/>
      <c r="L56" s="159"/>
      <c r="M56" s="159"/>
      <c r="N56" s="148"/>
    </row>
    <row r="57" spans="1:14" s="3" customFormat="1" ht="15.75" x14ac:dyDescent="0.2">
      <c r="A57" s="38" t="s">
        <v>376</v>
      </c>
      <c r="B57" s="281"/>
      <c r="C57" s="282"/>
      <c r="D57" s="254"/>
      <c r="E57" s="27"/>
      <c r="F57" s="145"/>
      <c r="G57" s="33"/>
      <c r="H57" s="145"/>
      <c r="I57" s="145"/>
      <c r="J57" s="33"/>
      <c r="K57" s="33"/>
      <c r="L57" s="159"/>
      <c r="M57" s="159"/>
      <c r="N57" s="148"/>
    </row>
    <row r="58" spans="1:14" s="3" customFormat="1" ht="15.75" x14ac:dyDescent="0.2">
      <c r="A58" s="46" t="s">
        <v>377</v>
      </c>
      <c r="B58" s="283"/>
      <c r="C58" s="284"/>
      <c r="D58" s="255"/>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274</v>
      </c>
      <c r="C61" s="26"/>
      <c r="D61" s="26"/>
      <c r="E61" s="26"/>
      <c r="F61" s="26"/>
      <c r="G61" s="26"/>
      <c r="H61" s="26"/>
      <c r="I61" s="26"/>
      <c r="J61" s="26"/>
      <c r="K61" s="26"/>
      <c r="L61" s="26"/>
      <c r="M61" s="26"/>
    </row>
    <row r="62" spans="1:14" ht="15.75" x14ac:dyDescent="0.25">
      <c r="B62" s="735"/>
      <c r="C62" s="735"/>
      <c r="D62" s="735"/>
      <c r="E62" s="299"/>
      <c r="F62" s="735"/>
      <c r="G62" s="735"/>
      <c r="H62" s="735"/>
      <c r="I62" s="299"/>
      <c r="J62" s="735"/>
      <c r="K62" s="735"/>
      <c r="L62" s="735"/>
      <c r="M62" s="299"/>
    </row>
    <row r="63" spans="1:14" x14ac:dyDescent="0.2">
      <c r="A63" s="144"/>
      <c r="B63" s="733" t="s">
        <v>0</v>
      </c>
      <c r="C63" s="734"/>
      <c r="D63" s="738"/>
      <c r="E63" s="300"/>
      <c r="F63" s="734" t="s">
        <v>1</v>
      </c>
      <c r="G63" s="734"/>
      <c r="H63" s="734"/>
      <c r="I63" s="304"/>
      <c r="J63" s="733" t="s">
        <v>2</v>
      </c>
      <c r="K63" s="734"/>
      <c r="L63" s="734"/>
      <c r="M63" s="304"/>
    </row>
    <row r="64" spans="1:14" x14ac:dyDescent="0.2">
      <c r="A64" s="140"/>
      <c r="B64" s="152" t="s">
        <v>421</v>
      </c>
      <c r="C64" s="152" t="s">
        <v>422</v>
      </c>
      <c r="D64" s="245" t="s">
        <v>3</v>
      </c>
      <c r="E64" s="305" t="s">
        <v>29</v>
      </c>
      <c r="F64" s="152" t="s">
        <v>421</v>
      </c>
      <c r="G64" s="152" t="s">
        <v>422</v>
      </c>
      <c r="H64" s="245" t="s">
        <v>3</v>
      </c>
      <c r="I64" s="305" t="s">
        <v>29</v>
      </c>
      <c r="J64" s="152" t="s">
        <v>421</v>
      </c>
      <c r="K64" s="152" t="s">
        <v>422</v>
      </c>
      <c r="L64" s="245" t="s">
        <v>3</v>
      </c>
      <c r="M64" s="162" t="s">
        <v>29</v>
      </c>
    </row>
    <row r="65" spans="1:14" x14ac:dyDescent="0.2">
      <c r="A65" s="708"/>
      <c r="B65" s="156"/>
      <c r="C65" s="156"/>
      <c r="D65" s="246" t="s">
        <v>4</v>
      </c>
      <c r="E65" s="156" t="s">
        <v>30</v>
      </c>
      <c r="F65" s="161"/>
      <c r="G65" s="161"/>
      <c r="H65" s="245" t="s">
        <v>4</v>
      </c>
      <c r="I65" s="156" t="s">
        <v>30</v>
      </c>
      <c r="J65" s="161"/>
      <c r="K65" s="206"/>
      <c r="L65" s="156" t="s">
        <v>4</v>
      </c>
      <c r="M65" s="156" t="s">
        <v>30</v>
      </c>
    </row>
    <row r="66" spans="1:14" ht="15.75" x14ac:dyDescent="0.2">
      <c r="A66" s="14" t="s">
        <v>23</v>
      </c>
      <c r="B66" s="353"/>
      <c r="C66" s="353"/>
      <c r="D66" s="350"/>
      <c r="E66" s="11"/>
      <c r="F66" s="352"/>
      <c r="G66" s="352"/>
      <c r="H66" s="350"/>
      <c r="I66" s="11"/>
      <c r="J66" s="309"/>
      <c r="K66" s="316"/>
      <c r="L66" s="428"/>
      <c r="M66" s="11"/>
    </row>
    <row r="67" spans="1:14" x14ac:dyDescent="0.2">
      <c r="A67" s="419" t="s">
        <v>9</v>
      </c>
      <c r="B67" s="44"/>
      <c r="C67" s="145"/>
      <c r="D67" s="166"/>
      <c r="E67" s="27"/>
      <c r="F67" s="234"/>
      <c r="G67" s="145"/>
      <c r="H67" s="166"/>
      <c r="I67" s="27"/>
      <c r="J67" s="287"/>
      <c r="K67" s="44"/>
      <c r="L67" s="254"/>
      <c r="M67" s="27"/>
    </row>
    <row r="68" spans="1:14" x14ac:dyDescent="0.2">
      <c r="A68" s="21" t="s">
        <v>10</v>
      </c>
      <c r="B68" s="292"/>
      <c r="C68" s="293"/>
      <c r="D68" s="166"/>
      <c r="E68" s="27"/>
      <c r="F68" s="292"/>
      <c r="G68" s="293"/>
      <c r="H68" s="166"/>
      <c r="I68" s="27"/>
      <c r="J68" s="287"/>
      <c r="K68" s="44"/>
      <c r="L68" s="254"/>
      <c r="M68" s="27"/>
    </row>
    <row r="69" spans="1:14" ht="15.75" x14ac:dyDescent="0.2">
      <c r="A69" s="296" t="s">
        <v>380</v>
      </c>
      <c r="B69" s="294"/>
      <c r="C69" s="295"/>
      <c r="D69" s="166"/>
      <c r="E69" s="417"/>
      <c r="F69" s="294"/>
      <c r="G69" s="295"/>
      <c r="H69" s="166"/>
      <c r="I69" s="417"/>
      <c r="J69" s="294"/>
      <c r="K69" s="295"/>
      <c r="L69" s="166"/>
      <c r="M69" s="23"/>
    </row>
    <row r="70" spans="1:14" x14ac:dyDescent="0.2">
      <c r="A70" s="296" t="s">
        <v>12</v>
      </c>
      <c r="B70" s="294"/>
      <c r="C70" s="295"/>
      <c r="D70" s="166"/>
      <c r="E70" s="417"/>
      <c r="F70" s="294"/>
      <c r="G70" s="295"/>
      <c r="H70" s="166"/>
      <c r="I70" s="417"/>
      <c r="J70" s="294"/>
      <c r="K70" s="295"/>
      <c r="L70" s="166"/>
      <c r="M70" s="23"/>
    </row>
    <row r="71" spans="1:14" x14ac:dyDescent="0.2">
      <c r="A71" s="296" t="s">
        <v>13</v>
      </c>
      <c r="B71" s="235"/>
      <c r="C71" s="289"/>
      <c r="D71" s="166"/>
      <c r="E71" s="417"/>
      <c r="F71" s="294"/>
      <c r="G71" s="295"/>
      <c r="H71" s="166"/>
      <c r="I71" s="417"/>
      <c r="J71" s="294"/>
      <c r="K71" s="295"/>
      <c r="L71" s="166"/>
      <c r="M71" s="23"/>
    </row>
    <row r="72" spans="1:14" ht="15.75" x14ac:dyDescent="0.2">
      <c r="A72" s="296" t="s">
        <v>381</v>
      </c>
      <c r="B72" s="294"/>
      <c r="C72" s="295"/>
      <c r="D72" s="166"/>
      <c r="E72" s="417"/>
      <c r="F72" s="294"/>
      <c r="G72" s="295"/>
      <c r="H72" s="166"/>
      <c r="I72" s="417"/>
      <c r="J72" s="294"/>
      <c r="K72" s="295"/>
      <c r="L72" s="166"/>
      <c r="M72" s="23"/>
    </row>
    <row r="73" spans="1:14" x14ac:dyDescent="0.2">
      <c r="A73" s="296" t="s">
        <v>12</v>
      </c>
      <c r="B73" s="235"/>
      <c r="C73" s="289"/>
      <c r="D73" s="166"/>
      <c r="E73" s="417"/>
      <c r="F73" s="294"/>
      <c r="G73" s="295"/>
      <c r="H73" s="166"/>
      <c r="I73" s="417"/>
      <c r="J73" s="294"/>
      <c r="K73" s="295"/>
      <c r="L73" s="166"/>
      <c r="M73" s="23"/>
    </row>
    <row r="74" spans="1:14" s="3" customFormat="1" x14ac:dyDescent="0.2">
      <c r="A74" s="296" t="s">
        <v>13</v>
      </c>
      <c r="B74" s="235"/>
      <c r="C74" s="289"/>
      <c r="D74" s="166"/>
      <c r="E74" s="417"/>
      <c r="F74" s="294"/>
      <c r="G74" s="295"/>
      <c r="H74" s="166"/>
      <c r="I74" s="417"/>
      <c r="J74" s="294"/>
      <c r="K74" s="295"/>
      <c r="L74" s="166"/>
      <c r="M74" s="23"/>
      <c r="N74" s="148"/>
    </row>
    <row r="75" spans="1:14" s="3" customFormat="1" x14ac:dyDescent="0.2">
      <c r="A75" s="21" t="s">
        <v>350</v>
      </c>
      <c r="B75" s="234"/>
      <c r="C75" s="145"/>
      <c r="D75" s="166"/>
      <c r="E75" s="27"/>
      <c r="F75" s="234"/>
      <c r="G75" s="145"/>
      <c r="H75" s="166"/>
      <c r="I75" s="27"/>
      <c r="J75" s="287"/>
      <c r="K75" s="44"/>
      <c r="L75" s="254"/>
      <c r="M75" s="27"/>
      <c r="N75" s="148"/>
    </row>
    <row r="76" spans="1:14" s="3" customFormat="1" x14ac:dyDescent="0.2">
      <c r="A76" s="21" t="s">
        <v>349</v>
      </c>
      <c r="B76" s="234"/>
      <c r="C76" s="145"/>
      <c r="D76" s="166"/>
      <c r="E76" s="27"/>
      <c r="F76" s="234"/>
      <c r="G76" s="145"/>
      <c r="H76" s="166"/>
      <c r="I76" s="27"/>
      <c r="J76" s="287"/>
      <c r="K76" s="44"/>
      <c r="L76" s="254"/>
      <c r="M76" s="27"/>
      <c r="N76" s="148"/>
    </row>
    <row r="77" spans="1:14" ht="15.75" x14ac:dyDescent="0.2">
      <c r="A77" s="21" t="s">
        <v>382</v>
      </c>
      <c r="B77" s="234"/>
      <c r="C77" s="234"/>
      <c r="D77" s="166"/>
      <c r="E77" s="27"/>
      <c r="F77" s="234"/>
      <c r="G77" s="145"/>
      <c r="H77" s="166"/>
      <c r="I77" s="27"/>
      <c r="J77" s="287"/>
      <c r="K77" s="44"/>
      <c r="L77" s="254"/>
      <c r="M77" s="27"/>
    </row>
    <row r="78" spans="1:14" x14ac:dyDescent="0.2">
      <c r="A78" s="21" t="s">
        <v>9</v>
      </c>
      <c r="B78" s="234"/>
      <c r="C78" s="145"/>
      <c r="D78" s="166"/>
      <c r="E78" s="27"/>
      <c r="F78" s="234"/>
      <c r="G78" s="145"/>
      <c r="H78" s="166"/>
      <c r="I78" s="27"/>
      <c r="J78" s="287"/>
      <c r="K78" s="44"/>
      <c r="L78" s="254"/>
      <c r="M78" s="27"/>
    </row>
    <row r="79" spans="1:14" x14ac:dyDescent="0.2">
      <c r="A79" s="21" t="s">
        <v>10</v>
      </c>
      <c r="B79" s="292"/>
      <c r="C79" s="293"/>
      <c r="D79" s="166"/>
      <c r="E79" s="27"/>
      <c r="F79" s="292"/>
      <c r="G79" s="293"/>
      <c r="H79" s="166"/>
      <c r="I79" s="27"/>
      <c r="J79" s="287"/>
      <c r="K79" s="44"/>
      <c r="L79" s="254"/>
      <c r="M79" s="27"/>
    </row>
    <row r="80" spans="1:14" ht="15.75" x14ac:dyDescent="0.2">
      <c r="A80" s="296" t="s">
        <v>380</v>
      </c>
      <c r="B80" s="294"/>
      <c r="C80" s="295"/>
      <c r="D80" s="166"/>
      <c r="E80" s="417"/>
      <c r="F80" s="294"/>
      <c r="G80" s="295"/>
      <c r="H80" s="166"/>
      <c r="I80" s="417"/>
      <c r="J80" s="294"/>
      <c r="K80" s="295"/>
      <c r="L80" s="166"/>
      <c r="M80" s="23"/>
    </row>
    <row r="81" spans="1:13" x14ac:dyDescent="0.2">
      <c r="A81" s="296" t="s">
        <v>12</v>
      </c>
      <c r="B81" s="294"/>
      <c r="C81" s="295"/>
      <c r="D81" s="166"/>
      <c r="E81" s="417"/>
      <c r="F81" s="294"/>
      <c r="G81" s="295"/>
      <c r="H81" s="166"/>
      <c r="I81" s="417"/>
      <c r="J81" s="294"/>
      <c r="K81" s="295"/>
      <c r="L81" s="166"/>
      <c r="M81" s="23"/>
    </row>
    <row r="82" spans="1:13" x14ac:dyDescent="0.2">
      <c r="A82" s="296" t="s">
        <v>13</v>
      </c>
      <c r="B82" s="294"/>
      <c r="C82" s="295"/>
      <c r="D82" s="166"/>
      <c r="E82" s="417"/>
      <c r="F82" s="294"/>
      <c r="G82" s="295"/>
      <c r="H82" s="166"/>
      <c r="I82" s="417"/>
      <c r="J82" s="294"/>
      <c r="K82" s="295"/>
      <c r="L82" s="166"/>
      <c r="M82" s="23"/>
    </row>
    <row r="83" spans="1:13" ht="15.75" x14ac:dyDescent="0.2">
      <c r="A83" s="296" t="s">
        <v>381</v>
      </c>
      <c r="B83" s="294"/>
      <c r="C83" s="295"/>
      <c r="D83" s="166"/>
      <c r="E83" s="417"/>
      <c r="F83" s="294"/>
      <c r="G83" s="295"/>
      <c r="H83" s="166"/>
      <c r="I83" s="417"/>
      <c r="J83" s="294"/>
      <c r="K83" s="295"/>
      <c r="L83" s="166"/>
      <c r="M83" s="23"/>
    </row>
    <row r="84" spans="1:13" x14ac:dyDescent="0.2">
      <c r="A84" s="296" t="s">
        <v>12</v>
      </c>
      <c r="B84" s="294"/>
      <c r="C84" s="295"/>
      <c r="D84" s="166"/>
      <c r="E84" s="417"/>
      <c r="F84" s="294"/>
      <c r="G84" s="295"/>
      <c r="H84" s="166"/>
      <c r="I84" s="417"/>
      <c r="J84" s="294"/>
      <c r="K84" s="295"/>
      <c r="L84" s="166"/>
      <c r="M84" s="23"/>
    </row>
    <row r="85" spans="1:13" x14ac:dyDescent="0.2">
      <c r="A85" s="296" t="s">
        <v>13</v>
      </c>
      <c r="B85" s="294"/>
      <c r="C85" s="295"/>
      <c r="D85" s="166"/>
      <c r="E85" s="417"/>
      <c r="F85" s="294"/>
      <c r="G85" s="295"/>
      <c r="H85" s="166"/>
      <c r="I85" s="417"/>
      <c r="J85" s="294"/>
      <c r="K85" s="295"/>
      <c r="L85" s="166"/>
      <c r="M85" s="23"/>
    </row>
    <row r="86" spans="1:13" ht="15.75" x14ac:dyDescent="0.2">
      <c r="A86" s="21" t="s">
        <v>383</v>
      </c>
      <c r="B86" s="234"/>
      <c r="C86" s="145"/>
      <c r="D86" s="166"/>
      <c r="E86" s="27"/>
      <c r="F86" s="234"/>
      <c r="G86" s="145"/>
      <c r="H86" s="166"/>
      <c r="I86" s="27"/>
      <c r="J86" s="287"/>
      <c r="K86" s="44"/>
      <c r="L86" s="254"/>
      <c r="M86" s="27"/>
    </row>
    <row r="87" spans="1:13" ht="15.75" x14ac:dyDescent="0.2">
      <c r="A87" s="13" t="s">
        <v>365</v>
      </c>
      <c r="B87" s="353"/>
      <c r="C87" s="353"/>
      <c r="D87" s="171"/>
      <c r="E87" s="11"/>
      <c r="F87" s="352"/>
      <c r="G87" s="352"/>
      <c r="H87" s="171"/>
      <c r="I87" s="11"/>
      <c r="J87" s="309"/>
      <c r="K87" s="236"/>
      <c r="L87" s="428"/>
      <c r="M87" s="11"/>
    </row>
    <row r="88" spans="1:13" x14ac:dyDescent="0.2">
      <c r="A88" s="21" t="s">
        <v>9</v>
      </c>
      <c r="B88" s="234"/>
      <c r="C88" s="145"/>
      <c r="D88" s="166"/>
      <c r="E88" s="27"/>
      <c r="F88" s="234"/>
      <c r="G88" s="145"/>
      <c r="H88" s="166"/>
      <c r="I88" s="27"/>
      <c r="J88" s="287"/>
      <c r="K88" s="44"/>
      <c r="L88" s="254"/>
      <c r="M88" s="27"/>
    </row>
    <row r="89" spans="1:13" x14ac:dyDescent="0.2">
      <c r="A89" s="21" t="s">
        <v>10</v>
      </c>
      <c r="B89" s="234"/>
      <c r="C89" s="145"/>
      <c r="D89" s="166"/>
      <c r="E89" s="27"/>
      <c r="F89" s="234"/>
      <c r="G89" s="145"/>
      <c r="H89" s="166"/>
      <c r="I89" s="27"/>
      <c r="J89" s="287"/>
      <c r="K89" s="44"/>
      <c r="L89" s="254"/>
      <c r="M89" s="27"/>
    </row>
    <row r="90" spans="1:13" ht="15.75" x14ac:dyDescent="0.2">
      <c r="A90" s="296" t="s">
        <v>380</v>
      </c>
      <c r="B90" s="294"/>
      <c r="C90" s="295"/>
      <c r="D90" s="166"/>
      <c r="E90" s="417"/>
      <c r="F90" s="294"/>
      <c r="G90" s="295"/>
      <c r="H90" s="166"/>
      <c r="I90" s="417"/>
      <c r="J90" s="294"/>
      <c r="K90" s="295"/>
      <c r="L90" s="166"/>
      <c r="M90" s="23"/>
    </row>
    <row r="91" spans="1:13" x14ac:dyDescent="0.2">
      <c r="A91" s="296" t="s">
        <v>12</v>
      </c>
      <c r="B91" s="294"/>
      <c r="C91" s="295"/>
      <c r="D91" s="166"/>
      <c r="E91" s="417"/>
      <c r="F91" s="294"/>
      <c r="G91" s="295"/>
      <c r="H91" s="166"/>
      <c r="I91" s="417"/>
      <c r="J91" s="294"/>
      <c r="K91" s="295"/>
      <c r="L91" s="166"/>
      <c r="M91" s="23"/>
    </row>
    <row r="92" spans="1:13" x14ac:dyDescent="0.2">
      <c r="A92" s="296" t="s">
        <v>13</v>
      </c>
      <c r="B92" s="294"/>
      <c r="C92" s="295"/>
      <c r="D92" s="166"/>
      <c r="E92" s="417"/>
      <c r="F92" s="294"/>
      <c r="G92" s="295"/>
      <c r="H92" s="166"/>
      <c r="I92" s="417"/>
      <c r="J92" s="294"/>
      <c r="K92" s="295"/>
      <c r="L92" s="166"/>
      <c r="M92" s="23"/>
    </row>
    <row r="93" spans="1:13" ht="15.75" x14ac:dyDescent="0.2">
      <c r="A93" s="296" t="s">
        <v>381</v>
      </c>
      <c r="B93" s="294"/>
      <c r="C93" s="295"/>
      <c r="D93" s="166"/>
      <c r="E93" s="417"/>
      <c r="F93" s="294"/>
      <c r="G93" s="295"/>
      <c r="H93" s="166"/>
      <c r="I93" s="417"/>
      <c r="J93" s="294"/>
      <c r="K93" s="295"/>
      <c r="L93" s="166"/>
      <c r="M93" s="23"/>
    </row>
    <row r="94" spans="1:13" x14ac:dyDescent="0.2">
      <c r="A94" s="296" t="s">
        <v>12</v>
      </c>
      <c r="B94" s="294"/>
      <c r="C94" s="295"/>
      <c r="D94" s="166"/>
      <c r="E94" s="417"/>
      <c r="F94" s="294"/>
      <c r="G94" s="295"/>
      <c r="H94" s="166"/>
      <c r="I94" s="417"/>
      <c r="J94" s="294"/>
      <c r="K94" s="295"/>
      <c r="L94" s="166"/>
      <c r="M94" s="23"/>
    </row>
    <row r="95" spans="1:13" x14ac:dyDescent="0.2">
      <c r="A95" s="296" t="s">
        <v>13</v>
      </c>
      <c r="B95" s="294"/>
      <c r="C95" s="295"/>
      <c r="D95" s="166"/>
      <c r="E95" s="417"/>
      <c r="F95" s="294"/>
      <c r="G95" s="295"/>
      <c r="H95" s="166"/>
      <c r="I95" s="417"/>
      <c r="J95" s="294"/>
      <c r="K95" s="295"/>
      <c r="L95" s="166"/>
      <c r="M95" s="23"/>
    </row>
    <row r="96" spans="1:13" x14ac:dyDescent="0.2">
      <c r="A96" s="21" t="s">
        <v>348</v>
      </c>
      <c r="B96" s="234"/>
      <c r="C96" s="145"/>
      <c r="D96" s="166"/>
      <c r="E96" s="27"/>
      <c r="F96" s="234"/>
      <c r="G96" s="145"/>
      <c r="H96" s="166"/>
      <c r="I96" s="27"/>
      <c r="J96" s="287"/>
      <c r="K96" s="44"/>
      <c r="L96" s="254"/>
      <c r="M96" s="27"/>
    </row>
    <row r="97" spans="1:13" x14ac:dyDescent="0.2">
      <c r="A97" s="21" t="s">
        <v>347</v>
      </c>
      <c r="B97" s="234"/>
      <c r="C97" s="145"/>
      <c r="D97" s="166"/>
      <c r="E97" s="27"/>
      <c r="F97" s="234"/>
      <c r="G97" s="145"/>
      <c r="H97" s="166"/>
      <c r="I97" s="27"/>
      <c r="J97" s="287"/>
      <c r="K97" s="44"/>
      <c r="L97" s="254"/>
      <c r="M97" s="27"/>
    </row>
    <row r="98" spans="1:13" ht="15.75" x14ac:dyDescent="0.2">
      <c r="A98" s="21" t="s">
        <v>382</v>
      </c>
      <c r="B98" s="234"/>
      <c r="C98" s="234"/>
      <c r="D98" s="166"/>
      <c r="E98" s="27"/>
      <c r="F98" s="292"/>
      <c r="G98" s="292"/>
      <c r="H98" s="166"/>
      <c r="I98" s="27"/>
      <c r="J98" s="287"/>
      <c r="K98" s="44"/>
      <c r="L98" s="254"/>
      <c r="M98" s="27"/>
    </row>
    <row r="99" spans="1:13" x14ac:dyDescent="0.2">
      <c r="A99" s="21" t="s">
        <v>9</v>
      </c>
      <c r="B99" s="292"/>
      <c r="C99" s="293"/>
      <c r="D99" s="166"/>
      <c r="E99" s="27"/>
      <c r="F99" s="234"/>
      <c r="G99" s="145"/>
      <c r="H99" s="166"/>
      <c r="I99" s="27"/>
      <c r="J99" s="287"/>
      <c r="K99" s="44"/>
      <c r="L99" s="254"/>
      <c r="M99" s="27"/>
    </row>
    <row r="100" spans="1:13" x14ac:dyDescent="0.2">
      <c r="A100" s="21" t="s">
        <v>10</v>
      </c>
      <c r="B100" s="292"/>
      <c r="C100" s="293"/>
      <c r="D100" s="166"/>
      <c r="E100" s="27"/>
      <c r="F100" s="234"/>
      <c r="G100" s="234"/>
      <c r="H100" s="166"/>
      <c r="I100" s="27"/>
      <c r="J100" s="287"/>
      <c r="K100" s="44"/>
      <c r="L100" s="254"/>
      <c r="M100" s="27"/>
    </row>
    <row r="101" spans="1:13" ht="15.75" x14ac:dyDescent="0.2">
      <c r="A101" s="296" t="s">
        <v>380</v>
      </c>
      <c r="B101" s="294"/>
      <c r="C101" s="295"/>
      <c r="D101" s="166"/>
      <c r="E101" s="417"/>
      <c r="F101" s="294"/>
      <c r="G101" s="295"/>
      <c r="H101" s="166"/>
      <c r="I101" s="417"/>
      <c r="J101" s="294"/>
      <c r="K101" s="295"/>
      <c r="L101" s="166"/>
      <c r="M101" s="23"/>
    </row>
    <row r="102" spans="1:13" x14ac:dyDescent="0.2">
      <c r="A102" s="296" t="s">
        <v>12</v>
      </c>
      <c r="B102" s="294"/>
      <c r="C102" s="295"/>
      <c r="D102" s="166"/>
      <c r="E102" s="417"/>
      <c r="F102" s="294"/>
      <c r="G102" s="295"/>
      <c r="H102" s="166"/>
      <c r="I102" s="417"/>
      <c r="J102" s="294"/>
      <c r="K102" s="295"/>
      <c r="L102" s="166"/>
      <c r="M102" s="23"/>
    </row>
    <row r="103" spans="1:13" x14ac:dyDescent="0.2">
      <c r="A103" s="296" t="s">
        <v>13</v>
      </c>
      <c r="B103" s="294"/>
      <c r="C103" s="295"/>
      <c r="D103" s="166"/>
      <c r="E103" s="417"/>
      <c r="F103" s="294"/>
      <c r="G103" s="295"/>
      <c r="H103" s="166"/>
      <c r="I103" s="417"/>
      <c r="J103" s="294"/>
      <c r="K103" s="295"/>
      <c r="L103" s="166"/>
      <c r="M103" s="23"/>
    </row>
    <row r="104" spans="1:13" ht="15.75" x14ac:dyDescent="0.2">
      <c r="A104" s="296" t="s">
        <v>381</v>
      </c>
      <c r="B104" s="294"/>
      <c r="C104" s="295"/>
      <c r="D104" s="166"/>
      <c r="E104" s="417"/>
      <c r="F104" s="294"/>
      <c r="G104" s="295"/>
      <c r="H104" s="166"/>
      <c r="I104" s="417"/>
      <c r="J104" s="294"/>
      <c r="K104" s="295"/>
      <c r="L104" s="166"/>
      <c r="M104" s="23"/>
    </row>
    <row r="105" spans="1:13" x14ac:dyDescent="0.2">
      <c r="A105" s="296" t="s">
        <v>12</v>
      </c>
      <c r="B105" s="294"/>
      <c r="C105" s="295"/>
      <c r="D105" s="166"/>
      <c r="E105" s="417"/>
      <c r="F105" s="294"/>
      <c r="G105" s="295"/>
      <c r="H105" s="166"/>
      <c r="I105" s="417"/>
      <c r="J105" s="294"/>
      <c r="K105" s="295"/>
      <c r="L105" s="166"/>
      <c r="M105" s="23"/>
    </row>
    <row r="106" spans="1:13" x14ac:dyDescent="0.2">
      <c r="A106" s="296" t="s">
        <v>13</v>
      </c>
      <c r="B106" s="294"/>
      <c r="C106" s="295"/>
      <c r="D106" s="166"/>
      <c r="E106" s="417"/>
      <c r="F106" s="294"/>
      <c r="G106" s="295"/>
      <c r="H106" s="166"/>
      <c r="I106" s="417"/>
      <c r="J106" s="294"/>
      <c r="K106" s="295"/>
      <c r="L106" s="166"/>
      <c r="M106" s="23"/>
    </row>
    <row r="107" spans="1:13" ht="15.75" x14ac:dyDescent="0.2">
      <c r="A107" s="21" t="s">
        <v>383</v>
      </c>
      <c r="B107" s="234"/>
      <c r="C107" s="145"/>
      <c r="D107" s="166"/>
      <c r="E107" s="27"/>
      <c r="F107" s="234"/>
      <c r="G107" s="145"/>
      <c r="H107" s="166"/>
      <c r="I107" s="27"/>
      <c r="J107" s="287"/>
      <c r="K107" s="44"/>
      <c r="L107" s="254"/>
      <c r="M107" s="27"/>
    </row>
    <row r="108" spans="1:13" ht="15.75" x14ac:dyDescent="0.2">
      <c r="A108" s="21" t="s">
        <v>384</v>
      </c>
      <c r="B108" s="234"/>
      <c r="C108" s="234"/>
      <c r="D108" s="166"/>
      <c r="E108" s="27"/>
      <c r="F108" s="234"/>
      <c r="G108" s="234"/>
      <c r="H108" s="166"/>
      <c r="I108" s="27"/>
      <c r="J108" s="287"/>
      <c r="K108" s="44"/>
      <c r="L108" s="254"/>
      <c r="M108" s="27"/>
    </row>
    <row r="109" spans="1:13" ht="15.75" x14ac:dyDescent="0.2">
      <c r="A109" s="21" t="s">
        <v>385</v>
      </c>
      <c r="B109" s="234"/>
      <c r="C109" s="234"/>
      <c r="D109" s="166"/>
      <c r="E109" s="27"/>
      <c r="F109" s="234"/>
      <c r="G109" s="234"/>
      <c r="H109" s="166"/>
      <c r="I109" s="27"/>
      <c r="J109" s="287"/>
      <c r="K109" s="44"/>
      <c r="L109" s="254"/>
      <c r="M109" s="27"/>
    </row>
    <row r="110" spans="1:13" ht="15.75" x14ac:dyDescent="0.2">
      <c r="A110" s="21" t="s">
        <v>386</v>
      </c>
      <c r="B110" s="234"/>
      <c r="C110" s="234"/>
      <c r="D110" s="166"/>
      <c r="E110" s="27"/>
      <c r="F110" s="234"/>
      <c r="G110" s="234"/>
      <c r="H110" s="166"/>
      <c r="I110" s="27"/>
      <c r="J110" s="287"/>
      <c r="K110" s="44"/>
      <c r="L110" s="254"/>
      <c r="M110" s="27"/>
    </row>
    <row r="111" spans="1:13" ht="15.75" x14ac:dyDescent="0.2">
      <c r="A111" s="13" t="s">
        <v>366</v>
      </c>
      <c r="B111" s="308"/>
      <c r="C111" s="159"/>
      <c r="D111" s="171"/>
      <c r="E111" s="11"/>
      <c r="F111" s="308"/>
      <c r="G111" s="159"/>
      <c r="H111" s="171"/>
      <c r="I111" s="11"/>
      <c r="J111" s="309"/>
      <c r="K111" s="236"/>
      <c r="L111" s="428"/>
      <c r="M111" s="11"/>
    </row>
    <row r="112" spans="1:13" x14ac:dyDescent="0.2">
      <c r="A112" s="21" t="s">
        <v>9</v>
      </c>
      <c r="B112" s="234"/>
      <c r="C112" s="145"/>
      <c r="D112" s="166"/>
      <c r="E112" s="27"/>
      <c r="F112" s="234"/>
      <c r="G112" s="145"/>
      <c r="H112" s="166"/>
      <c r="I112" s="27"/>
      <c r="J112" s="287"/>
      <c r="K112" s="44"/>
      <c r="L112" s="254"/>
      <c r="M112" s="27"/>
    </row>
    <row r="113" spans="1:14" x14ac:dyDescent="0.2">
      <c r="A113" s="21" t="s">
        <v>10</v>
      </c>
      <c r="B113" s="234"/>
      <c r="C113" s="145"/>
      <c r="D113" s="166"/>
      <c r="E113" s="27"/>
      <c r="F113" s="234"/>
      <c r="G113" s="145"/>
      <c r="H113" s="166"/>
      <c r="I113" s="27"/>
      <c r="J113" s="287"/>
      <c r="K113" s="44"/>
      <c r="L113" s="254"/>
      <c r="M113" s="27"/>
    </row>
    <row r="114" spans="1:14" x14ac:dyDescent="0.2">
      <c r="A114" s="21" t="s">
        <v>26</v>
      </c>
      <c r="B114" s="234"/>
      <c r="C114" s="145"/>
      <c r="D114" s="166"/>
      <c r="E114" s="27"/>
      <c r="F114" s="234"/>
      <c r="G114" s="145"/>
      <c r="H114" s="166"/>
      <c r="I114" s="27"/>
      <c r="J114" s="287"/>
      <c r="K114" s="44"/>
      <c r="L114" s="254"/>
      <c r="M114" s="27"/>
    </row>
    <row r="115" spans="1:14" x14ac:dyDescent="0.2">
      <c r="A115" s="296" t="s">
        <v>15</v>
      </c>
      <c r="B115" s="294"/>
      <c r="C115" s="295"/>
      <c r="D115" s="166"/>
      <c r="E115" s="417"/>
      <c r="F115" s="294"/>
      <c r="G115" s="295"/>
      <c r="H115" s="166"/>
      <c r="I115" s="417"/>
      <c r="J115" s="294"/>
      <c r="K115" s="295"/>
      <c r="L115" s="166"/>
      <c r="M115" s="23"/>
    </row>
    <row r="116" spans="1:14" ht="15.75" x14ac:dyDescent="0.2">
      <c r="A116" s="21" t="s">
        <v>387</v>
      </c>
      <c r="B116" s="234"/>
      <c r="C116" s="234"/>
      <c r="D116" s="166"/>
      <c r="E116" s="27"/>
      <c r="F116" s="234"/>
      <c r="G116" s="234"/>
      <c r="H116" s="166"/>
      <c r="I116" s="27"/>
      <c r="J116" s="287"/>
      <c r="K116" s="44"/>
      <c r="L116" s="254"/>
      <c r="M116" s="27"/>
    </row>
    <row r="117" spans="1:14" ht="15.75" x14ac:dyDescent="0.2">
      <c r="A117" s="21" t="s">
        <v>388</v>
      </c>
      <c r="B117" s="234"/>
      <c r="C117" s="234"/>
      <c r="D117" s="166"/>
      <c r="E117" s="27"/>
      <c r="F117" s="234"/>
      <c r="G117" s="234"/>
      <c r="H117" s="166"/>
      <c r="I117" s="27"/>
      <c r="J117" s="287"/>
      <c r="K117" s="44"/>
      <c r="L117" s="254"/>
      <c r="M117" s="27"/>
    </row>
    <row r="118" spans="1:14" ht="15.75" x14ac:dyDescent="0.2">
      <c r="A118" s="21" t="s">
        <v>386</v>
      </c>
      <c r="B118" s="234"/>
      <c r="C118" s="234"/>
      <c r="D118" s="166"/>
      <c r="E118" s="27"/>
      <c r="F118" s="234"/>
      <c r="G118" s="234"/>
      <c r="H118" s="166"/>
      <c r="I118" s="27"/>
      <c r="J118" s="287"/>
      <c r="K118" s="44"/>
      <c r="L118" s="254"/>
      <c r="M118" s="27"/>
    </row>
    <row r="119" spans="1:14" ht="15.75" x14ac:dyDescent="0.2">
      <c r="A119" s="13" t="s">
        <v>367</v>
      </c>
      <c r="B119" s="308"/>
      <c r="C119" s="159"/>
      <c r="D119" s="171"/>
      <c r="E119" s="11"/>
      <c r="F119" s="308"/>
      <c r="G119" s="159"/>
      <c r="H119" s="171"/>
      <c r="I119" s="11"/>
      <c r="J119" s="309"/>
      <c r="K119" s="236"/>
      <c r="L119" s="428"/>
      <c r="M119" s="11"/>
    </row>
    <row r="120" spans="1:14" x14ac:dyDescent="0.2">
      <c r="A120" s="21" t="s">
        <v>9</v>
      </c>
      <c r="B120" s="234"/>
      <c r="C120" s="145"/>
      <c r="D120" s="166"/>
      <c r="E120" s="27"/>
      <c r="F120" s="234"/>
      <c r="G120" s="145"/>
      <c r="H120" s="166"/>
      <c r="I120" s="27"/>
      <c r="J120" s="287"/>
      <c r="K120" s="44"/>
      <c r="L120" s="254"/>
      <c r="M120" s="27"/>
    </row>
    <row r="121" spans="1:14" x14ac:dyDescent="0.2">
      <c r="A121" s="21" t="s">
        <v>10</v>
      </c>
      <c r="B121" s="234"/>
      <c r="C121" s="145"/>
      <c r="D121" s="166"/>
      <c r="E121" s="27"/>
      <c r="F121" s="234"/>
      <c r="G121" s="145"/>
      <c r="H121" s="166"/>
      <c r="I121" s="27"/>
      <c r="J121" s="287"/>
      <c r="K121" s="44"/>
      <c r="L121" s="254"/>
      <c r="M121" s="27"/>
    </row>
    <row r="122" spans="1:14" x14ac:dyDescent="0.2">
      <c r="A122" s="21" t="s">
        <v>26</v>
      </c>
      <c r="B122" s="234"/>
      <c r="C122" s="145"/>
      <c r="D122" s="166"/>
      <c r="E122" s="27"/>
      <c r="F122" s="234"/>
      <c r="G122" s="145"/>
      <c r="H122" s="166"/>
      <c r="I122" s="27"/>
      <c r="J122" s="287"/>
      <c r="K122" s="44"/>
      <c r="L122" s="254"/>
      <c r="M122" s="27"/>
    </row>
    <row r="123" spans="1:14" x14ac:dyDescent="0.2">
      <c r="A123" s="296" t="s">
        <v>14</v>
      </c>
      <c r="B123" s="294"/>
      <c r="C123" s="295"/>
      <c r="D123" s="166"/>
      <c r="E123" s="417"/>
      <c r="F123" s="294"/>
      <c r="G123" s="295"/>
      <c r="H123" s="166"/>
      <c r="I123" s="417"/>
      <c r="J123" s="294"/>
      <c r="K123" s="295"/>
      <c r="L123" s="166"/>
      <c r="M123" s="23"/>
    </row>
    <row r="124" spans="1:14" ht="15.75" x14ac:dyDescent="0.2">
      <c r="A124" s="21" t="s">
        <v>393</v>
      </c>
      <c r="B124" s="234"/>
      <c r="C124" s="234"/>
      <c r="D124" s="166"/>
      <c r="E124" s="27"/>
      <c r="F124" s="234"/>
      <c r="G124" s="234"/>
      <c r="H124" s="166"/>
      <c r="I124" s="27"/>
      <c r="J124" s="287"/>
      <c r="K124" s="44"/>
      <c r="L124" s="254"/>
      <c r="M124" s="27"/>
    </row>
    <row r="125" spans="1:14" ht="15.75" x14ac:dyDescent="0.2">
      <c r="A125" s="21" t="s">
        <v>385</v>
      </c>
      <c r="B125" s="234"/>
      <c r="C125" s="234"/>
      <c r="D125" s="166"/>
      <c r="E125" s="27"/>
      <c r="F125" s="234"/>
      <c r="G125" s="234"/>
      <c r="H125" s="166"/>
      <c r="I125" s="27"/>
      <c r="J125" s="287"/>
      <c r="K125" s="44"/>
      <c r="L125" s="254"/>
      <c r="M125" s="27"/>
    </row>
    <row r="126" spans="1:14" ht="15.75" x14ac:dyDescent="0.2">
      <c r="A126" s="10" t="s">
        <v>386</v>
      </c>
      <c r="B126" s="45"/>
      <c r="C126" s="45"/>
      <c r="D126" s="167"/>
      <c r="E126" s="418"/>
      <c r="F126" s="45"/>
      <c r="G126" s="45"/>
      <c r="H126" s="167"/>
      <c r="I126" s="22"/>
      <c r="J126" s="288"/>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35"/>
      <c r="C130" s="735"/>
      <c r="D130" s="735"/>
      <c r="E130" s="299"/>
      <c r="F130" s="735"/>
      <c r="G130" s="735"/>
      <c r="H130" s="735"/>
      <c r="I130" s="299"/>
      <c r="J130" s="735"/>
      <c r="K130" s="735"/>
      <c r="L130" s="735"/>
      <c r="M130" s="299"/>
    </row>
    <row r="131" spans="1:14" s="3" customFormat="1" x14ac:dyDescent="0.2">
      <c r="A131" s="144"/>
      <c r="B131" s="733" t="s">
        <v>0</v>
      </c>
      <c r="C131" s="734"/>
      <c r="D131" s="734"/>
      <c r="E131" s="301"/>
      <c r="F131" s="733" t="s">
        <v>1</v>
      </c>
      <c r="G131" s="734"/>
      <c r="H131" s="734"/>
      <c r="I131" s="304"/>
      <c r="J131" s="733" t="s">
        <v>2</v>
      </c>
      <c r="K131" s="734"/>
      <c r="L131" s="734"/>
      <c r="M131" s="304"/>
      <c r="N131" s="148"/>
    </row>
    <row r="132" spans="1:14" s="3" customFormat="1" x14ac:dyDescent="0.2">
      <c r="A132" s="140"/>
      <c r="B132" s="152" t="s">
        <v>421</v>
      </c>
      <c r="C132" s="152" t="s">
        <v>422</v>
      </c>
      <c r="D132" s="245" t="s">
        <v>3</v>
      </c>
      <c r="E132" s="305" t="s">
        <v>29</v>
      </c>
      <c r="F132" s="152" t="s">
        <v>421</v>
      </c>
      <c r="G132" s="152" t="s">
        <v>422</v>
      </c>
      <c r="H132" s="206" t="s">
        <v>3</v>
      </c>
      <c r="I132" s="162" t="s">
        <v>29</v>
      </c>
      <c r="J132" s="152" t="s">
        <v>421</v>
      </c>
      <c r="K132" s="152" t="s">
        <v>422</v>
      </c>
      <c r="L132" s="246" t="s">
        <v>3</v>
      </c>
      <c r="M132" s="162" t="s">
        <v>29</v>
      </c>
      <c r="N132" s="148"/>
    </row>
    <row r="133" spans="1:14" s="3" customFormat="1" x14ac:dyDescent="0.2">
      <c r="A133" s="708"/>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389</v>
      </c>
      <c r="B134" s="236">
        <v>32029812.213580001</v>
      </c>
      <c r="C134" s="309">
        <v>26168025.243250001</v>
      </c>
      <c r="D134" s="350">
        <f t="shared" ref="D134:D137" si="1">IF(B134=0, "    ---- ", IF(ABS(ROUND(100/B134*C134-100,1))&lt;999,ROUND(100/B134*C134-100,1),IF(ROUND(100/B134*C134-100,1)&gt;999,999,-999)))</f>
        <v>-18.3</v>
      </c>
      <c r="E134" s="11">
        <f>IFERROR(100/'Skjema total MA'!C134*C134,0)</f>
        <v>90.746626736099245</v>
      </c>
      <c r="F134" s="316">
        <v>125663.209</v>
      </c>
      <c r="G134" s="317">
        <v>63880.035000000003</v>
      </c>
      <c r="H134" s="431">
        <f t="shared" ref="H134:H136" si="2">IF(F134=0, "    ---- ", IF(ABS(ROUND(100/F134*G134-100,1))&lt;999,ROUND(100/F134*G134-100,1),IF(ROUND(100/F134*G134-100,1)&gt;999,999,-999)))</f>
        <v>-49.2</v>
      </c>
      <c r="I134" s="24">
        <f>IFERROR(100/'Skjema total MA'!F134*G134,0)</f>
        <v>100</v>
      </c>
      <c r="J134" s="318">
        <f t="shared" ref="J134:K137" si="3">SUM(B134,F134)</f>
        <v>32155475.42258</v>
      </c>
      <c r="K134" s="318">
        <f t="shared" si="3"/>
        <v>26231905.278250001</v>
      </c>
      <c r="L134" s="427">
        <f t="shared" ref="L134:L137" si="4">IF(J134=0, "    ---- ", IF(ABS(ROUND(100/J134*K134-100,1))&lt;999,ROUND(100/J134*K134-100,1),IF(ROUND(100/J134*K134-100,1)&gt;999,999,-999)))</f>
        <v>-18.399999999999999</v>
      </c>
      <c r="M134" s="11">
        <f>IFERROR(100/'Skjema total MA'!I134*K134,0)</f>
        <v>90.767080053394551</v>
      </c>
      <c r="N134" s="148"/>
    </row>
    <row r="135" spans="1:14" s="3" customFormat="1" ht="15.75" x14ac:dyDescent="0.2">
      <c r="A135" s="13" t="s">
        <v>394</v>
      </c>
      <c r="B135" s="236">
        <v>497212120.95908999</v>
      </c>
      <c r="C135" s="309">
        <v>526463021.72196001</v>
      </c>
      <c r="D135" s="171">
        <f t="shared" si="1"/>
        <v>5.9</v>
      </c>
      <c r="E135" s="11">
        <f>IFERROR(100/'Skjema total MA'!C135*C135,0)</f>
        <v>86.389905175091982</v>
      </c>
      <c r="F135" s="236">
        <v>2644541.49015</v>
      </c>
      <c r="G135" s="309">
        <v>1974716.5681499999</v>
      </c>
      <c r="H135" s="432">
        <f t="shared" si="2"/>
        <v>-25.3</v>
      </c>
      <c r="I135" s="24">
        <f>IFERROR(100/'Skjema total MA'!F135*G135,0)</f>
        <v>100</v>
      </c>
      <c r="J135" s="308">
        <f t="shared" si="3"/>
        <v>499856662.44923997</v>
      </c>
      <c r="K135" s="308">
        <f t="shared" si="3"/>
        <v>528437738.29010999</v>
      </c>
      <c r="L135" s="428">
        <f t="shared" si="4"/>
        <v>5.7</v>
      </c>
      <c r="M135" s="11">
        <f>IFERROR(100/'Skjema total MA'!I135*K135,0)</f>
        <v>86.433865007637564</v>
      </c>
      <c r="N135" s="148"/>
    </row>
    <row r="136" spans="1:14" s="3" customFormat="1" ht="15.75" x14ac:dyDescent="0.2">
      <c r="A136" s="13" t="s">
        <v>391</v>
      </c>
      <c r="B136" s="236">
        <v>235.143</v>
      </c>
      <c r="C136" s="309">
        <v>3309007.423</v>
      </c>
      <c r="D136" s="171">
        <f t="shared" si="1"/>
        <v>999</v>
      </c>
      <c r="E136" s="11">
        <f>IFERROR(100/'Skjema total MA'!C136*C136,0)</f>
        <v>100</v>
      </c>
      <c r="F136" s="236">
        <v>0</v>
      </c>
      <c r="G136" s="309">
        <v>-462823.85</v>
      </c>
      <c r="H136" s="432" t="str">
        <f t="shared" si="2"/>
        <v xml:space="preserve">    ---- </v>
      </c>
      <c r="I136" s="24">
        <f>IFERROR(100/'Skjema total MA'!F136*G136,0)</f>
        <v>100</v>
      </c>
      <c r="J136" s="308">
        <f t="shared" si="3"/>
        <v>235.143</v>
      </c>
      <c r="K136" s="308">
        <f t="shared" si="3"/>
        <v>2846183.5729999999</v>
      </c>
      <c r="L136" s="428">
        <f t="shared" si="4"/>
        <v>999</v>
      </c>
      <c r="M136" s="11">
        <f>IFERROR(100/'Skjema total MA'!I136*K136,0)</f>
        <v>100</v>
      </c>
      <c r="N136" s="148"/>
    </row>
    <row r="137" spans="1:14" s="3" customFormat="1" ht="15.75" x14ac:dyDescent="0.2">
      <c r="A137" s="41" t="s">
        <v>392</v>
      </c>
      <c r="B137" s="276">
        <v>288211.58799999999</v>
      </c>
      <c r="C137" s="315">
        <v>7667306.0199999996</v>
      </c>
      <c r="D137" s="169">
        <f t="shared" si="1"/>
        <v>999</v>
      </c>
      <c r="E137" s="9">
        <f>IFERROR(100/'Skjema total MA'!C137*C137,0)</f>
        <v>99.468106223421586</v>
      </c>
      <c r="F137" s="276"/>
      <c r="G137" s="315"/>
      <c r="H137" s="433"/>
      <c r="I137" s="36"/>
      <c r="J137" s="314">
        <f t="shared" si="3"/>
        <v>288211.58799999999</v>
      </c>
      <c r="K137" s="314">
        <f t="shared" si="3"/>
        <v>7667306.0199999996</v>
      </c>
      <c r="L137" s="429">
        <f t="shared" si="4"/>
        <v>999</v>
      </c>
      <c r="M137" s="36">
        <f>IFERROR(100/'Skjema total MA'!I137*K137,0)</f>
        <v>99.468106223421586</v>
      </c>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316" priority="132">
      <formula>kvartal &lt; 4</formula>
    </cfRule>
  </conditionalFormatting>
  <conditionalFormatting sqref="A50:A52">
    <cfRule type="expression" dxfId="315" priority="12">
      <formula>kvartal &lt; 4</formula>
    </cfRule>
  </conditionalFormatting>
  <conditionalFormatting sqref="A69:A74">
    <cfRule type="expression" dxfId="314" priority="10">
      <formula>kvartal &lt; 4</formula>
    </cfRule>
  </conditionalFormatting>
  <conditionalFormatting sqref="A80:A85">
    <cfRule type="expression" dxfId="313" priority="9">
      <formula>kvartal &lt; 4</formula>
    </cfRule>
  </conditionalFormatting>
  <conditionalFormatting sqref="A90:A95">
    <cfRule type="expression" dxfId="312" priority="6">
      <formula>kvartal &lt; 4</formula>
    </cfRule>
  </conditionalFormatting>
  <conditionalFormatting sqref="A101:A106">
    <cfRule type="expression" dxfId="311" priority="5">
      <formula>kvartal &lt; 4</formula>
    </cfRule>
  </conditionalFormatting>
  <conditionalFormatting sqref="A115">
    <cfRule type="expression" dxfId="310" priority="4">
      <formula>kvartal &lt; 4</formula>
    </cfRule>
  </conditionalFormatting>
  <conditionalFormatting sqref="A123">
    <cfRule type="expression" dxfId="309" priority="3">
      <formula>kvartal &lt; 4</formula>
    </cfRule>
  </conditionalFormatting>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22"/>
  <dimension ref="A1:N144"/>
  <sheetViews>
    <sheetView showGridLines="0" zoomScaleNormal="100" workbookViewId="0">
      <selection activeCell="A3" sqref="A3"/>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135</v>
      </c>
      <c r="B1" s="709"/>
      <c r="C1" s="248" t="s">
        <v>134</v>
      </c>
      <c r="D1" s="26"/>
      <c r="E1" s="26"/>
      <c r="F1" s="26"/>
      <c r="G1" s="26"/>
      <c r="H1" s="26"/>
      <c r="I1" s="26"/>
      <c r="J1" s="26"/>
      <c r="K1" s="26"/>
      <c r="L1" s="26"/>
      <c r="M1" s="26"/>
    </row>
    <row r="2" spans="1:14" ht="15.75" x14ac:dyDescent="0.25">
      <c r="A2" s="165" t="s">
        <v>28</v>
      </c>
      <c r="B2" s="732"/>
      <c r="C2" s="732"/>
      <c r="D2" s="732"/>
      <c r="E2" s="299"/>
      <c r="F2" s="732"/>
      <c r="G2" s="732"/>
      <c r="H2" s="732"/>
      <c r="I2" s="299"/>
      <c r="J2" s="732"/>
      <c r="K2" s="732"/>
      <c r="L2" s="732"/>
      <c r="M2" s="299"/>
    </row>
    <row r="3" spans="1:14" ht="15.75" x14ac:dyDescent="0.25">
      <c r="A3" s="163"/>
      <c r="B3" s="299"/>
      <c r="C3" s="299"/>
      <c r="D3" s="299"/>
      <c r="E3" s="299"/>
      <c r="F3" s="299"/>
      <c r="G3" s="299"/>
      <c r="H3" s="299"/>
      <c r="I3" s="299"/>
      <c r="J3" s="299"/>
      <c r="K3" s="299"/>
      <c r="L3" s="299"/>
      <c r="M3" s="299"/>
    </row>
    <row r="4" spans="1:14" x14ac:dyDescent="0.2">
      <c r="A4" s="144"/>
      <c r="B4" s="733" t="s">
        <v>0</v>
      </c>
      <c r="C4" s="734"/>
      <c r="D4" s="734"/>
      <c r="E4" s="301"/>
      <c r="F4" s="733" t="s">
        <v>1</v>
      </c>
      <c r="G4" s="734"/>
      <c r="H4" s="734"/>
      <c r="I4" s="304"/>
      <c r="J4" s="733" t="s">
        <v>2</v>
      </c>
      <c r="K4" s="734"/>
      <c r="L4" s="734"/>
      <c r="M4" s="304"/>
    </row>
    <row r="5" spans="1:14" x14ac:dyDescent="0.2">
      <c r="A5" s="158"/>
      <c r="B5" s="152" t="s">
        <v>421</v>
      </c>
      <c r="C5" s="152" t="s">
        <v>422</v>
      </c>
      <c r="D5" s="245" t="s">
        <v>3</v>
      </c>
      <c r="E5" s="305" t="s">
        <v>29</v>
      </c>
      <c r="F5" s="152" t="s">
        <v>421</v>
      </c>
      <c r="G5" s="152" t="s">
        <v>422</v>
      </c>
      <c r="H5" s="245" t="s">
        <v>3</v>
      </c>
      <c r="I5" s="162" t="s">
        <v>29</v>
      </c>
      <c r="J5" s="152" t="s">
        <v>421</v>
      </c>
      <c r="K5" s="152" t="s">
        <v>422</v>
      </c>
      <c r="L5" s="245" t="s">
        <v>3</v>
      </c>
      <c r="M5" s="162" t="s">
        <v>29</v>
      </c>
    </row>
    <row r="6" spans="1:14" x14ac:dyDescent="0.2">
      <c r="A6" s="707"/>
      <c r="B6" s="156"/>
      <c r="C6" s="156"/>
      <c r="D6" s="246" t="s">
        <v>4</v>
      </c>
      <c r="E6" s="156" t="s">
        <v>30</v>
      </c>
      <c r="F6" s="161"/>
      <c r="G6" s="161"/>
      <c r="H6" s="245" t="s">
        <v>4</v>
      </c>
      <c r="I6" s="156" t="s">
        <v>30</v>
      </c>
      <c r="J6" s="161"/>
      <c r="K6" s="161"/>
      <c r="L6" s="245" t="s">
        <v>4</v>
      </c>
      <c r="M6" s="156" t="s">
        <v>30</v>
      </c>
    </row>
    <row r="7" spans="1:14" ht="15.75" x14ac:dyDescent="0.2">
      <c r="A7" s="14" t="s">
        <v>23</v>
      </c>
      <c r="B7" s="306">
        <v>7477.2839999999997</v>
      </c>
      <c r="C7" s="307">
        <v>10973.156000000001</v>
      </c>
      <c r="D7" s="350">
        <f>IF(B7=0, "    ---- ", IF(ABS(ROUND(100/B7*C7-100,1))&lt;999,ROUND(100/B7*C7-100,1),IF(ROUND(100/B7*C7-100,1)&gt;999,999,-999)))</f>
        <v>46.8</v>
      </c>
      <c r="E7" s="11">
        <f>IFERROR(100/'Skjema total MA'!C7*C7,0)</f>
        <v>0.29737049835949037</v>
      </c>
      <c r="F7" s="306"/>
      <c r="G7" s="307"/>
      <c r="H7" s="350"/>
      <c r="I7" s="160"/>
      <c r="J7" s="308">
        <f t="shared" ref="J7:K10" si="0">SUM(B7,F7)</f>
        <v>7477.2839999999997</v>
      </c>
      <c r="K7" s="309">
        <f t="shared" si="0"/>
        <v>10973.156000000001</v>
      </c>
      <c r="L7" s="427">
        <f>IF(J7=0, "    ---- ", IF(ABS(ROUND(100/J7*K7-100,1))&lt;999,ROUND(100/J7*K7-100,1),IF(ROUND(100/J7*K7-100,1)&gt;999,999,-999)))</f>
        <v>46.8</v>
      </c>
      <c r="M7" s="11">
        <f>IFERROR(100/'Skjema total MA'!I7*K7,0)</f>
        <v>0.10357921915183861</v>
      </c>
    </row>
    <row r="8" spans="1:14" ht="15.75" x14ac:dyDescent="0.2">
      <c r="A8" s="21" t="s">
        <v>25</v>
      </c>
      <c r="B8" s="281">
        <v>7064.3280000000004</v>
      </c>
      <c r="C8" s="282">
        <v>10423.585999999999</v>
      </c>
      <c r="D8" s="166">
        <f t="shared" ref="D8:D10" si="1">IF(B8=0, "    ---- ", IF(ABS(ROUND(100/B8*C8-100,1))&lt;999,ROUND(100/B8*C8-100,1),IF(ROUND(100/B8*C8-100,1)&gt;999,999,-999)))</f>
        <v>47.6</v>
      </c>
      <c r="E8" s="27">
        <f>IFERROR(100/'Skjema total MA'!C8*C8,0)</f>
        <v>0.43088215708048999</v>
      </c>
      <c r="F8" s="285"/>
      <c r="G8" s="286"/>
      <c r="H8" s="166"/>
      <c r="I8" s="175"/>
      <c r="J8" s="234">
        <f t="shared" si="0"/>
        <v>7064.3280000000004</v>
      </c>
      <c r="K8" s="287">
        <f t="shared" si="0"/>
        <v>10423.585999999999</v>
      </c>
      <c r="L8" s="166">
        <f t="shared" ref="L8:L9" si="2">IF(J8=0, "    ---- ", IF(ABS(ROUND(100/J8*K8-100,1))&lt;999,ROUND(100/J8*K8-100,1),IF(ROUND(100/J8*K8-100,1)&gt;999,999,-999)))</f>
        <v>47.6</v>
      </c>
      <c r="M8" s="27">
        <f>IFERROR(100/'Skjema total MA'!I8*K8,0)</f>
        <v>0.43088215708048999</v>
      </c>
    </row>
    <row r="9" spans="1:14" ht="15.75" x14ac:dyDescent="0.2">
      <c r="A9" s="21" t="s">
        <v>24</v>
      </c>
      <c r="B9" s="281">
        <v>412.95600000000002</v>
      </c>
      <c r="C9" s="282">
        <v>549.57000000000005</v>
      </c>
      <c r="D9" s="166">
        <f t="shared" si="1"/>
        <v>33.1</v>
      </c>
      <c r="E9" s="27">
        <f>IFERROR(100/'Skjema total MA'!C9*C9,0)</f>
        <v>7.284490999416611E-2</v>
      </c>
      <c r="F9" s="285"/>
      <c r="G9" s="286"/>
      <c r="H9" s="166"/>
      <c r="I9" s="175"/>
      <c r="J9" s="234">
        <f t="shared" si="0"/>
        <v>412.95600000000002</v>
      </c>
      <c r="K9" s="287">
        <f t="shared" si="0"/>
        <v>549.57000000000005</v>
      </c>
      <c r="L9" s="166">
        <f t="shared" si="2"/>
        <v>33.1</v>
      </c>
      <c r="M9" s="27">
        <f>IFERROR(100/'Skjema total MA'!I9*K9,0)</f>
        <v>7.284490999416611E-2</v>
      </c>
    </row>
    <row r="10" spans="1:14" ht="15.75" x14ac:dyDescent="0.2">
      <c r="A10" s="13" t="s">
        <v>365</v>
      </c>
      <c r="B10" s="310">
        <v>12078.223</v>
      </c>
      <c r="C10" s="311">
        <v>16554.476999999999</v>
      </c>
      <c r="D10" s="171">
        <f t="shared" si="1"/>
        <v>37.1</v>
      </c>
      <c r="E10" s="11">
        <f>IFERROR(100/'Skjema total MA'!C10*C10,0)</f>
        <v>9.1815747215717711E-2</v>
      </c>
      <c r="F10" s="310"/>
      <c r="G10" s="311"/>
      <c r="H10" s="171"/>
      <c r="I10" s="160"/>
      <c r="J10" s="308">
        <f t="shared" si="0"/>
        <v>12078.223</v>
      </c>
      <c r="K10" s="309">
        <f t="shared" si="0"/>
        <v>16554.476999999999</v>
      </c>
      <c r="L10" s="428">
        <f t="shared" ref="L10" si="3">IF(J10=0, "    ---- ", IF(ABS(ROUND(100/J10*K10-100,1))&lt;999,ROUND(100/J10*K10-100,1),IF(ROUND(100/J10*K10-100,1)&gt;999,999,-999)))</f>
        <v>37.1</v>
      </c>
      <c r="M10" s="11">
        <f>IFERROR(100/'Skjema total MA'!I10*K10,0)</f>
        <v>2.2546091119043422E-2</v>
      </c>
    </row>
    <row r="11" spans="1:14" s="43" customFormat="1" ht="15.75" x14ac:dyDescent="0.2">
      <c r="A11" s="13" t="s">
        <v>366</v>
      </c>
      <c r="B11" s="310"/>
      <c r="C11" s="311"/>
      <c r="D11" s="171"/>
      <c r="E11" s="11"/>
      <c r="F11" s="310"/>
      <c r="G11" s="311"/>
      <c r="H11" s="171"/>
      <c r="I11" s="160"/>
      <c r="J11" s="308"/>
      <c r="K11" s="309"/>
      <c r="L11" s="428"/>
      <c r="M11" s="11"/>
      <c r="N11" s="143"/>
    </row>
    <row r="12" spans="1:14" s="43" customFormat="1" ht="15.75" x14ac:dyDescent="0.2">
      <c r="A12" s="41" t="s">
        <v>367</v>
      </c>
      <c r="B12" s="312"/>
      <c r="C12" s="313"/>
      <c r="D12" s="169"/>
      <c r="E12" s="36"/>
      <c r="F12" s="312"/>
      <c r="G12" s="313"/>
      <c r="H12" s="169"/>
      <c r="I12" s="169"/>
      <c r="J12" s="314"/>
      <c r="K12" s="315"/>
      <c r="L12" s="429"/>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275</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272</v>
      </c>
      <c r="B17" s="157"/>
      <c r="C17" s="157"/>
      <c r="D17" s="151"/>
      <c r="E17" s="151"/>
      <c r="F17" s="157"/>
      <c r="G17" s="157"/>
      <c r="H17" s="157"/>
      <c r="I17" s="157"/>
      <c r="J17" s="157"/>
      <c r="K17" s="157"/>
      <c r="L17" s="157"/>
      <c r="M17" s="157"/>
    </row>
    <row r="18" spans="1:14" ht="15.75" x14ac:dyDescent="0.25">
      <c r="B18" s="735"/>
      <c r="C18" s="735"/>
      <c r="D18" s="735"/>
      <c r="E18" s="299"/>
      <c r="F18" s="735"/>
      <c r="G18" s="735"/>
      <c r="H18" s="735"/>
      <c r="I18" s="299"/>
      <c r="J18" s="735"/>
      <c r="K18" s="735"/>
      <c r="L18" s="735"/>
      <c r="M18" s="299"/>
    </row>
    <row r="19" spans="1:14" x14ac:dyDescent="0.2">
      <c r="A19" s="144"/>
      <c r="B19" s="733" t="s">
        <v>0</v>
      </c>
      <c r="C19" s="734"/>
      <c r="D19" s="734"/>
      <c r="E19" s="301"/>
      <c r="F19" s="733" t="s">
        <v>1</v>
      </c>
      <c r="G19" s="734"/>
      <c r="H19" s="734"/>
      <c r="I19" s="304"/>
      <c r="J19" s="733" t="s">
        <v>2</v>
      </c>
      <c r="K19" s="734"/>
      <c r="L19" s="734"/>
      <c r="M19" s="304"/>
    </row>
    <row r="20" spans="1:14" x14ac:dyDescent="0.2">
      <c r="A20" s="140" t="s">
        <v>5</v>
      </c>
      <c r="B20" s="152" t="s">
        <v>421</v>
      </c>
      <c r="C20" s="152" t="s">
        <v>422</v>
      </c>
      <c r="D20" s="162" t="s">
        <v>3</v>
      </c>
      <c r="E20" s="305" t="s">
        <v>29</v>
      </c>
      <c r="F20" s="152" t="s">
        <v>421</v>
      </c>
      <c r="G20" s="152" t="s">
        <v>422</v>
      </c>
      <c r="H20" s="162" t="s">
        <v>3</v>
      </c>
      <c r="I20" s="162" t="s">
        <v>29</v>
      </c>
      <c r="J20" s="152" t="s">
        <v>421</v>
      </c>
      <c r="K20" s="152" t="s">
        <v>422</v>
      </c>
      <c r="L20" s="162" t="s">
        <v>3</v>
      </c>
      <c r="M20" s="162" t="s">
        <v>29</v>
      </c>
    </row>
    <row r="21" spans="1:14" x14ac:dyDescent="0.2">
      <c r="A21" s="708"/>
      <c r="B21" s="156"/>
      <c r="C21" s="156"/>
      <c r="D21" s="246" t="s">
        <v>4</v>
      </c>
      <c r="E21" s="156" t="s">
        <v>30</v>
      </c>
      <c r="F21" s="161"/>
      <c r="G21" s="161"/>
      <c r="H21" s="245" t="s">
        <v>4</v>
      </c>
      <c r="I21" s="156" t="s">
        <v>30</v>
      </c>
      <c r="J21" s="161"/>
      <c r="K21" s="161"/>
      <c r="L21" s="156" t="s">
        <v>4</v>
      </c>
      <c r="M21" s="156" t="s">
        <v>30</v>
      </c>
    </row>
    <row r="22" spans="1:14" ht="15.75" x14ac:dyDescent="0.2">
      <c r="A22" s="14" t="s">
        <v>23</v>
      </c>
      <c r="B22" s="310">
        <v>8372.5519999999997</v>
      </c>
      <c r="C22" s="310">
        <v>11509.380999999999</v>
      </c>
      <c r="D22" s="350">
        <f t="shared" ref="D22:D29" si="4">IF(B22=0, "    ---- ", IF(ABS(ROUND(100/B22*C22-100,1))&lt;999,ROUND(100/B22*C22-100,1),IF(ROUND(100/B22*C22-100,1)&gt;999,999,-999)))</f>
        <v>37.5</v>
      </c>
      <c r="E22" s="11">
        <f>IFERROR(100/'Skjema total MA'!C22*C22,0)</f>
        <v>0.85985953632115164</v>
      </c>
      <c r="F22" s="318"/>
      <c r="G22" s="318"/>
      <c r="H22" s="350"/>
      <c r="I22" s="11"/>
      <c r="J22" s="316">
        <f t="shared" ref="J22:K29" si="5">SUM(B22,F22)</f>
        <v>8372.5519999999997</v>
      </c>
      <c r="K22" s="316">
        <f t="shared" si="5"/>
        <v>11509.380999999999</v>
      </c>
      <c r="L22" s="427">
        <f t="shared" ref="L22:L29" si="6">IF(J22=0, "    ---- ", IF(ABS(ROUND(100/J22*K22-100,1))&lt;999,ROUND(100/J22*K22-100,1),IF(ROUND(100/J22*K22-100,1)&gt;999,999,-999)))</f>
        <v>37.5</v>
      </c>
      <c r="M22" s="24">
        <f>IFERROR(100/'Skjema total MA'!I22*K22,0)</f>
        <v>0.50876933538812585</v>
      </c>
    </row>
    <row r="23" spans="1:14" ht="15.75" x14ac:dyDescent="0.2">
      <c r="A23" s="584" t="s">
        <v>368</v>
      </c>
      <c r="B23" s="281"/>
      <c r="C23" s="281"/>
      <c r="D23" s="166"/>
      <c r="E23" s="11"/>
      <c r="F23" s="290"/>
      <c r="G23" s="290"/>
      <c r="H23" s="166"/>
      <c r="I23" s="417"/>
      <c r="J23" s="290"/>
      <c r="K23" s="290"/>
      <c r="L23" s="166"/>
      <c r="M23" s="23"/>
    </row>
    <row r="24" spans="1:14" ht="15.75" x14ac:dyDescent="0.2">
      <c r="A24" s="584" t="s">
        <v>369</v>
      </c>
      <c r="B24" s="281"/>
      <c r="C24" s="281"/>
      <c r="D24" s="166"/>
      <c r="E24" s="11"/>
      <c r="F24" s="290"/>
      <c r="G24" s="290"/>
      <c r="H24" s="166"/>
      <c r="I24" s="417"/>
      <c r="J24" s="290"/>
      <c r="K24" s="290"/>
      <c r="L24" s="166"/>
      <c r="M24" s="23"/>
    </row>
    <row r="25" spans="1:14" ht="15.75" x14ac:dyDescent="0.2">
      <c r="A25" s="584" t="s">
        <v>370</v>
      </c>
      <c r="B25" s="281"/>
      <c r="C25" s="281"/>
      <c r="D25" s="166"/>
      <c r="E25" s="11"/>
      <c r="F25" s="290"/>
      <c r="G25" s="290"/>
      <c r="H25" s="166"/>
      <c r="I25" s="417"/>
      <c r="J25" s="290"/>
      <c r="K25" s="290"/>
      <c r="L25" s="166"/>
      <c r="M25" s="23"/>
    </row>
    <row r="26" spans="1:14" ht="15.75" x14ac:dyDescent="0.2">
      <c r="A26" s="584" t="s">
        <v>371</v>
      </c>
      <c r="B26" s="281"/>
      <c r="C26" s="281"/>
      <c r="D26" s="166"/>
      <c r="E26" s="11"/>
      <c r="F26" s="290"/>
      <c r="G26" s="290"/>
      <c r="H26" s="166"/>
      <c r="I26" s="417"/>
      <c r="J26" s="290"/>
      <c r="K26" s="290"/>
      <c r="L26" s="166"/>
      <c r="M26" s="23"/>
    </row>
    <row r="27" spans="1:14" x14ac:dyDescent="0.2">
      <c r="A27" s="584" t="s">
        <v>11</v>
      </c>
      <c r="B27" s="281"/>
      <c r="C27" s="281"/>
      <c r="D27" s="166"/>
      <c r="E27" s="11"/>
      <c r="F27" s="290"/>
      <c r="G27" s="290"/>
      <c r="H27" s="166"/>
      <c r="I27" s="417"/>
      <c r="J27" s="290"/>
      <c r="K27" s="290"/>
      <c r="L27" s="166"/>
      <c r="M27" s="23"/>
    </row>
    <row r="28" spans="1:14" ht="15.75" x14ac:dyDescent="0.2">
      <c r="A28" s="49" t="s">
        <v>276</v>
      </c>
      <c r="B28" s="44">
        <v>8372.5519999999997</v>
      </c>
      <c r="C28" s="287">
        <v>11509.380999999999</v>
      </c>
      <c r="D28" s="166">
        <f t="shared" si="4"/>
        <v>37.5</v>
      </c>
      <c r="E28" s="11">
        <f>IFERROR(100/'Skjema total MA'!C28*C28,0)</f>
        <v>0.77708278671594455</v>
      </c>
      <c r="F28" s="234"/>
      <c r="G28" s="287"/>
      <c r="H28" s="166"/>
      <c r="I28" s="27"/>
      <c r="J28" s="44">
        <f t="shared" si="5"/>
        <v>8372.5519999999997</v>
      </c>
      <c r="K28" s="44">
        <f t="shared" si="5"/>
        <v>11509.380999999999</v>
      </c>
      <c r="L28" s="254">
        <f t="shared" si="6"/>
        <v>37.5</v>
      </c>
      <c r="M28" s="23">
        <f>IFERROR(100/'Skjema total MA'!I28*K28,0)</f>
        <v>0.77708278671594455</v>
      </c>
    </row>
    <row r="29" spans="1:14" s="3" customFormat="1" ht="15.75" x14ac:dyDescent="0.2">
      <c r="A29" s="13" t="s">
        <v>365</v>
      </c>
      <c r="B29" s="236">
        <v>22401.952000000001</v>
      </c>
      <c r="C29" s="236">
        <v>35382.891000000003</v>
      </c>
      <c r="D29" s="171">
        <f t="shared" si="4"/>
        <v>57.9</v>
      </c>
      <c r="E29" s="11">
        <f>IFERROR(100/'Skjema total MA'!C29*C29,0)</f>
        <v>7.6978316922978005E-2</v>
      </c>
      <c r="F29" s="308"/>
      <c r="G29" s="308"/>
      <c r="H29" s="171"/>
      <c r="I29" s="11"/>
      <c r="J29" s="236">
        <f t="shared" si="5"/>
        <v>22401.952000000001</v>
      </c>
      <c r="K29" s="236">
        <f t="shared" si="5"/>
        <v>35382.891000000003</v>
      </c>
      <c r="L29" s="428">
        <f t="shared" si="6"/>
        <v>57.9</v>
      </c>
      <c r="M29" s="24">
        <f>IFERROR(100/'Skjema total MA'!I29*K29,0)</f>
        <v>5.1403400870831249E-2</v>
      </c>
      <c r="N29" s="148"/>
    </row>
    <row r="30" spans="1:14" s="3" customFormat="1" ht="15.75" x14ac:dyDescent="0.2">
      <c r="A30" s="584" t="s">
        <v>368</v>
      </c>
      <c r="B30" s="281"/>
      <c r="C30" s="281"/>
      <c r="D30" s="166"/>
      <c r="E30" s="11"/>
      <c r="F30" s="290"/>
      <c r="G30" s="290"/>
      <c r="H30" s="166"/>
      <c r="I30" s="417"/>
      <c r="J30" s="290"/>
      <c r="K30" s="290"/>
      <c r="L30" s="166"/>
      <c r="M30" s="23"/>
      <c r="N30" s="148"/>
    </row>
    <row r="31" spans="1:14" s="3" customFormat="1" ht="15.75" x14ac:dyDescent="0.2">
      <c r="A31" s="584" t="s">
        <v>369</v>
      </c>
      <c r="B31" s="281"/>
      <c r="C31" s="281"/>
      <c r="D31" s="166"/>
      <c r="E31" s="11"/>
      <c r="F31" s="290"/>
      <c r="G31" s="290"/>
      <c r="H31" s="166"/>
      <c r="I31" s="417"/>
      <c r="J31" s="290"/>
      <c r="K31" s="290"/>
      <c r="L31" s="166"/>
      <c r="M31" s="23"/>
      <c r="N31" s="148"/>
    </row>
    <row r="32" spans="1:14" ht="15.75" x14ac:dyDescent="0.2">
      <c r="A32" s="584" t="s">
        <v>370</v>
      </c>
      <c r="B32" s="281"/>
      <c r="C32" s="281"/>
      <c r="D32" s="166"/>
      <c r="E32" s="11"/>
      <c r="F32" s="290"/>
      <c r="G32" s="290"/>
      <c r="H32" s="166"/>
      <c r="I32" s="417"/>
      <c r="J32" s="290"/>
      <c r="K32" s="290"/>
      <c r="L32" s="166"/>
      <c r="M32" s="23"/>
    </row>
    <row r="33" spans="1:14" ht="15.75" x14ac:dyDescent="0.2">
      <c r="A33" s="584" t="s">
        <v>371</v>
      </c>
      <c r="B33" s="281"/>
      <c r="C33" s="281"/>
      <c r="D33" s="166"/>
      <c r="E33" s="11"/>
      <c r="F33" s="290"/>
      <c r="G33" s="290"/>
      <c r="H33" s="166"/>
      <c r="I33" s="417"/>
      <c r="J33" s="290"/>
      <c r="K33" s="290"/>
      <c r="L33" s="166"/>
      <c r="M33" s="23"/>
    </row>
    <row r="34" spans="1:14" ht="15.75" x14ac:dyDescent="0.2">
      <c r="A34" s="13" t="s">
        <v>366</v>
      </c>
      <c r="B34" s="236"/>
      <c r="C34" s="309"/>
      <c r="D34" s="171"/>
      <c r="E34" s="11"/>
      <c r="F34" s="308"/>
      <c r="G34" s="309"/>
      <c r="H34" s="171"/>
      <c r="I34" s="11"/>
      <c r="J34" s="236"/>
      <c r="K34" s="236"/>
      <c r="L34" s="428"/>
      <c r="M34" s="24"/>
    </row>
    <row r="35" spans="1:14" ht="15.75" x14ac:dyDescent="0.2">
      <c r="A35" s="13" t="s">
        <v>367</v>
      </c>
      <c r="B35" s="236"/>
      <c r="C35" s="309"/>
      <c r="D35" s="171"/>
      <c r="E35" s="11"/>
      <c r="F35" s="308"/>
      <c r="G35" s="309"/>
      <c r="H35" s="171"/>
      <c r="I35" s="11"/>
      <c r="J35" s="236"/>
      <c r="K35" s="236"/>
      <c r="L35" s="428"/>
      <c r="M35" s="24"/>
    </row>
    <row r="36" spans="1:14" ht="15.75" x14ac:dyDescent="0.2">
      <c r="A36" s="12" t="s">
        <v>284</v>
      </c>
      <c r="B36" s="236"/>
      <c r="C36" s="309"/>
      <c r="D36" s="171"/>
      <c r="E36" s="11"/>
      <c r="F36" s="319"/>
      <c r="G36" s="320"/>
      <c r="H36" s="171"/>
      <c r="I36" s="434"/>
      <c r="J36" s="236"/>
      <c r="K36" s="236"/>
      <c r="L36" s="428"/>
      <c r="M36" s="24"/>
    </row>
    <row r="37" spans="1:14" ht="15.75" x14ac:dyDescent="0.2">
      <c r="A37" s="12" t="s">
        <v>373</v>
      </c>
      <c r="B37" s="236"/>
      <c r="C37" s="309"/>
      <c r="D37" s="171"/>
      <c r="E37" s="11"/>
      <c r="F37" s="319"/>
      <c r="G37" s="321"/>
      <c r="H37" s="171"/>
      <c r="I37" s="434"/>
      <c r="J37" s="236"/>
      <c r="K37" s="236"/>
      <c r="L37" s="428"/>
      <c r="M37" s="24"/>
    </row>
    <row r="38" spans="1:14" ht="15.75" x14ac:dyDescent="0.2">
      <c r="A38" s="12" t="s">
        <v>374</v>
      </c>
      <c r="B38" s="236"/>
      <c r="C38" s="309"/>
      <c r="D38" s="171"/>
      <c r="E38" s="24"/>
      <c r="F38" s="319"/>
      <c r="G38" s="320"/>
      <c r="H38" s="171"/>
      <c r="I38" s="434"/>
      <c r="J38" s="236"/>
      <c r="K38" s="236"/>
      <c r="L38" s="428"/>
      <c r="M38" s="24"/>
    </row>
    <row r="39" spans="1:14" ht="15.75" x14ac:dyDescent="0.2">
      <c r="A39" s="18" t="s">
        <v>375</v>
      </c>
      <c r="B39" s="276"/>
      <c r="C39" s="315"/>
      <c r="D39" s="169"/>
      <c r="E39" s="36"/>
      <c r="F39" s="322"/>
      <c r="G39" s="323"/>
      <c r="H39" s="169"/>
      <c r="I39" s="36"/>
      <c r="J39" s="236"/>
      <c r="K39" s="236"/>
      <c r="L39" s="429"/>
      <c r="M39" s="36"/>
    </row>
    <row r="40" spans="1:14" ht="15.75" x14ac:dyDescent="0.25">
      <c r="A40" s="47"/>
      <c r="B40" s="253"/>
      <c r="C40" s="253"/>
      <c r="D40" s="736"/>
      <c r="E40" s="736"/>
      <c r="F40" s="736"/>
      <c r="G40" s="736"/>
      <c r="H40" s="736"/>
      <c r="I40" s="736"/>
      <c r="J40" s="736"/>
      <c r="K40" s="736"/>
      <c r="L40" s="736"/>
      <c r="M40" s="302"/>
    </row>
    <row r="41" spans="1:14" x14ac:dyDescent="0.2">
      <c r="A41" s="155"/>
    </row>
    <row r="42" spans="1:14" ht="15.75" x14ac:dyDescent="0.25">
      <c r="A42" s="147" t="s">
        <v>273</v>
      </c>
      <c r="B42" s="732"/>
      <c r="C42" s="732"/>
      <c r="D42" s="732"/>
      <c r="E42" s="299"/>
      <c r="F42" s="737"/>
      <c r="G42" s="737"/>
      <c r="H42" s="737"/>
      <c r="I42" s="302"/>
      <c r="J42" s="737"/>
      <c r="K42" s="737"/>
      <c r="L42" s="737"/>
      <c r="M42" s="302"/>
    </row>
    <row r="43" spans="1:14" ht="15.75" x14ac:dyDescent="0.25">
      <c r="A43" s="163"/>
      <c r="B43" s="303"/>
      <c r="C43" s="303"/>
      <c r="D43" s="303"/>
      <c r="E43" s="303"/>
      <c r="F43" s="302"/>
      <c r="G43" s="302"/>
      <c r="H43" s="302"/>
      <c r="I43" s="302"/>
      <c r="J43" s="302"/>
      <c r="K43" s="302"/>
      <c r="L43" s="302"/>
      <c r="M43" s="302"/>
    </row>
    <row r="44" spans="1:14" ht="15.75" x14ac:dyDescent="0.25">
      <c r="A44" s="247"/>
      <c r="B44" s="733" t="s">
        <v>0</v>
      </c>
      <c r="C44" s="734"/>
      <c r="D44" s="734"/>
      <c r="E44" s="243"/>
      <c r="F44" s="302"/>
      <c r="G44" s="302"/>
      <c r="H44" s="302"/>
      <c r="I44" s="302"/>
      <c r="J44" s="302"/>
      <c r="K44" s="302"/>
      <c r="L44" s="302"/>
      <c r="M44" s="302"/>
    </row>
    <row r="45" spans="1:14" s="3" customFormat="1" x14ac:dyDescent="0.2">
      <c r="A45" s="140"/>
      <c r="B45" s="152" t="s">
        <v>421</v>
      </c>
      <c r="C45" s="152" t="s">
        <v>422</v>
      </c>
      <c r="D45" s="162" t="s">
        <v>3</v>
      </c>
      <c r="E45" s="162" t="s">
        <v>29</v>
      </c>
      <c r="F45" s="174"/>
      <c r="G45" s="174"/>
      <c r="H45" s="173"/>
      <c r="I45" s="173"/>
      <c r="J45" s="174"/>
      <c r="K45" s="174"/>
      <c r="L45" s="173"/>
      <c r="M45" s="173"/>
      <c r="N45" s="148"/>
    </row>
    <row r="46" spans="1:14" s="3" customFormat="1" x14ac:dyDescent="0.2">
      <c r="A46" s="708"/>
      <c r="B46" s="244"/>
      <c r="C46" s="244"/>
      <c r="D46" s="245" t="s">
        <v>4</v>
      </c>
      <c r="E46" s="156" t="s">
        <v>30</v>
      </c>
      <c r="F46" s="173"/>
      <c r="G46" s="173"/>
      <c r="H46" s="173"/>
      <c r="I46" s="173"/>
      <c r="J46" s="173"/>
      <c r="K46" s="173"/>
      <c r="L46" s="173"/>
      <c r="M46" s="173"/>
      <c r="N46" s="148"/>
    </row>
    <row r="47" spans="1:14" s="3" customFormat="1" ht="15.75" x14ac:dyDescent="0.2">
      <c r="A47" s="14" t="s">
        <v>23</v>
      </c>
      <c r="B47" s="310">
        <v>147892.70300000001</v>
      </c>
      <c r="C47" s="311">
        <v>162906.01500000001</v>
      </c>
      <c r="D47" s="427">
        <f t="shared" ref="D47:D48" si="7">IF(B47=0, "    ---- ", IF(ABS(ROUND(100/B47*C47-100,1))&lt;999,ROUND(100/B47*C47-100,1),IF(ROUND(100/B47*C47-100,1)&gt;999,999,-999)))</f>
        <v>10.199999999999999</v>
      </c>
      <c r="E47" s="11">
        <f>IFERROR(100/'Skjema total MA'!C47*C47,0)</f>
        <v>3.854774093665752</v>
      </c>
      <c r="F47" s="145"/>
      <c r="G47" s="33"/>
      <c r="H47" s="159"/>
      <c r="I47" s="159"/>
      <c r="J47" s="37"/>
      <c r="K47" s="37"/>
      <c r="L47" s="159"/>
      <c r="M47" s="159"/>
      <c r="N47" s="148"/>
    </row>
    <row r="48" spans="1:14" s="3" customFormat="1" ht="15.75" x14ac:dyDescent="0.2">
      <c r="A48" s="38" t="s">
        <v>376</v>
      </c>
      <c r="B48" s="281">
        <v>147892.70300000001</v>
      </c>
      <c r="C48" s="282">
        <v>162906.01500000001</v>
      </c>
      <c r="D48" s="254">
        <f t="shared" si="7"/>
        <v>10.199999999999999</v>
      </c>
      <c r="E48" s="27">
        <f>IFERROR(100/'Skjema total MA'!C48*C48,0)</f>
        <v>6.8480285622480217</v>
      </c>
      <c r="F48" s="145"/>
      <c r="G48" s="33"/>
      <c r="H48" s="145"/>
      <c r="I48" s="145"/>
      <c r="J48" s="33"/>
      <c r="K48" s="33"/>
      <c r="L48" s="159"/>
      <c r="M48" s="159"/>
      <c r="N48" s="148"/>
    </row>
    <row r="49" spans="1:14" s="3" customFormat="1" ht="15.75" x14ac:dyDescent="0.2">
      <c r="A49" s="38" t="s">
        <v>377</v>
      </c>
      <c r="B49" s="44"/>
      <c r="C49" s="287"/>
      <c r="D49" s="254"/>
      <c r="E49" s="27"/>
      <c r="F49" s="145"/>
      <c r="G49" s="33"/>
      <c r="H49" s="145"/>
      <c r="I49" s="145"/>
      <c r="J49" s="37"/>
      <c r="K49" s="37"/>
      <c r="L49" s="159"/>
      <c r="M49" s="159"/>
      <c r="N49" s="148"/>
    </row>
    <row r="50" spans="1:14" s="3" customFormat="1" x14ac:dyDescent="0.2">
      <c r="A50" s="296" t="s">
        <v>6</v>
      </c>
      <c r="B50" s="290"/>
      <c r="C50" s="291"/>
      <c r="D50" s="254"/>
      <c r="E50" s="23"/>
      <c r="F50" s="145"/>
      <c r="G50" s="33"/>
      <c r="H50" s="145"/>
      <c r="I50" s="145"/>
      <c r="J50" s="33"/>
      <c r="K50" s="33"/>
      <c r="L50" s="159"/>
      <c r="M50" s="159"/>
      <c r="N50" s="148"/>
    </row>
    <row r="51" spans="1:14" s="3" customFormat="1" x14ac:dyDescent="0.2">
      <c r="A51" s="296" t="s">
        <v>7</v>
      </c>
      <c r="B51" s="290"/>
      <c r="C51" s="291"/>
      <c r="D51" s="254"/>
      <c r="E51" s="23"/>
      <c r="F51" s="145"/>
      <c r="G51" s="33"/>
      <c r="H51" s="145"/>
      <c r="I51" s="145"/>
      <c r="J51" s="33"/>
      <c r="K51" s="33"/>
      <c r="L51" s="159"/>
      <c r="M51" s="159"/>
      <c r="N51" s="148"/>
    </row>
    <row r="52" spans="1:14" s="3" customFormat="1" x14ac:dyDescent="0.2">
      <c r="A52" s="296" t="s">
        <v>8</v>
      </c>
      <c r="B52" s="290"/>
      <c r="C52" s="291"/>
      <c r="D52" s="254"/>
      <c r="E52" s="23"/>
      <c r="F52" s="145"/>
      <c r="G52" s="33"/>
      <c r="H52" s="145"/>
      <c r="I52" s="145"/>
      <c r="J52" s="33"/>
      <c r="K52" s="33"/>
      <c r="L52" s="159"/>
      <c r="M52" s="159"/>
      <c r="N52" s="148"/>
    </row>
    <row r="53" spans="1:14" s="3" customFormat="1" ht="15.75" x14ac:dyDescent="0.2">
      <c r="A53" s="39" t="s">
        <v>378</v>
      </c>
      <c r="B53" s="310"/>
      <c r="C53" s="311"/>
      <c r="D53" s="428"/>
      <c r="E53" s="11"/>
      <c r="F53" s="145"/>
      <c r="G53" s="33"/>
      <c r="H53" s="145"/>
      <c r="I53" s="145"/>
      <c r="J53" s="33"/>
      <c r="K53" s="33"/>
      <c r="L53" s="159"/>
      <c r="M53" s="159"/>
      <c r="N53" s="148"/>
    </row>
    <row r="54" spans="1:14" s="3" customFormat="1" ht="15.75" x14ac:dyDescent="0.2">
      <c r="A54" s="38" t="s">
        <v>376</v>
      </c>
      <c r="B54" s="281"/>
      <c r="C54" s="282"/>
      <c r="D54" s="254"/>
      <c r="E54" s="27"/>
      <c r="F54" s="145"/>
      <c r="G54" s="33"/>
      <c r="H54" s="145"/>
      <c r="I54" s="145"/>
      <c r="J54" s="33"/>
      <c r="K54" s="33"/>
      <c r="L54" s="159"/>
      <c r="M54" s="159"/>
      <c r="N54" s="148"/>
    </row>
    <row r="55" spans="1:14" s="3" customFormat="1" ht="15.75" x14ac:dyDescent="0.2">
      <c r="A55" s="38" t="s">
        <v>377</v>
      </c>
      <c r="B55" s="281"/>
      <c r="C55" s="282"/>
      <c r="D55" s="254"/>
      <c r="E55" s="27"/>
      <c r="F55" s="145"/>
      <c r="G55" s="33"/>
      <c r="H55" s="145"/>
      <c r="I55" s="145"/>
      <c r="J55" s="33"/>
      <c r="K55" s="33"/>
      <c r="L55" s="159"/>
      <c r="M55" s="159"/>
      <c r="N55" s="148"/>
    </row>
    <row r="56" spans="1:14" s="3" customFormat="1" ht="15.75" x14ac:dyDescent="0.2">
      <c r="A56" s="39" t="s">
        <v>379</v>
      </c>
      <c r="B56" s="310"/>
      <c r="C56" s="311"/>
      <c r="D56" s="428"/>
      <c r="E56" s="11"/>
      <c r="F56" s="145"/>
      <c r="G56" s="33"/>
      <c r="H56" s="145"/>
      <c r="I56" s="145"/>
      <c r="J56" s="33"/>
      <c r="K56" s="33"/>
      <c r="L56" s="159"/>
      <c r="M56" s="159"/>
      <c r="N56" s="148"/>
    </row>
    <row r="57" spans="1:14" s="3" customFormat="1" ht="15.75" x14ac:dyDescent="0.2">
      <c r="A57" s="38" t="s">
        <v>376</v>
      </c>
      <c r="B57" s="281"/>
      <c r="C57" s="282"/>
      <c r="D57" s="254"/>
      <c r="E57" s="27"/>
      <c r="F57" s="145"/>
      <c r="G57" s="33"/>
      <c r="H57" s="145"/>
      <c r="I57" s="145"/>
      <c r="J57" s="33"/>
      <c r="K57" s="33"/>
      <c r="L57" s="159"/>
      <c r="M57" s="159"/>
      <c r="N57" s="148"/>
    </row>
    <row r="58" spans="1:14" s="3" customFormat="1" ht="15.75" x14ac:dyDescent="0.2">
      <c r="A58" s="46" t="s">
        <v>377</v>
      </c>
      <c r="B58" s="283"/>
      <c r="C58" s="284"/>
      <c r="D58" s="255"/>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274</v>
      </c>
      <c r="C61" s="26"/>
      <c r="D61" s="26"/>
      <c r="E61" s="26"/>
      <c r="F61" s="26"/>
      <c r="G61" s="26"/>
      <c r="H61" s="26"/>
      <c r="I61" s="26"/>
      <c r="J61" s="26"/>
      <c r="K61" s="26"/>
      <c r="L61" s="26"/>
      <c r="M61" s="26"/>
    </row>
    <row r="62" spans="1:14" ht="15.75" x14ac:dyDescent="0.25">
      <c r="B62" s="735"/>
      <c r="C62" s="735"/>
      <c r="D62" s="735"/>
      <c r="E62" s="299"/>
      <c r="F62" s="735"/>
      <c r="G62" s="735"/>
      <c r="H62" s="735"/>
      <c r="I62" s="299"/>
      <c r="J62" s="735"/>
      <c r="K62" s="735"/>
      <c r="L62" s="735"/>
      <c r="M62" s="299"/>
    </row>
    <row r="63" spans="1:14" x14ac:dyDescent="0.2">
      <c r="A63" s="144"/>
      <c r="B63" s="733" t="s">
        <v>0</v>
      </c>
      <c r="C63" s="734"/>
      <c r="D63" s="738"/>
      <c r="E63" s="300"/>
      <c r="F63" s="734" t="s">
        <v>1</v>
      </c>
      <c r="G63" s="734"/>
      <c r="H63" s="734"/>
      <c r="I63" s="304"/>
      <c r="J63" s="733" t="s">
        <v>2</v>
      </c>
      <c r="K63" s="734"/>
      <c r="L63" s="734"/>
      <c r="M63" s="304"/>
    </row>
    <row r="64" spans="1:14" x14ac:dyDescent="0.2">
      <c r="A64" s="140"/>
      <c r="B64" s="152" t="s">
        <v>421</v>
      </c>
      <c r="C64" s="152" t="s">
        <v>422</v>
      </c>
      <c r="D64" s="245" t="s">
        <v>3</v>
      </c>
      <c r="E64" s="305" t="s">
        <v>29</v>
      </c>
      <c r="F64" s="152" t="s">
        <v>421</v>
      </c>
      <c r="G64" s="152" t="s">
        <v>422</v>
      </c>
      <c r="H64" s="245" t="s">
        <v>3</v>
      </c>
      <c r="I64" s="305" t="s">
        <v>29</v>
      </c>
      <c r="J64" s="152" t="s">
        <v>421</v>
      </c>
      <c r="K64" s="152" t="s">
        <v>422</v>
      </c>
      <c r="L64" s="245" t="s">
        <v>3</v>
      </c>
      <c r="M64" s="162" t="s">
        <v>29</v>
      </c>
    </row>
    <row r="65" spans="1:14" x14ac:dyDescent="0.2">
      <c r="A65" s="708"/>
      <c r="B65" s="156"/>
      <c r="C65" s="156"/>
      <c r="D65" s="246" t="s">
        <v>4</v>
      </c>
      <c r="E65" s="156" t="s">
        <v>30</v>
      </c>
      <c r="F65" s="161"/>
      <c r="G65" s="161"/>
      <c r="H65" s="245" t="s">
        <v>4</v>
      </c>
      <c r="I65" s="156" t="s">
        <v>30</v>
      </c>
      <c r="J65" s="161"/>
      <c r="K65" s="206"/>
      <c r="L65" s="156" t="s">
        <v>4</v>
      </c>
      <c r="M65" s="156" t="s">
        <v>30</v>
      </c>
    </row>
    <row r="66" spans="1:14" ht="15.75" x14ac:dyDescent="0.2">
      <c r="A66" s="14" t="s">
        <v>23</v>
      </c>
      <c r="B66" s="353"/>
      <c r="C66" s="353"/>
      <c r="D66" s="350"/>
      <c r="E66" s="11"/>
      <c r="F66" s="352"/>
      <c r="G66" s="352"/>
      <c r="H66" s="350"/>
      <c r="I66" s="11"/>
      <c r="J66" s="309"/>
      <c r="K66" s="316"/>
      <c r="L66" s="428"/>
      <c r="M66" s="11"/>
    </row>
    <row r="67" spans="1:14" x14ac:dyDescent="0.2">
      <c r="A67" s="419" t="s">
        <v>9</v>
      </c>
      <c r="B67" s="44"/>
      <c r="C67" s="145"/>
      <c r="D67" s="166"/>
      <c r="E67" s="27"/>
      <c r="F67" s="234"/>
      <c r="G67" s="145"/>
      <c r="H67" s="166"/>
      <c r="I67" s="27"/>
      <c r="J67" s="287"/>
      <c r="K67" s="44"/>
      <c r="L67" s="254"/>
      <c r="M67" s="27"/>
    </row>
    <row r="68" spans="1:14" x14ac:dyDescent="0.2">
      <c r="A68" s="21" t="s">
        <v>10</v>
      </c>
      <c r="B68" s="292"/>
      <c r="C68" s="293"/>
      <c r="D68" s="166"/>
      <c r="E68" s="27"/>
      <c r="F68" s="292"/>
      <c r="G68" s="293"/>
      <c r="H68" s="166"/>
      <c r="I68" s="27"/>
      <c r="J68" s="287"/>
      <c r="K68" s="44"/>
      <c r="L68" s="254"/>
      <c r="M68" s="27"/>
    </row>
    <row r="69" spans="1:14" ht="15.75" x14ac:dyDescent="0.2">
      <c r="A69" s="296" t="s">
        <v>380</v>
      </c>
      <c r="B69" s="294"/>
      <c r="C69" s="295"/>
      <c r="D69" s="166"/>
      <c r="E69" s="417"/>
      <c r="F69" s="294"/>
      <c r="G69" s="295"/>
      <c r="H69" s="166"/>
      <c r="I69" s="417"/>
      <c r="J69" s="294"/>
      <c r="K69" s="295"/>
      <c r="L69" s="166"/>
      <c r="M69" s="23"/>
    </row>
    <row r="70" spans="1:14" x14ac:dyDescent="0.2">
      <c r="A70" s="296" t="s">
        <v>12</v>
      </c>
      <c r="B70" s="294"/>
      <c r="C70" s="295"/>
      <c r="D70" s="166"/>
      <c r="E70" s="417"/>
      <c r="F70" s="294"/>
      <c r="G70" s="295"/>
      <c r="H70" s="166"/>
      <c r="I70" s="417"/>
      <c r="J70" s="294"/>
      <c r="K70" s="295"/>
      <c r="L70" s="166"/>
      <c r="M70" s="23"/>
    </row>
    <row r="71" spans="1:14" x14ac:dyDescent="0.2">
      <c r="A71" s="296" t="s">
        <v>13</v>
      </c>
      <c r="B71" s="235"/>
      <c r="C71" s="289"/>
      <c r="D71" s="166"/>
      <c r="E71" s="417"/>
      <c r="F71" s="294"/>
      <c r="G71" s="295"/>
      <c r="H71" s="166"/>
      <c r="I71" s="417"/>
      <c r="J71" s="294"/>
      <c r="K71" s="295"/>
      <c r="L71" s="166"/>
      <c r="M71" s="23"/>
    </row>
    <row r="72" spans="1:14" ht="15.75" x14ac:dyDescent="0.2">
      <c r="A72" s="296" t="s">
        <v>381</v>
      </c>
      <c r="B72" s="294"/>
      <c r="C72" s="295"/>
      <c r="D72" s="166"/>
      <c r="E72" s="417"/>
      <c r="F72" s="294"/>
      <c r="G72" s="295"/>
      <c r="H72" s="166"/>
      <c r="I72" s="417"/>
      <c r="J72" s="294"/>
      <c r="K72" s="295"/>
      <c r="L72" s="166"/>
      <c r="M72" s="23"/>
    </row>
    <row r="73" spans="1:14" x14ac:dyDescent="0.2">
      <c r="A73" s="296" t="s">
        <v>12</v>
      </c>
      <c r="B73" s="235"/>
      <c r="C73" s="289"/>
      <c r="D73" s="166"/>
      <c r="E73" s="417"/>
      <c r="F73" s="294"/>
      <c r="G73" s="295"/>
      <c r="H73" s="166"/>
      <c r="I73" s="417"/>
      <c r="J73" s="294"/>
      <c r="K73" s="295"/>
      <c r="L73" s="166"/>
      <c r="M73" s="23"/>
    </row>
    <row r="74" spans="1:14" s="3" customFormat="1" x14ac:dyDescent="0.2">
      <c r="A74" s="296" t="s">
        <v>13</v>
      </c>
      <c r="B74" s="235"/>
      <c r="C74" s="289"/>
      <c r="D74" s="166"/>
      <c r="E74" s="417"/>
      <c r="F74" s="294"/>
      <c r="G74" s="295"/>
      <c r="H74" s="166"/>
      <c r="I74" s="417"/>
      <c r="J74" s="294"/>
      <c r="K74" s="295"/>
      <c r="L74" s="166"/>
      <c r="M74" s="23"/>
      <c r="N74" s="148"/>
    </row>
    <row r="75" spans="1:14" s="3" customFormat="1" x14ac:dyDescent="0.2">
      <c r="A75" s="21" t="s">
        <v>350</v>
      </c>
      <c r="B75" s="234"/>
      <c r="C75" s="145"/>
      <c r="D75" s="166"/>
      <c r="E75" s="27"/>
      <c r="F75" s="234"/>
      <c r="G75" s="145"/>
      <c r="H75" s="166"/>
      <c r="I75" s="27"/>
      <c r="J75" s="287"/>
      <c r="K75" s="44"/>
      <c r="L75" s="254"/>
      <c r="M75" s="27"/>
      <c r="N75" s="148"/>
    </row>
    <row r="76" spans="1:14" s="3" customFormat="1" x14ac:dyDescent="0.2">
      <c r="A76" s="21" t="s">
        <v>349</v>
      </c>
      <c r="B76" s="234"/>
      <c r="C76" s="145"/>
      <c r="D76" s="166"/>
      <c r="E76" s="27"/>
      <c r="F76" s="234"/>
      <c r="G76" s="145"/>
      <c r="H76" s="166"/>
      <c r="I76" s="27"/>
      <c r="J76" s="287"/>
      <c r="K76" s="44"/>
      <c r="L76" s="254"/>
      <c r="M76" s="27"/>
      <c r="N76" s="148"/>
    </row>
    <row r="77" spans="1:14" ht="15.75" x14ac:dyDescent="0.2">
      <c r="A77" s="21" t="s">
        <v>382</v>
      </c>
      <c r="B77" s="234"/>
      <c r="C77" s="234"/>
      <c r="D77" s="166"/>
      <c r="E77" s="27"/>
      <c r="F77" s="234"/>
      <c r="G77" s="145"/>
      <c r="H77" s="166"/>
      <c r="I77" s="27"/>
      <c r="J77" s="287"/>
      <c r="K77" s="44"/>
      <c r="L77" s="254"/>
      <c r="M77" s="27"/>
    </row>
    <row r="78" spans="1:14" x14ac:dyDescent="0.2">
      <c r="A78" s="21" t="s">
        <v>9</v>
      </c>
      <c r="B78" s="234"/>
      <c r="C78" s="145"/>
      <c r="D78" s="166"/>
      <c r="E78" s="27"/>
      <c r="F78" s="234"/>
      <c r="G78" s="145"/>
      <c r="H78" s="166"/>
      <c r="I78" s="27"/>
      <c r="J78" s="287"/>
      <c r="K78" s="44"/>
      <c r="L78" s="254"/>
      <c r="M78" s="27"/>
    </row>
    <row r="79" spans="1:14" x14ac:dyDescent="0.2">
      <c r="A79" s="21" t="s">
        <v>10</v>
      </c>
      <c r="B79" s="292"/>
      <c r="C79" s="293"/>
      <c r="D79" s="166"/>
      <c r="E79" s="27"/>
      <c r="F79" s="292"/>
      <c r="G79" s="293"/>
      <c r="H79" s="166"/>
      <c r="I79" s="27"/>
      <c r="J79" s="287"/>
      <c r="K79" s="44"/>
      <c r="L79" s="254"/>
      <c r="M79" s="27"/>
    </row>
    <row r="80" spans="1:14" ht="15.75" x14ac:dyDescent="0.2">
      <c r="A80" s="296" t="s">
        <v>380</v>
      </c>
      <c r="B80" s="294"/>
      <c r="C80" s="295"/>
      <c r="D80" s="166"/>
      <c r="E80" s="417"/>
      <c r="F80" s="294"/>
      <c r="G80" s="295"/>
      <c r="H80" s="166"/>
      <c r="I80" s="417"/>
      <c r="J80" s="294"/>
      <c r="K80" s="295"/>
      <c r="L80" s="166"/>
      <c r="M80" s="23"/>
    </row>
    <row r="81" spans="1:13" x14ac:dyDescent="0.2">
      <c r="A81" s="296" t="s">
        <v>12</v>
      </c>
      <c r="B81" s="294"/>
      <c r="C81" s="295"/>
      <c r="D81" s="166"/>
      <c r="E81" s="417"/>
      <c r="F81" s="294"/>
      <c r="G81" s="295"/>
      <c r="H81" s="166"/>
      <c r="I81" s="417"/>
      <c r="J81" s="294"/>
      <c r="K81" s="295"/>
      <c r="L81" s="166"/>
      <c r="M81" s="23"/>
    </row>
    <row r="82" spans="1:13" x14ac:dyDescent="0.2">
      <c r="A82" s="296" t="s">
        <v>13</v>
      </c>
      <c r="B82" s="294"/>
      <c r="C82" s="295"/>
      <c r="D82" s="166"/>
      <c r="E82" s="417"/>
      <c r="F82" s="294"/>
      <c r="G82" s="295"/>
      <c r="H82" s="166"/>
      <c r="I82" s="417"/>
      <c r="J82" s="294"/>
      <c r="K82" s="295"/>
      <c r="L82" s="166"/>
      <c r="M82" s="23"/>
    </row>
    <row r="83" spans="1:13" ht="15.75" x14ac:dyDescent="0.2">
      <c r="A83" s="296" t="s">
        <v>381</v>
      </c>
      <c r="B83" s="294"/>
      <c r="C83" s="295"/>
      <c r="D83" s="166"/>
      <c r="E83" s="417"/>
      <c r="F83" s="294"/>
      <c r="G83" s="295"/>
      <c r="H83" s="166"/>
      <c r="I83" s="417"/>
      <c r="J83" s="294"/>
      <c r="K83" s="295"/>
      <c r="L83" s="166"/>
      <c r="M83" s="23"/>
    </row>
    <row r="84" spans="1:13" x14ac:dyDescent="0.2">
      <c r="A84" s="296" t="s">
        <v>12</v>
      </c>
      <c r="B84" s="294"/>
      <c r="C84" s="295"/>
      <c r="D84" s="166"/>
      <c r="E84" s="417"/>
      <c r="F84" s="294"/>
      <c r="G84" s="295"/>
      <c r="H84" s="166"/>
      <c r="I84" s="417"/>
      <c r="J84" s="294"/>
      <c r="K84" s="295"/>
      <c r="L84" s="166"/>
      <c r="M84" s="23"/>
    </row>
    <row r="85" spans="1:13" x14ac:dyDescent="0.2">
      <c r="A85" s="296" t="s">
        <v>13</v>
      </c>
      <c r="B85" s="294"/>
      <c r="C85" s="295"/>
      <c r="D85" s="166"/>
      <c r="E85" s="417"/>
      <c r="F85" s="294"/>
      <c r="G85" s="295"/>
      <c r="H85" s="166"/>
      <c r="I85" s="417"/>
      <c r="J85" s="294"/>
      <c r="K85" s="295"/>
      <c r="L85" s="166"/>
      <c r="M85" s="23"/>
    </row>
    <row r="86" spans="1:13" ht="15.75" x14ac:dyDescent="0.2">
      <c r="A86" s="21" t="s">
        <v>383</v>
      </c>
      <c r="B86" s="234"/>
      <c r="C86" s="145"/>
      <c r="D86" s="166"/>
      <c r="E86" s="27"/>
      <c r="F86" s="234"/>
      <c r="G86" s="145"/>
      <c r="H86" s="166"/>
      <c r="I86" s="27"/>
      <c r="J86" s="287"/>
      <c r="K86" s="44"/>
      <c r="L86" s="254"/>
      <c r="M86" s="27"/>
    </row>
    <row r="87" spans="1:13" ht="15.75" x14ac:dyDescent="0.2">
      <c r="A87" s="13" t="s">
        <v>365</v>
      </c>
      <c r="B87" s="353"/>
      <c r="C87" s="353"/>
      <c r="D87" s="171"/>
      <c r="E87" s="11"/>
      <c r="F87" s="352"/>
      <c r="G87" s="352"/>
      <c r="H87" s="171"/>
      <c r="I87" s="11"/>
      <c r="J87" s="309"/>
      <c r="K87" s="236"/>
      <c r="L87" s="428"/>
      <c r="M87" s="11"/>
    </row>
    <row r="88" spans="1:13" x14ac:dyDescent="0.2">
      <c r="A88" s="21" t="s">
        <v>9</v>
      </c>
      <c r="B88" s="234"/>
      <c r="C88" s="145"/>
      <c r="D88" s="166"/>
      <c r="E88" s="27"/>
      <c r="F88" s="234"/>
      <c r="G88" s="145"/>
      <c r="H88" s="166"/>
      <c r="I88" s="27"/>
      <c r="J88" s="287"/>
      <c r="K88" s="44"/>
      <c r="L88" s="254"/>
      <c r="M88" s="27"/>
    </row>
    <row r="89" spans="1:13" x14ac:dyDescent="0.2">
      <c r="A89" s="21" t="s">
        <v>10</v>
      </c>
      <c r="B89" s="234"/>
      <c r="C89" s="145"/>
      <c r="D89" s="166"/>
      <c r="E89" s="27"/>
      <c r="F89" s="234"/>
      <c r="G89" s="145"/>
      <c r="H89" s="166"/>
      <c r="I89" s="27"/>
      <c r="J89" s="287"/>
      <c r="K89" s="44"/>
      <c r="L89" s="254"/>
      <c r="M89" s="27"/>
    </row>
    <row r="90" spans="1:13" ht="15.75" x14ac:dyDescent="0.2">
      <c r="A90" s="296" t="s">
        <v>380</v>
      </c>
      <c r="B90" s="294"/>
      <c r="C90" s="295"/>
      <c r="D90" s="166"/>
      <c r="E90" s="417"/>
      <c r="F90" s="294"/>
      <c r="G90" s="295"/>
      <c r="H90" s="166"/>
      <c r="I90" s="417"/>
      <c r="J90" s="294"/>
      <c r="K90" s="295"/>
      <c r="L90" s="166"/>
      <c r="M90" s="23"/>
    </row>
    <row r="91" spans="1:13" x14ac:dyDescent="0.2">
      <c r="A91" s="296" t="s">
        <v>12</v>
      </c>
      <c r="B91" s="294"/>
      <c r="C91" s="295"/>
      <c r="D91" s="166"/>
      <c r="E91" s="417"/>
      <c r="F91" s="294"/>
      <c r="G91" s="295"/>
      <c r="H91" s="166"/>
      <c r="I91" s="417"/>
      <c r="J91" s="294"/>
      <c r="K91" s="295"/>
      <c r="L91" s="166"/>
      <c r="M91" s="23"/>
    </row>
    <row r="92" spans="1:13" x14ac:dyDescent="0.2">
      <c r="A92" s="296" t="s">
        <v>13</v>
      </c>
      <c r="B92" s="294"/>
      <c r="C92" s="295"/>
      <c r="D92" s="166"/>
      <c r="E92" s="417"/>
      <c r="F92" s="294"/>
      <c r="G92" s="295"/>
      <c r="H92" s="166"/>
      <c r="I92" s="417"/>
      <c r="J92" s="294"/>
      <c r="K92" s="295"/>
      <c r="L92" s="166"/>
      <c r="M92" s="23"/>
    </row>
    <row r="93" spans="1:13" ht="15.75" x14ac:dyDescent="0.2">
      <c r="A93" s="296" t="s">
        <v>381</v>
      </c>
      <c r="B93" s="294"/>
      <c r="C93" s="295"/>
      <c r="D93" s="166"/>
      <c r="E93" s="417"/>
      <c r="F93" s="294"/>
      <c r="G93" s="295"/>
      <c r="H93" s="166"/>
      <c r="I93" s="417"/>
      <c r="J93" s="294"/>
      <c r="K93" s="295"/>
      <c r="L93" s="166"/>
      <c r="M93" s="23"/>
    </row>
    <row r="94" spans="1:13" x14ac:dyDescent="0.2">
      <c r="A94" s="296" t="s">
        <v>12</v>
      </c>
      <c r="B94" s="294"/>
      <c r="C94" s="295"/>
      <c r="D94" s="166"/>
      <c r="E94" s="417"/>
      <c r="F94" s="294"/>
      <c r="G94" s="295"/>
      <c r="H94" s="166"/>
      <c r="I94" s="417"/>
      <c r="J94" s="294"/>
      <c r="K94" s="295"/>
      <c r="L94" s="166"/>
      <c r="M94" s="23"/>
    </row>
    <row r="95" spans="1:13" x14ac:dyDescent="0.2">
      <c r="A95" s="296" t="s">
        <v>13</v>
      </c>
      <c r="B95" s="294"/>
      <c r="C95" s="295"/>
      <c r="D95" s="166"/>
      <c r="E95" s="417"/>
      <c r="F95" s="294"/>
      <c r="G95" s="295"/>
      <c r="H95" s="166"/>
      <c r="I95" s="417"/>
      <c r="J95" s="294"/>
      <c r="K95" s="295"/>
      <c r="L95" s="166"/>
      <c r="M95" s="23"/>
    </row>
    <row r="96" spans="1:13" x14ac:dyDescent="0.2">
      <c r="A96" s="21" t="s">
        <v>348</v>
      </c>
      <c r="B96" s="234"/>
      <c r="C96" s="145"/>
      <c r="D96" s="166"/>
      <c r="E96" s="27"/>
      <c r="F96" s="234"/>
      <c r="G96" s="145"/>
      <c r="H96" s="166"/>
      <c r="I96" s="27"/>
      <c r="J96" s="287"/>
      <c r="K96" s="44"/>
      <c r="L96" s="254"/>
      <c r="M96" s="27"/>
    </row>
    <row r="97" spans="1:13" x14ac:dyDescent="0.2">
      <c r="A97" s="21" t="s">
        <v>347</v>
      </c>
      <c r="B97" s="234"/>
      <c r="C97" s="145"/>
      <c r="D97" s="166"/>
      <c r="E97" s="27"/>
      <c r="F97" s="234"/>
      <c r="G97" s="145"/>
      <c r="H97" s="166"/>
      <c r="I97" s="27"/>
      <c r="J97" s="287"/>
      <c r="K97" s="44"/>
      <c r="L97" s="254"/>
      <c r="M97" s="27"/>
    </row>
    <row r="98" spans="1:13" ht="15.75" x14ac:dyDescent="0.2">
      <c r="A98" s="21" t="s">
        <v>382</v>
      </c>
      <c r="B98" s="234"/>
      <c r="C98" s="234"/>
      <c r="D98" s="166"/>
      <c r="E98" s="27"/>
      <c r="F98" s="292"/>
      <c r="G98" s="292"/>
      <c r="H98" s="166"/>
      <c r="I98" s="27"/>
      <c r="J98" s="287"/>
      <c r="K98" s="44"/>
      <c r="L98" s="254"/>
      <c r="M98" s="27"/>
    </row>
    <row r="99" spans="1:13" x14ac:dyDescent="0.2">
      <c r="A99" s="21" t="s">
        <v>9</v>
      </c>
      <c r="B99" s="292"/>
      <c r="C99" s="293"/>
      <c r="D99" s="166"/>
      <c r="E99" s="27"/>
      <c r="F99" s="234"/>
      <c r="G99" s="145"/>
      <c r="H99" s="166"/>
      <c r="I99" s="27"/>
      <c r="J99" s="287"/>
      <c r="K99" s="44"/>
      <c r="L99" s="254"/>
      <c r="M99" s="27"/>
    </row>
    <row r="100" spans="1:13" x14ac:dyDescent="0.2">
      <c r="A100" s="21" t="s">
        <v>10</v>
      </c>
      <c r="B100" s="292"/>
      <c r="C100" s="293"/>
      <c r="D100" s="166"/>
      <c r="E100" s="27"/>
      <c r="F100" s="234"/>
      <c r="G100" s="234"/>
      <c r="H100" s="166"/>
      <c r="I100" s="27"/>
      <c r="J100" s="287"/>
      <c r="K100" s="44"/>
      <c r="L100" s="254"/>
      <c r="M100" s="27"/>
    </row>
    <row r="101" spans="1:13" ht="15.75" x14ac:dyDescent="0.2">
      <c r="A101" s="296" t="s">
        <v>380</v>
      </c>
      <c r="B101" s="294"/>
      <c r="C101" s="295"/>
      <c r="D101" s="166"/>
      <c r="E101" s="417"/>
      <c r="F101" s="294"/>
      <c r="G101" s="295"/>
      <c r="H101" s="166"/>
      <c r="I101" s="417"/>
      <c r="J101" s="294"/>
      <c r="K101" s="295"/>
      <c r="L101" s="166"/>
      <c r="M101" s="23"/>
    </row>
    <row r="102" spans="1:13" x14ac:dyDescent="0.2">
      <c r="A102" s="296" t="s">
        <v>12</v>
      </c>
      <c r="B102" s="294"/>
      <c r="C102" s="295"/>
      <c r="D102" s="166"/>
      <c r="E102" s="417"/>
      <c r="F102" s="294"/>
      <c r="G102" s="295"/>
      <c r="H102" s="166"/>
      <c r="I102" s="417"/>
      <c r="J102" s="294"/>
      <c r="K102" s="295"/>
      <c r="L102" s="166"/>
      <c r="M102" s="23"/>
    </row>
    <row r="103" spans="1:13" x14ac:dyDescent="0.2">
      <c r="A103" s="296" t="s">
        <v>13</v>
      </c>
      <c r="B103" s="294"/>
      <c r="C103" s="295"/>
      <c r="D103" s="166"/>
      <c r="E103" s="417"/>
      <c r="F103" s="294"/>
      <c r="G103" s="295"/>
      <c r="H103" s="166"/>
      <c r="I103" s="417"/>
      <c r="J103" s="294"/>
      <c r="K103" s="295"/>
      <c r="L103" s="166"/>
      <c r="M103" s="23"/>
    </row>
    <row r="104" spans="1:13" ht="15.75" x14ac:dyDescent="0.2">
      <c r="A104" s="296" t="s">
        <v>381</v>
      </c>
      <c r="B104" s="294"/>
      <c r="C104" s="295"/>
      <c r="D104" s="166"/>
      <c r="E104" s="417"/>
      <c r="F104" s="294"/>
      <c r="G104" s="295"/>
      <c r="H104" s="166"/>
      <c r="I104" s="417"/>
      <c r="J104" s="294"/>
      <c r="K104" s="295"/>
      <c r="L104" s="166"/>
      <c r="M104" s="23"/>
    </row>
    <row r="105" spans="1:13" x14ac:dyDescent="0.2">
      <c r="A105" s="296" t="s">
        <v>12</v>
      </c>
      <c r="B105" s="294"/>
      <c r="C105" s="295"/>
      <c r="D105" s="166"/>
      <c r="E105" s="417"/>
      <c r="F105" s="294"/>
      <c r="G105" s="295"/>
      <c r="H105" s="166"/>
      <c r="I105" s="417"/>
      <c r="J105" s="294"/>
      <c r="K105" s="295"/>
      <c r="L105" s="166"/>
      <c r="M105" s="23"/>
    </row>
    <row r="106" spans="1:13" x14ac:dyDescent="0.2">
      <c r="A106" s="296" t="s">
        <v>13</v>
      </c>
      <c r="B106" s="294"/>
      <c r="C106" s="295"/>
      <c r="D106" s="166"/>
      <c r="E106" s="417"/>
      <c r="F106" s="294"/>
      <c r="G106" s="295"/>
      <c r="H106" s="166"/>
      <c r="I106" s="417"/>
      <c r="J106" s="294"/>
      <c r="K106" s="295"/>
      <c r="L106" s="166"/>
      <c r="M106" s="23"/>
    </row>
    <row r="107" spans="1:13" ht="15.75" x14ac:dyDescent="0.2">
      <c r="A107" s="21" t="s">
        <v>383</v>
      </c>
      <c r="B107" s="234"/>
      <c r="C107" s="145"/>
      <c r="D107" s="166"/>
      <c r="E107" s="27"/>
      <c r="F107" s="234"/>
      <c r="G107" s="145"/>
      <c r="H107" s="166"/>
      <c r="I107" s="27"/>
      <c r="J107" s="287"/>
      <c r="K107" s="44"/>
      <c r="L107" s="254"/>
      <c r="M107" s="27"/>
    </row>
    <row r="108" spans="1:13" ht="15.75" x14ac:dyDescent="0.2">
      <c r="A108" s="21" t="s">
        <v>384</v>
      </c>
      <c r="B108" s="234"/>
      <c r="C108" s="234"/>
      <c r="D108" s="166"/>
      <c r="E108" s="27"/>
      <c r="F108" s="234"/>
      <c r="G108" s="234"/>
      <c r="H108" s="166"/>
      <c r="I108" s="27"/>
      <c r="J108" s="287"/>
      <c r="K108" s="44"/>
      <c r="L108" s="254"/>
      <c r="M108" s="27"/>
    </row>
    <row r="109" spans="1:13" ht="15.75" x14ac:dyDescent="0.2">
      <c r="A109" s="21" t="s">
        <v>385</v>
      </c>
      <c r="B109" s="234"/>
      <c r="C109" s="234"/>
      <c r="D109" s="166"/>
      <c r="E109" s="27"/>
      <c r="F109" s="234"/>
      <c r="G109" s="234"/>
      <c r="H109" s="166"/>
      <c r="I109" s="27"/>
      <c r="J109" s="287"/>
      <c r="K109" s="44"/>
      <c r="L109" s="254"/>
      <c r="M109" s="27"/>
    </row>
    <row r="110" spans="1:13" ht="15.75" x14ac:dyDescent="0.2">
      <c r="A110" s="21" t="s">
        <v>386</v>
      </c>
      <c r="B110" s="234"/>
      <c r="C110" s="234"/>
      <c r="D110" s="166"/>
      <c r="E110" s="27"/>
      <c r="F110" s="234"/>
      <c r="G110" s="234"/>
      <c r="H110" s="166"/>
      <c r="I110" s="27"/>
      <c r="J110" s="287"/>
      <c r="K110" s="44"/>
      <c r="L110" s="254"/>
      <c r="M110" s="27"/>
    </row>
    <row r="111" spans="1:13" ht="15.75" x14ac:dyDescent="0.2">
      <c r="A111" s="13" t="s">
        <v>366</v>
      </c>
      <c r="B111" s="308"/>
      <c r="C111" s="159"/>
      <c r="D111" s="171"/>
      <c r="E111" s="11"/>
      <c r="F111" s="308"/>
      <c r="G111" s="159"/>
      <c r="H111" s="171"/>
      <c r="I111" s="11"/>
      <c r="J111" s="309"/>
      <c r="K111" s="236"/>
      <c r="L111" s="428"/>
      <c r="M111" s="11"/>
    </row>
    <row r="112" spans="1:13" x14ac:dyDescent="0.2">
      <c r="A112" s="21" t="s">
        <v>9</v>
      </c>
      <c r="B112" s="234"/>
      <c r="C112" s="145"/>
      <c r="D112" s="166"/>
      <c r="E112" s="27"/>
      <c r="F112" s="234"/>
      <c r="G112" s="145"/>
      <c r="H112" s="166"/>
      <c r="I112" s="27"/>
      <c r="J112" s="287"/>
      <c r="K112" s="44"/>
      <c r="L112" s="254"/>
      <c r="M112" s="27"/>
    </row>
    <row r="113" spans="1:14" x14ac:dyDescent="0.2">
      <c r="A113" s="21" t="s">
        <v>10</v>
      </c>
      <c r="B113" s="234"/>
      <c r="C113" s="145"/>
      <c r="D113" s="166"/>
      <c r="E113" s="27"/>
      <c r="F113" s="234"/>
      <c r="G113" s="145"/>
      <c r="H113" s="166"/>
      <c r="I113" s="27"/>
      <c r="J113" s="287"/>
      <c r="K113" s="44"/>
      <c r="L113" s="254"/>
      <c r="M113" s="27"/>
    </row>
    <row r="114" spans="1:14" x14ac:dyDescent="0.2">
      <c r="A114" s="21" t="s">
        <v>26</v>
      </c>
      <c r="B114" s="234"/>
      <c r="C114" s="145"/>
      <c r="D114" s="166"/>
      <c r="E114" s="27"/>
      <c r="F114" s="234"/>
      <c r="G114" s="145"/>
      <c r="H114" s="166"/>
      <c r="I114" s="27"/>
      <c r="J114" s="287"/>
      <c r="K114" s="44"/>
      <c r="L114" s="254"/>
      <c r="M114" s="27"/>
    </row>
    <row r="115" spans="1:14" x14ac:dyDescent="0.2">
      <c r="A115" s="296" t="s">
        <v>15</v>
      </c>
      <c r="B115" s="294"/>
      <c r="C115" s="295"/>
      <c r="D115" s="166"/>
      <c r="E115" s="417"/>
      <c r="F115" s="294"/>
      <c r="G115" s="295"/>
      <c r="H115" s="166"/>
      <c r="I115" s="417"/>
      <c r="J115" s="294"/>
      <c r="K115" s="295"/>
      <c r="L115" s="166"/>
      <c r="M115" s="23"/>
    </row>
    <row r="116" spans="1:14" ht="15.75" x14ac:dyDescent="0.2">
      <c r="A116" s="21" t="s">
        <v>387</v>
      </c>
      <c r="B116" s="234"/>
      <c r="C116" s="234"/>
      <c r="D116" s="166"/>
      <c r="E116" s="27"/>
      <c r="F116" s="234"/>
      <c r="G116" s="234"/>
      <c r="H116" s="166"/>
      <c r="I116" s="27"/>
      <c r="J116" s="287"/>
      <c r="K116" s="44"/>
      <c r="L116" s="254"/>
      <c r="M116" s="27"/>
    </row>
    <row r="117" spans="1:14" ht="15.75" x14ac:dyDescent="0.2">
      <c r="A117" s="21" t="s">
        <v>388</v>
      </c>
      <c r="B117" s="234"/>
      <c r="C117" s="234"/>
      <c r="D117" s="166"/>
      <c r="E117" s="27"/>
      <c r="F117" s="234"/>
      <c r="G117" s="234"/>
      <c r="H117" s="166"/>
      <c r="I117" s="27"/>
      <c r="J117" s="287"/>
      <c r="K117" s="44"/>
      <c r="L117" s="254"/>
      <c r="M117" s="27"/>
    </row>
    <row r="118" spans="1:14" ht="15.75" x14ac:dyDescent="0.2">
      <c r="A118" s="21" t="s">
        <v>386</v>
      </c>
      <c r="B118" s="234"/>
      <c r="C118" s="234"/>
      <c r="D118" s="166"/>
      <c r="E118" s="27"/>
      <c r="F118" s="234"/>
      <c r="G118" s="234"/>
      <c r="H118" s="166"/>
      <c r="I118" s="27"/>
      <c r="J118" s="287"/>
      <c r="K118" s="44"/>
      <c r="L118" s="254"/>
      <c r="M118" s="27"/>
    </row>
    <row r="119" spans="1:14" ht="15.75" x14ac:dyDescent="0.2">
      <c r="A119" s="13" t="s">
        <v>367</v>
      </c>
      <c r="B119" s="308"/>
      <c r="C119" s="159"/>
      <c r="D119" s="171"/>
      <c r="E119" s="11"/>
      <c r="F119" s="308"/>
      <c r="G119" s="159"/>
      <c r="H119" s="171"/>
      <c r="I119" s="11"/>
      <c r="J119" s="309"/>
      <c r="K119" s="236"/>
      <c r="L119" s="428"/>
      <c r="M119" s="11"/>
    </row>
    <row r="120" spans="1:14" x14ac:dyDescent="0.2">
      <c r="A120" s="21" t="s">
        <v>9</v>
      </c>
      <c r="B120" s="234"/>
      <c r="C120" s="145"/>
      <c r="D120" s="166"/>
      <c r="E120" s="27"/>
      <c r="F120" s="234"/>
      <c r="G120" s="145"/>
      <c r="H120" s="166"/>
      <c r="I120" s="27"/>
      <c r="J120" s="287"/>
      <c r="K120" s="44"/>
      <c r="L120" s="254"/>
      <c r="M120" s="27"/>
    </row>
    <row r="121" spans="1:14" x14ac:dyDescent="0.2">
      <c r="A121" s="21" t="s">
        <v>10</v>
      </c>
      <c r="B121" s="234"/>
      <c r="C121" s="145"/>
      <c r="D121" s="166"/>
      <c r="E121" s="27"/>
      <c r="F121" s="234"/>
      <c r="G121" s="145"/>
      <c r="H121" s="166"/>
      <c r="I121" s="27"/>
      <c r="J121" s="287"/>
      <c r="K121" s="44"/>
      <c r="L121" s="254"/>
      <c r="M121" s="27"/>
    </row>
    <row r="122" spans="1:14" x14ac:dyDescent="0.2">
      <c r="A122" s="21" t="s">
        <v>26</v>
      </c>
      <c r="B122" s="234"/>
      <c r="C122" s="145"/>
      <c r="D122" s="166"/>
      <c r="E122" s="27"/>
      <c r="F122" s="234"/>
      <c r="G122" s="145"/>
      <c r="H122" s="166"/>
      <c r="I122" s="27"/>
      <c r="J122" s="287"/>
      <c r="K122" s="44"/>
      <c r="L122" s="254"/>
      <c r="M122" s="27"/>
    </row>
    <row r="123" spans="1:14" x14ac:dyDescent="0.2">
      <c r="A123" s="296" t="s">
        <v>14</v>
      </c>
      <c r="B123" s="294"/>
      <c r="C123" s="295"/>
      <c r="D123" s="166"/>
      <c r="E123" s="417"/>
      <c r="F123" s="294"/>
      <c r="G123" s="295"/>
      <c r="H123" s="166"/>
      <c r="I123" s="417"/>
      <c r="J123" s="294"/>
      <c r="K123" s="295"/>
      <c r="L123" s="166"/>
      <c r="M123" s="23"/>
    </row>
    <row r="124" spans="1:14" ht="15.75" x14ac:dyDescent="0.2">
      <c r="A124" s="21" t="s">
        <v>393</v>
      </c>
      <c r="B124" s="234"/>
      <c r="C124" s="234"/>
      <c r="D124" s="166"/>
      <c r="E124" s="27"/>
      <c r="F124" s="234"/>
      <c r="G124" s="234"/>
      <c r="H124" s="166"/>
      <c r="I124" s="27"/>
      <c r="J124" s="287"/>
      <c r="K124" s="44"/>
      <c r="L124" s="254"/>
      <c r="M124" s="27"/>
    </row>
    <row r="125" spans="1:14" ht="15.75" x14ac:dyDescent="0.2">
      <c r="A125" s="21" t="s">
        <v>385</v>
      </c>
      <c r="B125" s="234"/>
      <c r="C125" s="234"/>
      <c r="D125" s="166"/>
      <c r="E125" s="27"/>
      <c r="F125" s="234"/>
      <c r="G125" s="234"/>
      <c r="H125" s="166"/>
      <c r="I125" s="27"/>
      <c r="J125" s="287"/>
      <c r="K125" s="44"/>
      <c r="L125" s="254"/>
      <c r="M125" s="27"/>
    </row>
    <row r="126" spans="1:14" ht="15.75" x14ac:dyDescent="0.2">
      <c r="A126" s="10" t="s">
        <v>386</v>
      </c>
      <c r="B126" s="45"/>
      <c r="C126" s="45"/>
      <c r="D126" s="167"/>
      <c r="E126" s="418"/>
      <c r="F126" s="45"/>
      <c r="G126" s="45"/>
      <c r="H126" s="167"/>
      <c r="I126" s="22"/>
      <c r="J126" s="288"/>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35"/>
      <c r="C130" s="735"/>
      <c r="D130" s="735"/>
      <c r="E130" s="299"/>
      <c r="F130" s="735"/>
      <c r="G130" s="735"/>
      <c r="H130" s="735"/>
      <c r="I130" s="299"/>
      <c r="J130" s="735"/>
      <c r="K130" s="735"/>
      <c r="L130" s="735"/>
      <c r="M130" s="299"/>
    </row>
    <row r="131" spans="1:14" s="3" customFormat="1" x14ac:dyDescent="0.2">
      <c r="A131" s="144"/>
      <c r="B131" s="733" t="s">
        <v>0</v>
      </c>
      <c r="C131" s="734"/>
      <c r="D131" s="734"/>
      <c r="E131" s="301"/>
      <c r="F131" s="733" t="s">
        <v>1</v>
      </c>
      <c r="G131" s="734"/>
      <c r="H131" s="734"/>
      <c r="I131" s="304"/>
      <c r="J131" s="733" t="s">
        <v>2</v>
      </c>
      <c r="K131" s="734"/>
      <c r="L131" s="734"/>
      <c r="M131" s="304"/>
      <c r="N131" s="148"/>
    </row>
    <row r="132" spans="1:14" s="3" customFormat="1" x14ac:dyDescent="0.2">
      <c r="A132" s="140"/>
      <c r="B132" s="152" t="s">
        <v>421</v>
      </c>
      <c r="C132" s="152" t="s">
        <v>422</v>
      </c>
      <c r="D132" s="245" t="s">
        <v>3</v>
      </c>
      <c r="E132" s="305" t="s">
        <v>29</v>
      </c>
      <c r="F132" s="152" t="s">
        <v>421</v>
      </c>
      <c r="G132" s="152" t="s">
        <v>422</v>
      </c>
      <c r="H132" s="206" t="s">
        <v>3</v>
      </c>
      <c r="I132" s="162" t="s">
        <v>29</v>
      </c>
      <c r="J132" s="152" t="s">
        <v>421</v>
      </c>
      <c r="K132" s="152" t="s">
        <v>422</v>
      </c>
      <c r="L132" s="246" t="s">
        <v>3</v>
      </c>
      <c r="M132" s="162" t="s">
        <v>29</v>
      </c>
      <c r="N132" s="148"/>
    </row>
    <row r="133" spans="1:14" s="3" customFormat="1" x14ac:dyDescent="0.2">
      <c r="A133" s="708"/>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389</v>
      </c>
      <c r="B134" s="236"/>
      <c r="C134" s="309"/>
      <c r="D134" s="350"/>
      <c r="E134" s="11"/>
      <c r="F134" s="316"/>
      <c r="G134" s="317"/>
      <c r="H134" s="431"/>
      <c r="I134" s="24"/>
      <c r="J134" s="318"/>
      <c r="K134" s="318"/>
      <c r="L134" s="427"/>
      <c r="M134" s="11"/>
      <c r="N134" s="148"/>
    </row>
    <row r="135" spans="1:14" s="3" customFormat="1" ht="15.75" x14ac:dyDescent="0.2">
      <c r="A135" s="13" t="s">
        <v>394</v>
      </c>
      <c r="B135" s="236"/>
      <c r="C135" s="309"/>
      <c r="D135" s="171"/>
      <c r="E135" s="11"/>
      <c r="F135" s="236"/>
      <c r="G135" s="309"/>
      <c r="H135" s="432"/>
      <c r="I135" s="24"/>
      <c r="J135" s="308"/>
      <c r="K135" s="308"/>
      <c r="L135" s="428"/>
      <c r="M135" s="11"/>
      <c r="N135" s="148"/>
    </row>
    <row r="136" spans="1:14" s="3" customFormat="1" ht="15.75" x14ac:dyDescent="0.2">
      <c r="A136" s="13" t="s">
        <v>391</v>
      </c>
      <c r="B136" s="236"/>
      <c r="C136" s="309"/>
      <c r="D136" s="171"/>
      <c r="E136" s="11"/>
      <c r="F136" s="236"/>
      <c r="G136" s="309"/>
      <c r="H136" s="432"/>
      <c r="I136" s="24"/>
      <c r="J136" s="308"/>
      <c r="K136" s="308"/>
      <c r="L136" s="428"/>
      <c r="M136" s="11"/>
      <c r="N136" s="148"/>
    </row>
    <row r="137" spans="1:14" s="3" customFormat="1" ht="15.75" x14ac:dyDescent="0.2">
      <c r="A137" s="41" t="s">
        <v>392</v>
      </c>
      <c r="B137" s="276"/>
      <c r="C137" s="315"/>
      <c r="D137" s="169"/>
      <c r="E137" s="9"/>
      <c r="F137" s="276"/>
      <c r="G137" s="315"/>
      <c r="H137" s="433"/>
      <c r="I137" s="36"/>
      <c r="J137" s="314"/>
      <c r="K137" s="314"/>
      <c r="L137" s="429"/>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308" priority="132">
      <formula>kvartal &lt; 4</formula>
    </cfRule>
  </conditionalFormatting>
  <conditionalFormatting sqref="A50:A52">
    <cfRule type="expression" dxfId="307" priority="12">
      <formula>kvartal &lt; 4</formula>
    </cfRule>
  </conditionalFormatting>
  <conditionalFormatting sqref="A69:A74">
    <cfRule type="expression" dxfId="306" priority="10">
      <formula>kvartal &lt; 4</formula>
    </cfRule>
  </conditionalFormatting>
  <conditionalFormatting sqref="A80:A85">
    <cfRule type="expression" dxfId="305" priority="9">
      <formula>kvartal &lt; 4</formula>
    </cfRule>
  </conditionalFormatting>
  <conditionalFormatting sqref="A90:A95">
    <cfRule type="expression" dxfId="304" priority="6">
      <formula>kvartal &lt; 4</formula>
    </cfRule>
  </conditionalFormatting>
  <conditionalFormatting sqref="A101:A106">
    <cfRule type="expression" dxfId="303" priority="5">
      <formula>kvartal &lt; 4</formula>
    </cfRule>
  </conditionalFormatting>
  <conditionalFormatting sqref="A115">
    <cfRule type="expression" dxfId="302" priority="4">
      <formula>kvartal &lt; 4</formula>
    </cfRule>
  </conditionalFormatting>
  <conditionalFormatting sqref="A123">
    <cfRule type="expression" dxfId="301" priority="3">
      <formula>kvartal &lt; 4</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23"/>
  <dimension ref="A1:N144"/>
  <sheetViews>
    <sheetView showGridLines="0" zoomScaleNormal="100" workbookViewId="0">
      <selection activeCell="A3" sqref="A3"/>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135</v>
      </c>
      <c r="B1" s="709"/>
      <c r="C1" s="248" t="s">
        <v>414</v>
      </c>
      <c r="D1" s="26"/>
      <c r="E1" s="26"/>
      <c r="F1" s="26"/>
      <c r="G1" s="26"/>
      <c r="H1" s="26"/>
      <c r="I1" s="26"/>
      <c r="J1" s="26"/>
      <c r="K1" s="26"/>
      <c r="L1" s="26"/>
      <c r="M1" s="26"/>
    </row>
    <row r="2" spans="1:14" ht="15.75" x14ac:dyDescent="0.25">
      <c r="A2" s="165" t="s">
        <v>28</v>
      </c>
      <c r="B2" s="732"/>
      <c r="C2" s="732"/>
      <c r="D2" s="732"/>
      <c r="E2" s="299"/>
      <c r="F2" s="732"/>
      <c r="G2" s="732"/>
      <c r="H2" s="732"/>
      <c r="I2" s="299"/>
      <c r="J2" s="732"/>
      <c r="K2" s="732"/>
      <c r="L2" s="732"/>
      <c r="M2" s="299"/>
    </row>
    <row r="3" spans="1:14" ht="15.75" x14ac:dyDescent="0.25">
      <c r="A3" s="163"/>
      <c r="B3" s="299"/>
      <c r="C3" s="299"/>
      <c r="D3" s="299"/>
      <c r="E3" s="299"/>
      <c r="F3" s="299"/>
      <c r="G3" s="299"/>
      <c r="H3" s="299"/>
      <c r="I3" s="299"/>
      <c r="J3" s="299"/>
      <c r="K3" s="299"/>
      <c r="L3" s="299"/>
      <c r="M3" s="299"/>
    </row>
    <row r="4" spans="1:14" x14ac:dyDescent="0.2">
      <c r="A4" s="144"/>
      <c r="B4" s="733" t="s">
        <v>0</v>
      </c>
      <c r="C4" s="734"/>
      <c r="D4" s="734"/>
      <c r="E4" s="301"/>
      <c r="F4" s="733" t="s">
        <v>1</v>
      </c>
      <c r="G4" s="734"/>
      <c r="H4" s="734"/>
      <c r="I4" s="304"/>
      <c r="J4" s="733" t="s">
        <v>2</v>
      </c>
      <c r="K4" s="734"/>
      <c r="L4" s="734"/>
      <c r="M4" s="304"/>
    </row>
    <row r="5" spans="1:14" x14ac:dyDescent="0.2">
      <c r="A5" s="158"/>
      <c r="B5" s="152" t="s">
        <v>421</v>
      </c>
      <c r="C5" s="152" t="s">
        <v>422</v>
      </c>
      <c r="D5" s="245" t="s">
        <v>3</v>
      </c>
      <c r="E5" s="305" t="s">
        <v>29</v>
      </c>
      <c r="F5" s="152" t="s">
        <v>421</v>
      </c>
      <c r="G5" s="152" t="s">
        <v>422</v>
      </c>
      <c r="H5" s="245" t="s">
        <v>3</v>
      </c>
      <c r="I5" s="162" t="s">
        <v>29</v>
      </c>
      <c r="J5" s="152" t="s">
        <v>421</v>
      </c>
      <c r="K5" s="152" t="s">
        <v>422</v>
      </c>
      <c r="L5" s="245" t="s">
        <v>3</v>
      </c>
      <c r="M5" s="162" t="s">
        <v>29</v>
      </c>
    </row>
    <row r="6" spans="1:14" x14ac:dyDescent="0.2">
      <c r="A6" s="707"/>
      <c r="B6" s="156"/>
      <c r="C6" s="156"/>
      <c r="D6" s="246" t="s">
        <v>4</v>
      </c>
      <c r="E6" s="156" t="s">
        <v>30</v>
      </c>
      <c r="F6" s="161"/>
      <c r="G6" s="161"/>
      <c r="H6" s="245" t="s">
        <v>4</v>
      </c>
      <c r="I6" s="156" t="s">
        <v>30</v>
      </c>
      <c r="J6" s="161"/>
      <c r="K6" s="161"/>
      <c r="L6" s="245" t="s">
        <v>4</v>
      </c>
      <c r="M6" s="156" t="s">
        <v>30</v>
      </c>
    </row>
    <row r="7" spans="1:14" ht="15.75" x14ac:dyDescent="0.2">
      <c r="A7" s="14" t="s">
        <v>23</v>
      </c>
      <c r="B7" s="306"/>
      <c r="C7" s="307"/>
      <c r="D7" s="350"/>
      <c r="E7" s="11"/>
      <c r="F7" s="306"/>
      <c r="G7" s="307"/>
      <c r="H7" s="350"/>
      <c r="I7" s="160"/>
      <c r="J7" s="308"/>
      <c r="K7" s="309"/>
      <c r="L7" s="427"/>
      <c r="M7" s="11"/>
    </row>
    <row r="8" spans="1:14" ht="15.75" x14ac:dyDescent="0.2">
      <c r="A8" s="21" t="s">
        <v>25</v>
      </c>
      <c r="B8" s="281"/>
      <c r="C8" s="282"/>
      <c r="D8" s="166"/>
      <c r="E8" s="27"/>
      <c r="F8" s="285"/>
      <c r="G8" s="286"/>
      <c r="H8" s="166"/>
      <c r="I8" s="175"/>
      <c r="J8" s="234"/>
      <c r="K8" s="287"/>
      <c r="L8" s="166"/>
      <c r="M8" s="27"/>
    </row>
    <row r="9" spans="1:14" ht="15.75" x14ac:dyDescent="0.2">
      <c r="A9" s="21" t="s">
        <v>24</v>
      </c>
      <c r="B9" s="281"/>
      <c r="C9" s="282"/>
      <c r="D9" s="166"/>
      <c r="E9" s="27"/>
      <c r="F9" s="285"/>
      <c r="G9" s="286"/>
      <c r="H9" s="166"/>
      <c r="I9" s="175"/>
      <c r="J9" s="234"/>
      <c r="K9" s="287"/>
      <c r="L9" s="166"/>
      <c r="M9" s="27"/>
    </row>
    <row r="10" spans="1:14" ht="15.75" x14ac:dyDescent="0.2">
      <c r="A10" s="13" t="s">
        <v>365</v>
      </c>
      <c r="B10" s="310"/>
      <c r="C10" s="311"/>
      <c r="D10" s="171"/>
      <c r="E10" s="11"/>
      <c r="F10" s="310"/>
      <c r="G10" s="311"/>
      <c r="H10" s="171"/>
      <c r="I10" s="160"/>
      <c r="J10" s="308"/>
      <c r="K10" s="309"/>
      <c r="L10" s="428"/>
      <c r="M10" s="11"/>
    </row>
    <row r="11" spans="1:14" s="43" customFormat="1" ht="15.75" x14ac:dyDescent="0.2">
      <c r="A11" s="13" t="s">
        <v>366</v>
      </c>
      <c r="B11" s="310"/>
      <c r="C11" s="311"/>
      <c r="D11" s="171"/>
      <c r="E11" s="11"/>
      <c r="F11" s="310"/>
      <c r="G11" s="311"/>
      <c r="H11" s="171"/>
      <c r="I11" s="160"/>
      <c r="J11" s="308"/>
      <c r="K11" s="309"/>
      <c r="L11" s="428"/>
      <c r="M11" s="11"/>
      <c r="N11" s="143"/>
    </row>
    <row r="12" spans="1:14" s="43" customFormat="1" ht="15.75" x14ac:dyDescent="0.2">
      <c r="A12" s="41" t="s">
        <v>367</v>
      </c>
      <c r="B12" s="312"/>
      <c r="C12" s="313"/>
      <c r="D12" s="169"/>
      <c r="E12" s="36"/>
      <c r="F12" s="312"/>
      <c r="G12" s="313"/>
      <c r="H12" s="169"/>
      <c r="I12" s="169"/>
      <c r="J12" s="314"/>
      <c r="K12" s="315"/>
      <c r="L12" s="429"/>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275</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272</v>
      </c>
      <c r="B17" s="157"/>
      <c r="C17" s="157"/>
      <c r="D17" s="151"/>
      <c r="E17" s="151"/>
      <c r="F17" s="157"/>
      <c r="G17" s="157"/>
      <c r="H17" s="157"/>
      <c r="I17" s="157"/>
      <c r="J17" s="157"/>
      <c r="K17" s="157"/>
      <c r="L17" s="157"/>
      <c r="M17" s="157"/>
    </row>
    <row r="18" spans="1:14" ht="15.75" x14ac:dyDescent="0.25">
      <c r="B18" s="735"/>
      <c r="C18" s="735"/>
      <c r="D18" s="735"/>
      <c r="E18" s="299"/>
      <c r="F18" s="735"/>
      <c r="G18" s="735"/>
      <c r="H18" s="735"/>
      <c r="I18" s="299"/>
      <c r="J18" s="735"/>
      <c r="K18" s="735"/>
      <c r="L18" s="735"/>
      <c r="M18" s="299"/>
    </row>
    <row r="19" spans="1:14" x14ac:dyDescent="0.2">
      <c r="A19" s="144"/>
      <c r="B19" s="733" t="s">
        <v>0</v>
      </c>
      <c r="C19" s="734"/>
      <c r="D19" s="734"/>
      <c r="E19" s="301"/>
      <c r="F19" s="733" t="s">
        <v>1</v>
      </c>
      <c r="G19" s="734"/>
      <c r="H19" s="734"/>
      <c r="I19" s="304"/>
      <c r="J19" s="733" t="s">
        <v>2</v>
      </c>
      <c r="K19" s="734"/>
      <c r="L19" s="734"/>
      <c r="M19" s="304"/>
    </row>
    <row r="20" spans="1:14" x14ac:dyDescent="0.2">
      <c r="A20" s="140" t="s">
        <v>5</v>
      </c>
      <c r="B20" s="152" t="s">
        <v>421</v>
      </c>
      <c r="C20" s="152" t="s">
        <v>422</v>
      </c>
      <c r="D20" s="162" t="s">
        <v>3</v>
      </c>
      <c r="E20" s="305" t="s">
        <v>29</v>
      </c>
      <c r="F20" s="152" t="s">
        <v>421</v>
      </c>
      <c r="G20" s="152" t="s">
        <v>422</v>
      </c>
      <c r="H20" s="162" t="s">
        <v>3</v>
      </c>
      <c r="I20" s="162" t="s">
        <v>29</v>
      </c>
      <c r="J20" s="152" t="s">
        <v>421</v>
      </c>
      <c r="K20" s="152" t="s">
        <v>422</v>
      </c>
      <c r="L20" s="162" t="s">
        <v>3</v>
      </c>
      <c r="M20" s="162" t="s">
        <v>29</v>
      </c>
    </row>
    <row r="21" spans="1:14" x14ac:dyDescent="0.2">
      <c r="A21" s="708"/>
      <c r="B21" s="156"/>
      <c r="C21" s="156"/>
      <c r="D21" s="246" t="s">
        <v>4</v>
      </c>
      <c r="E21" s="156" t="s">
        <v>30</v>
      </c>
      <c r="F21" s="161"/>
      <c r="G21" s="161"/>
      <c r="H21" s="245" t="s">
        <v>4</v>
      </c>
      <c r="I21" s="156" t="s">
        <v>30</v>
      </c>
      <c r="J21" s="161"/>
      <c r="K21" s="161"/>
      <c r="L21" s="156" t="s">
        <v>4</v>
      </c>
      <c r="M21" s="156" t="s">
        <v>30</v>
      </c>
    </row>
    <row r="22" spans="1:14" ht="15.75" x14ac:dyDescent="0.2">
      <c r="A22" s="14" t="s">
        <v>23</v>
      </c>
      <c r="B22" s="310"/>
      <c r="C22" s="310"/>
      <c r="D22" s="350"/>
      <c r="E22" s="11"/>
      <c r="F22" s="318"/>
      <c r="G22" s="318"/>
      <c r="H22" s="350"/>
      <c r="I22" s="11"/>
      <c r="J22" s="316"/>
      <c r="K22" s="316"/>
      <c r="L22" s="427"/>
      <c r="M22" s="24"/>
    </row>
    <row r="23" spans="1:14" ht="15.75" x14ac:dyDescent="0.2">
      <c r="A23" s="584" t="s">
        <v>368</v>
      </c>
      <c r="B23" s="281"/>
      <c r="C23" s="281"/>
      <c r="D23" s="166"/>
      <c r="E23" s="11"/>
      <c r="F23" s="290"/>
      <c r="G23" s="290"/>
      <c r="H23" s="166"/>
      <c r="I23" s="417"/>
      <c r="J23" s="290"/>
      <c r="K23" s="290"/>
      <c r="L23" s="166"/>
      <c r="M23" s="23"/>
    </row>
    <row r="24" spans="1:14" ht="15.75" x14ac:dyDescent="0.2">
      <c r="A24" s="584" t="s">
        <v>369</v>
      </c>
      <c r="B24" s="281"/>
      <c r="C24" s="281"/>
      <c r="D24" s="166"/>
      <c r="E24" s="11"/>
      <c r="F24" s="290"/>
      <c r="G24" s="290"/>
      <c r="H24" s="166"/>
      <c r="I24" s="417"/>
      <c r="J24" s="290"/>
      <c r="K24" s="290"/>
      <c r="L24" s="166"/>
      <c r="M24" s="23"/>
    </row>
    <row r="25" spans="1:14" ht="15.75" x14ac:dyDescent="0.2">
      <c r="A25" s="584" t="s">
        <v>370</v>
      </c>
      <c r="B25" s="281"/>
      <c r="C25" s="281"/>
      <c r="D25" s="166"/>
      <c r="E25" s="11"/>
      <c r="F25" s="290"/>
      <c r="G25" s="290"/>
      <c r="H25" s="166"/>
      <c r="I25" s="417"/>
      <c r="J25" s="290"/>
      <c r="K25" s="290"/>
      <c r="L25" s="166"/>
      <c r="M25" s="23"/>
    </row>
    <row r="26" spans="1:14" ht="15.75" x14ac:dyDescent="0.2">
      <c r="A26" s="584" t="s">
        <v>371</v>
      </c>
      <c r="B26" s="281"/>
      <c r="C26" s="281"/>
      <c r="D26" s="166"/>
      <c r="E26" s="11"/>
      <c r="F26" s="290"/>
      <c r="G26" s="290"/>
      <c r="H26" s="166"/>
      <c r="I26" s="417"/>
      <c r="J26" s="290"/>
      <c r="K26" s="290"/>
      <c r="L26" s="166"/>
      <c r="M26" s="23"/>
    </row>
    <row r="27" spans="1:14" x14ac:dyDescent="0.2">
      <c r="A27" s="584" t="s">
        <v>11</v>
      </c>
      <c r="B27" s="281"/>
      <c r="C27" s="281"/>
      <c r="D27" s="166"/>
      <c r="E27" s="11"/>
      <c r="F27" s="290"/>
      <c r="G27" s="290"/>
      <c r="H27" s="166"/>
      <c r="I27" s="417"/>
      <c r="J27" s="290"/>
      <c r="K27" s="290"/>
      <c r="L27" s="166"/>
      <c r="M27" s="23"/>
    </row>
    <row r="28" spans="1:14" ht="15.75" x14ac:dyDescent="0.2">
      <c r="A28" s="49" t="s">
        <v>276</v>
      </c>
      <c r="B28" s="44"/>
      <c r="C28" s="287"/>
      <c r="D28" s="166"/>
      <c r="E28" s="11"/>
      <c r="F28" s="234"/>
      <c r="G28" s="287"/>
      <c r="H28" s="166"/>
      <c r="I28" s="27"/>
      <c r="J28" s="44"/>
      <c r="K28" s="44"/>
      <c r="L28" s="254"/>
      <c r="M28" s="23"/>
    </row>
    <row r="29" spans="1:14" s="3" customFormat="1" ht="15.75" x14ac:dyDescent="0.2">
      <c r="A29" s="13" t="s">
        <v>365</v>
      </c>
      <c r="B29" s="236"/>
      <c r="C29" s="236"/>
      <c r="D29" s="171"/>
      <c r="E29" s="11"/>
      <c r="F29" s="308"/>
      <c r="G29" s="308"/>
      <c r="H29" s="171"/>
      <c r="I29" s="11"/>
      <c r="J29" s="236"/>
      <c r="K29" s="236"/>
      <c r="L29" s="428"/>
      <c r="M29" s="24"/>
      <c r="N29" s="148"/>
    </row>
    <row r="30" spans="1:14" s="3" customFormat="1" ht="15.75" x14ac:dyDescent="0.2">
      <c r="A30" s="584" t="s">
        <v>368</v>
      </c>
      <c r="B30" s="281"/>
      <c r="C30" s="281"/>
      <c r="D30" s="166"/>
      <c r="E30" s="11"/>
      <c r="F30" s="290"/>
      <c r="G30" s="290"/>
      <c r="H30" s="166"/>
      <c r="I30" s="417"/>
      <c r="J30" s="290"/>
      <c r="K30" s="290"/>
      <c r="L30" s="166"/>
      <c r="M30" s="23"/>
      <c r="N30" s="148"/>
    </row>
    <row r="31" spans="1:14" s="3" customFormat="1" ht="15.75" x14ac:dyDescent="0.2">
      <c r="A31" s="584" t="s">
        <v>369</v>
      </c>
      <c r="B31" s="281"/>
      <c r="C31" s="281"/>
      <c r="D31" s="166"/>
      <c r="E31" s="11"/>
      <c r="F31" s="290"/>
      <c r="G31" s="290"/>
      <c r="H31" s="166"/>
      <c r="I31" s="417"/>
      <c r="J31" s="290"/>
      <c r="K31" s="290"/>
      <c r="L31" s="166"/>
      <c r="M31" s="23"/>
      <c r="N31" s="148"/>
    </row>
    <row r="32" spans="1:14" ht="15.75" x14ac:dyDescent="0.2">
      <c r="A32" s="584" t="s">
        <v>370</v>
      </c>
      <c r="B32" s="281"/>
      <c r="C32" s="281"/>
      <c r="D32" s="166"/>
      <c r="E32" s="11"/>
      <c r="F32" s="290"/>
      <c r="G32" s="290"/>
      <c r="H32" s="166"/>
      <c r="I32" s="417"/>
      <c r="J32" s="290"/>
      <c r="K32" s="290"/>
      <c r="L32" s="166"/>
      <c r="M32" s="23"/>
    </row>
    <row r="33" spans="1:14" ht="15.75" x14ac:dyDescent="0.2">
      <c r="A33" s="584" t="s">
        <v>371</v>
      </c>
      <c r="B33" s="281"/>
      <c r="C33" s="281"/>
      <c r="D33" s="166"/>
      <c r="E33" s="11"/>
      <c r="F33" s="290"/>
      <c r="G33" s="290"/>
      <c r="H33" s="166"/>
      <c r="I33" s="417"/>
      <c r="J33" s="290"/>
      <c r="K33" s="290"/>
      <c r="L33" s="166"/>
      <c r="M33" s="23"/>
    </row>
    <row r="34" spans="1:14" ht="15.75" x14ac:dyDescent="0.2">
      <c r="A34" s="13" t="s">
        <v>366</v>
      </c>
      <c r="B34" s="236"/>
      <c r="C34" s="309"/>
      <c r="D34" s="171"/>
      <c r="E34" s="11"/>
      <c r="F34" s="308"/>
      <c r="G34" s="309"/>
      <c r="H34" s="171"/>
      <c r="I34" s="11"/>
      <c r="J34" s="236"/>
      <c r="K34" s="236"/>
      <c r="L34" s="428"/>
      <c r="M34" s="24"/>
    </row>
    <row r="35" spans="1:14" ht="15.75" x14ac:dyDescent="0.2">
      <c r="A35" s="13" t="s">
        <v>367</v>
      </c>
      <c r="B35" s="236"/>
      <c r="C35" s="309"/>
      <c r="D35" s="171"/>
      <c r="E35" s="11"/>
      <c r="F35" s="308"/>
      <c r="G35" s="309"/>
      <c r="H35" s="171"/>
      <c r="I35" s="11"/>
      <c r="J35" s="236"/>
      <c r="K35" s="236"/>
      <c r="L35" s="428"/>
      <c r="M35" s="24"/>
    </row>
    <row r="36" spans="1:14" ht="15.75" x14ac:dyDescent="0.2">
      <c r="A36" s="12" t="s">
        <v>284</v>
      </c>
      <c r="B36" s="236"/>
      <c r="C36" s="309"/>
      <c r="D36" s="171"/>
      <c r="E36" s="11"/>
      <c r="F36" s="319"/>
      <c r="G36" s="320"/>
      <c r="H36" s="171"/>
      <c r="I36" s="434"/>
      <c r="J36" s="236"/>
      <c r="K36" s="236"/>
      <c r="L36" s="428"/>
      <c r="M36" s="24"/>
    </row>
    <row r="37" spans="1:14" ht="15.75" x14ac:dyDescent="0.2">
      <c r="A37" s="12" t="s">
        <v>373</v>
      </c>
      <c r="B37" s="236"/>
      <c r="C37" s="309"/>
      <c r="D37" s="171"/>
      <c r="E37" s="11"/>
      <c r="F37" s="319"/>
      <c r="G37" s="321"/>
      <c r="H37" s="171"/>
      <c r="I37" s="434"/>
      <c r="J37" s="236"/>
      <c r="K37" s="236"/>
      <c r="L37" s="428"/>
      <c r="M37" s="24"/>
    </row>
    <row r="38" spans="1:14" ht="15.75" x14ac:dyDescent="0.2">
      <c r="A38" s="12" t="s">
        <v>374</v>
      </c>
      <c r="B38" s="236"/>
      <c r="C38" s="309"/>
      <c r="D38" s="171"/>
      <c r="E38" s="24"/>
      <c r="F38" s="319"/>
      <c r="G38" s="320"/>
      <c r="H38" s="171"/>
      <c r="I38" s="434"/>
      <c r="J38" s="236"/>
      <c r="K38" s="236"/>
      <c r="L38" s="428"/>
      <c r="M38" s="24"/>
    </row>
    <row r="39" spans="1:14" ht="15.75" x14ac:dyDescent="0.2">
      <c r="A39" s="18" t="s">
        <v>375</v>
      </c>
      <c r="B39" s="276"/>
      <c r="C39" s="315"/>
      <c r="D39" s="169"/>
      <c r="E39" s="36"/>
      <c r="F39" s="322"/>
      <c r="G39" s="323"/>
      <c r="H39" s="169"/>
      <c r="I39" s="36"/>
      <c r="J39" s="236"/>
      <c r="K39" s="236"/>
      <c r="L39" s="429"/>
      <c r="M39" s="36"/>
    </row>
    <row r="40" spans="1:14" ht="15.75" x14ac:dyDescent="0.25">
      <c r="A40" s="47"/>
      <c r="B40" s="253"/>
      <c r="C40" s="253"/>
      <c r="D40" s="736"/>
      <c r="E40" s="736"/>
      <c r="F40" s="736"/>
      <c r="G40" s="736"/>
      <c r="H40" s="736"/>
      <c r="I40" s="736"/>
      <c r="J40" s="736"/>
      <c r="K40" s="736"/>
      <c r="L40" s="736"/>
      <c r="M40" s="302"/>
    </row>
    <row r="41" spans="1:14" x14ac:dyDescent="0.2">
      <c r="A41" s="155"/>
    </row>
    <row r="42" spans="1:14" ht="15.75" x14ac:dyDescent="0.25">
      <c r="A42" s="147" t="s">
        <v>273</v>
      </c>
      <c r="B42" s="732"/>
      <c r="C42" s="732"/>
      <c r="D42" s="732"/>
      <c r="E42" s="299"/>
      <c r="F42" s="737"/>
      <c r="G42" s="737"/>
      <c r="H42" s="737"/>
      <c r="I42" s="302"/>
      <c r="J42" s="737"/>
      <c r="K42" s="737"/>
      <c r="L42" s="737"/>
      <c r="M42" s="302"/>
    </row>
    <row r="43" spans="1:14" ht="15.75" x14ac:dyDescent="0.25">
      <c r="A43" s="163"/>
      <c r="B43" s="303"/>
      <c r="C43" s="303"/>
      <c r="D43" s="303"/>
      <c r="E43" s="303"/>
      <c r="F43" s="302"/>
      <c r="G43" s="302"/>
      <c r="H43" s="302"/>
      <c r="I43" s="302"/>
      <c r="J43" s="302"/>
      <c r="K43" s="302"/>
      <c r="L43" s="302"/>
      <c r="M43" s="302"/>
    </row>
    <row r="44" spans="1:14" ht="15.75" x14ac:dyDescent="0.25">
      <c r="A44" s="247"/>
      <c r="B44" s="733" t="s">
        <v>0</v>
      </c>
      <c r="C44" s="734"/>
      <c r="D44" s="734"/>
      <c r="E44" s="243"/>
      <c r="F44" s="302"/>
      <c r="G44" s="302"/>
      <c r="H44" s="302"/>
      <c r="I44" s="302"/>
      <c r="J44" s="302"/>
      <c r="K44" s="302"/>
      <c r="L44" s="302"/>
      <c r="M44" s="302"/>
    </row>
    <row r="45" spans="1:14" s="3" customFormat="1" x14ac:dyDescent="0.2">
      <c r="A45" s="140"/>
      <c r="B45" s="152" t="s">
        <v>421</v>
      </c>
      <c r="C45" s="152" t="s">
        <v>422</v>
      </c>
      <c r="D45" s="162" t="s">
        <v>3</v>
      </c>
      <c r="E45" s="162" t="s">
        <v>29</v>
      </c>
      <c r="F45" s="174"/>
      <c r="G45" s="174"/>
      <c r="H45" s="173"/>
      <c r="I45" s="173"/>
      <c r="J45" s="174"/>
      <c r="K45" s="174"/>
      <c r="L45" s="173"/>
      <c r="M45" s="173"/>
      <c r="N45" s="148"/>
    </row>
    <row r="46" spans="1:14" s="3" customFormat="1" x14ac:dyDescent="0.2">
      <c r="A46" s="708"/>
      <c r="B46" s="244"/>
      <c r="C46" s="244"/>
      <c r="D46" s="245" t="s">
        <v>4</v>
      </c>
      <c r="E46" s="156" t="s">
        <v>30</v>
      </c>
      <c r="F46" s="173"/>
      <c r="G46" s="173"/>
      <c r="H46" s="173"/>
      <c r="I46" s="173"/>
      <c r="J46" s="173"/>
      <c r="K46" s="173"/>
      <c r="L46" s="173"/>
      <c r="M46" s="173"/>
      <c r="N46" s="148"/>
    </row>
    <row r="47" spans="1:14" s="3" customFormat="1" ht="15.75" x14ac:dyDescent="0.2">
      <c r="A47" s="14" t="s">
        <v>23</v>
      </c>
      <c r="B47" s="310">
        <v>28648</v>
      </c>
      <c r="C47" s="311">
        <v>38656</v>
      </c>
      <c r="D47" s="427">
        <f t="shared" ref="D47:D57" si="0">IF(B47=0, "    ---- ", IF(ABS(ROUND(100/B47*C47-100,1))&lt;999,ROUND(100/B47*C47-100,1),IF(ROUND(100/B47*C47-100,1)&gt;999,999,-999)))</f>
        <v>34.9</v>
      </c>
      <c r="E47" s="11">
        <f>IFERROR(100/'Skjema total MA'!C47*C47,0)</f>
        <v>0.91470009480462278</v>
      </c>
      <c r="F47" s="145"/>
      <c r="G47" s="33"/>
      <c r="H47" s="159"/>
      <c r="I47" s="159"/>
      <c r="J47" s="37"/>
      <c r="K47" s="37"/>
      <c r="L47" s="159"/>
      <c r="M47" s="159"/>
      <c r="N47" s="148"/>
    </row>
    <row r="48" spans="1:14" s="3" customFormat="1" ht="15.75" x14ac:dyDescent="0.2">
      <c r="A48" s="38" t="s">
        <v>376</v>
      </c>
      <c r="B48" s="281">
        <v>28648</v>
      </c>
      <c r="C48" s="282">
        <v>38656</v>
      </c>
      <c r="D48" s="254">
        <f t="shared" si="0"/>
        <v>34.9</v>
      </c>
      <c r="E48" s="27">
        <f>IFERROR(100/'Skjema total MA'!C48*C48,0)</f>
        <v>1.6249700301260177</v>
      </c>
      <c r="F48" s="145"/>
      <c r="G48" s="33"/>
      <c r="H48" s="145"/>
      <c r="I48" s="145"/>
      <c r="J48" s="33"/>
      <c r="K48" s="33"/>
      <c r="L48" s="159"/>
      <c r="M48" s="159"/>
      <c r="N48" s="148"/>
    </row>
    <row r="49" spans="1:14" s="3" customFormat="1" ht="15.75" x14ac:dyDescent="0.2">
      <c r="A49" s="38" t="s">
        <v>377</v>
      </c>
      <c r="B49" s="44"/>
      <c r="C49" s="287"/>
      <c r="D49" s="254"/>
      <c r="E49" s="27"/>
      <c r="F49" s="145"/>
      <c r="G49" s="33"/>
      <c r="H49" s="145"/>
      <c r="I49" s="145"/>
      <c r="J49" s="37"/>
      <c r="K49" s="37"/>
      <c r="L49" s="159"/>
      <c r="M49" s="159"/>
      <c r="N49" s="148"/>
    </row>
    <row r="50" spans="1:14" s="3" customFormat="1" x14ac:dyDescent="0.2">
      <c r="A50" s="296" t="s">
        <v>6</v>
      </c>
      <c r="B50" s="290"/>
      <c r="C50" s="291"/>
      <c r="D50" s="254"/>
      <c r="E50" s="23"/>
      <c r="F50" s="145"/>
      <c r="G50" s="33"/>
      <c r="H50" s="145"/>
      <c r="I50" s="145"/>
      <c r="J50" s="33"/>
      <c r="K50" s="33"/>
      <c r="L50" s="159"/>
      <c r="M50" s="159"/>
      <c r="N50" s="148"/>
    </row>
    <row r="51" spans="1:14" s="3" customFormat="1" x14ac:dyDescent="0.2">
      <c r="A51" s="296" t="s">
        <v>7</v>
      </c>
      <c r="B51" s="290"/>
      <c r="C51" s="291"/>
      <c r="D51" s="254"/>
      <c r="E51" s="23"/>
      <c r="F51" s="145"/>
      <c r="G51" s="33"/>
      <c r="H51" s="145"/>
      <c r="I51" s="145"/>
      <c r="J51" s="33"/>
      <c r="K51" s="33"/>
      <c r="L51" s="159"/>
      <c r="M51" s="159"/>
      <c r="N51" s="148"/>
    </row>
    <row r="52" spans="1:14" s="3" customFormat="1" x14ac:dyDescent="0.2">
      <c r="A52" s="296" t="s">
        <v>8</v>
      </c>
      <c r="B52" s="290"/>
      <c r="C52" s="291"/>
      <c r="D52" s="254"/>
      <c r="E52" s="23"/>
      <c r="F52" s="145"/>
      <c r="G52" s="33"/>
      <c r="H52" s="145"/>
      <c r="I52" s="145"/>
      <c r="J52" s="33"/>
      <c r="K52" s="33"/>
      <c r="L52" s="159"/>
      <c r="M52" s="159"/>
      <c r="N52" s="148"/>
    </row>
    <row r="53" spans="1:14" s="3" customFormat="1" ht="15.75" x14ac:dyDescent="0.2">
      <c r="A53" s="39" t="s">
        <v>378</v>
      </c>
      <c r="B53" s="310">
        <v>1453</v>
      </c>
      <c r="C53" s="311">
        <v>8666</v>
      </c>
      <c r="D53" s="428">
        <f t="shared" si="0"/>
        <v>496.4</v>
      </c>
      <c r="E53" s="11">
        <f>IFERROR(100/'Skjema total MA'!C53*C53,0)</f>
        <v>5.5743285510277154</v>
      </c>
      <c r="F53" s="145"/>
      <c r="G53" s="33"/>
      <c r="H53" s="145"/>
      <c r="I53" s="145"/>
      <c r="J53" s="33"/>
      <c r="K53" s="33"/>
      <c r="L53" s="159"/>
      <c r="M53" s="159"/>
      <c r="N53" s="148"/>
    </row>
    <row r="54" spans="1:14" s="3" customFormat="1" ht="15.75" x14ac:dyDescent="0.2">
      <c r="A54" s="38" t="s">
        <v>376</v>
      </c>
      <c r="B54" s="281">
        <v>1453</v>
      </c>
      <c r="C54" s="282">
        <v>8666</v>
      </c>
      <c r="D54" s="254">
        <f t="shared" si="0"/>
        <v>496.4</v>
      </c>
      <c r="E54" s="27">
        <f>IFERROR(100/'Skjema total MA'!C54*C54,0)</f>
        <v>5.5743285510277154</v>
      </c>
      <c r="F54" s="145"/>
      <c r="G54" s="33"/>
      <c r="H54" s="145"/>
      <c r="I54" s="145"/>
      <c r="J54" s="33"/>
      <c r="K54" s="33"/>
      <c r="L54" s="159"/>
      <c r="M54" s="159"/>
      <c r="N54" s="148"/>
    </row>
    <row r="55" spans="1:14" s="3" customFormat="1" ht="15.75" x14ac:dyDescent="0.2">
      <c r="A55" s="38" t="s">
        <v>377</v>
      </c>
      <c r="B55" s="281"/>
      <c r="C55" s="282"/>
      <c r="D55" s="254"/>
      <c r="E55" s="27"/>
      <c r="F55" s="145"/>
      <c r="G55" s="33"/>
      <c r="H55" s="145"/>
      <c r="I55" s="145"/>
      <c r="J55" s="33"/>
      <c r="K55" s="33"/>
      <c r="L55" s="159"/>
      <c r="M55" s="159"/>
      <c r="N55" s="148"/>
    </row>
    <row r="56" spans="1:14" s="3" customFormat="1" ht="15.75" x14ac:dyDescent="0.2">
      <c r="A56" s="39" t="s">
        <v>379</v>
      </c>
      <c r="B56" s="310">
        <v>678</v>
      </c>
      <c r="C56" s="311">
        <v>265</v>
      </c>
      <c r="D56" s="428">
        <f t="shared" si="0"/>
        <v>-60.9</v>
      </c>
      <c r="E56" s="11">
        <f>IFERROR(100/'Skjema total MA'!C56*C56,0)</f>
        <v>0.22321718498062029</v>
      </c>
      <c r="F56" s="145"/>
      <c r="G56" s="33"/>
      <c r="H56" s="145"/>
      <c r="I56" s="145"/>
      <c r="J56" s="33"/>
      <c r="K56" s="33"/>
      <c r="L56" s="159"/>
      <c r="M56" s="159"/>
      <c r="N56" s="148"/>
    </row>
    <row r="57" spans="1:14" s="3" customFormat="1" ht="15.75" x14ac:dyDescent="0.2">
      <c r="A57" s="38" t="s">
        <v>376</v>
      </c>
      <c r="B57" s="281">
        <v>678</v>
      </c>
      <c r="C57" s="282">
        <v>265</v>
      </c>
      <c r="D57" s="254">
        <f t="shared" si="0"/>
        <v>-60.9</v>
      </c>
      <c r="E57" s="27">
        <f>IFERROR(100/'Skjema total MA'!C57*C57,0)</f>
        <v>0.22321718498062029</v>
      </c>
      <c r="F57" s="145"/>
      <c r="G57" s="33"/>
      <c r="H57" s="145"/>
      <c r="I57" s="145"/>
      <c r="J57" s="33"/>
      <c r="K57" s="33"/>
      <c r="L57" s="159"/>
      <c r="M57" s="159"/>
      <c r="N57" s="148"/>
    </row>
    <row r="58" spans="1:14" s="3" customFormat="1" ht="15.75" x14ac:dyDescent="0.2">
      <c r="A58" s="46" t="s">
        <v>377</v>
      </c>
      <c r="B58" s="283"/>
      <c r="C58" s="284"/>
      <c r="D58" s="255"/>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274</v>
      </c>
      <c r="C61" s="26"/>
      <c r="D61" s="26"/>
      <c r="E61" s="26"/>
      <c r="F61" s="26"/>
      <c r="G61" s="26"/>
      <c r="H61" s="26"/>
      <c r="I61" s="26"/>
      <c r="J61" s="26"/>
      <c r="K61" s="26"/>
      <c r="L61" s="26"/>
      <c r="M61" s="26"/>
    </row>
    <row r="62" spans="1:14" ht="15.75" x14ac:dyDescent="0.25">
      <c r="B62" s="735"/>
      <c r="C62" s="735"/>
      <c r="D62" s="735"/>
      <c r="E62" s="299"/>
      <c r="F62" s="735"/>
      <c r="G62" s="735"/>
      <c r="H62" s="735"/>
      <c r="I62" s="299"/>
      <c r="J62" s="735"/>
      <c r="K62" s="735"/>
      <c r="L62" s="735"/>
      <c r="M62" s="299"/>
    </row>
    <row r="63" spans="1:14" x14ac:dyDescent="0.2">
      <c r="A63" s="144"/>
      <c r="B63" s="733" t="s">
        <v>0</v>
      </c>
      <c r="C63" s="734"/>
      <c r="D63" s="738"/>
      <c r="E63" s="300"/>
      <c r="F63" s="734" t="s">
        <v>1</v>
      </c>
      <c r="G63" s="734"/>
      <c r="H63" s="734"/>
      <c r="I63" s="304"/>
      <c r="J63" s="733" t="s">
        <v>2</v>
      </c>
      <c r="K63" s="734"/>
      <c r="L63" s="734"/>
      <c r="M63" s="304"/>
    </row>
    <row r="64" spans="1:14" x14ac:dyDescent="0.2">
      <c r="A64" s="140"/>
      <c r="B64" s="152" t="s">
        <v>421</v>
      </c>
      <c r="C64" s="152" t="s">
        <v>422</v>
      </c>
      <c r="D64" s="245" t="s">
        <v>3</v>
      </c>
      <c r="E64" s="305" t="s">
        <v>29</v>
      </c>
      <c r="F64" s="152" t="s">
        <v>421</v>
      </c>
      <c r="G64" s="152" t="s">
        <v>422</v>
      </c>
      <c r="H64" s="245" t="s">
        <v>3</v>
      </c>
      <c r="I64" s="305" t="s">
        <v>29</v>
      </c>
      <c r="J64" s="152" t="s">
        <v>421</v>
      </c>
      <c r="K64" s="152" t="s">
        <v>422</v>
      </c>
      <c r="L64" s="245" t="s">
        <v>3</v>
      </c>
      <c r="M64" s="162" t="s">
        <v>29</v>
      </c>
    </row>
    <row r="65" spans="1:14" x14ac:dyDescent="0.2">
      <c r="A65" s="708"/>
      <c r="B65" s="156"/>
      <c r="C65" s="156"/>
      <c r="D65" s="246" t="s">
        <v>4</v>
      </c>
      <c r="E65" s="156" t="s">
        <v>30</v>
      </c>
      <c r="F65" s="161"/>
      <c r="G65" s="161"/>
      <c r="H65" s="245" t="s">
        <v>4</v>
      </c>
      <c r="I65" s="156" t="s">
        <v>30</v>
      </c>
      <c r="J65" s="161"/>
      <c r="K65" s="206"/>
      <c r="L65" s="156" t="s">
        <v>4</v>
      </c>
      <c r="M65" s="156" t="s">
        <v>30</v>
      </c>
    </row>
    <row r="66" spans="1:14" ht="15.75" x14ac:dyDescent="0.2">
      <c r="A66" s="14" t="s">
        <v>23</v>
      </c>
      <c r="B66" s="353"/>
      <c r="C66" s="353"/>
      <c r="D66" s="350"/>
      <c r="E66" s="11"/>
      <c r="F66" s="352"/>
      <c r="G66" s="352"/>
      <c r="H66" s="350"/>
      <c r="I66" s="11"/>
      <c r="J66" s="309"/>
      <c r="K66" s="316"/>
      <c r="L66" s="428"/>
      <c r="M66" s="11"/>
    </row>
    <row r="67" spans="1:14" x14ac:dyDescent="0.2">
      <c r="A67" s="419" t="s">
        <v>9</v>
      </c>
      <c r="B67" s="44"/>
      <c r="C67" s="145"/>
      <c r="D67" s="166"/>
      <c r="E67" s="27"/>
      <c r="F67" s="234"/>
      <c r="G67" s="145"/>
      <c r="H67" s="166"/>
      <c r="I67" s="27"/>
      <c r="J67" s="287"/>
      <c r="K67" s="44"/>
      <c r="L67" s="254"/>
      <c r="M67" s="27"/>
    </row>
    <row r="68" spans="1:14" x14ac:dyDescent="0.2">
      <c r="A68" s="21" t="s">
        <v>10</v>
      </c>
      <c r="B68" s="292"/>
      <c r="C68" s="293"/>
      <c r="D68" s="166"/>
      <c r="E68" s="27"/>
      <c r="F68" s="292"/>
      <c r="G68" s="293"/>
      <c r="H68" s="166"/>
      <c r="I68" s="27"/>
      <c r="J68" s="287"/>
      <c r="K68" s="44"/>
      <c r="L68" s="254"/>
      <c r="M68" s="27"/>
    </row>
    <row r="69" spans="1:14" ht="15.75" x14ac:dyDescent="0.2">
      <c r="A69" s="296" t="s">
        <v>380</v>
      </c>
      <c r="B69" s="294"/>
      <c r="C69" s="295"/>
      <c r="D69" s="166"/>
      <c r="E69" s="417"/>
      <c r="F69" s="294"/>
      <c r="G69" s="295"/>
      <c r="H69" s="166"/>
      <c r="I69" s="417"/>
      <c r="J69" s="294"/>
      <c r="K69" s="295"/>
      <c r="L69" s="166"/>
      <c r="M69" s="23"/>
    </row>
    <row r="70" spans="1:14" x14ac:dyDescent="0.2">
      <c r="A70" s="296" t="s">
        <v>12</v>
      </c>
      <c r="B70" s="294"/>
      <c r="C70" s="295"/>
      <c r="D70" s="166"/>
      <c r="E70" s="417"/>
      <c r="F70" s="294"/>
      <c r="G70" s="295"/>
      <c r="H70" s="166"/>
      <c r="I70" s="417"/>
      <c r="J70" s="294"/>
      <c r="K70" s="295"/>
      <c r="L70" s="166"/>
      <c r="M70" s="23"/>
    </row>
    <row r="71" spans="1:14" x14ac:dyDescent="0.2">
      <c r="A71" s="296" t="s">
        <v>13</v>
      </c>
      <c r="B71" s="235"/>
      <c r="C71" s="289"/>
      <c r="D71" s="166"/>
      <c r="E71" s="417"/>
      <c r="F71" s="294"/>
      <c r="G71" s="295"/>
      <c r="H71" s="166"/>
      <c r="I71" s="417"/>
      <c r="J71" s="294"/>
      <c r="K71" s="295"/>
      <c r="L71" s="166"/>
      <c r="M71" s="23"/>
    </row>
    <row r="72" spans="1:14" ht="15.75" x14ac:dyDescent="0.2">
      <c r="A72" s="296" t="s">
        <v>381</v>
      </c>
      <c r="B72" s="294"/>
      <c r="C72" s="295"/>
      <c r="D72" s="166"/>
      <c r="E72" s="417"/>
      <c r="F72" s="294"/>
      <c r="G72" s="295"/>
      <c r="H72" s="166"/>
      <c r="I72" s="417"/>
      <c r="J72" s="294"/>
      <c r="K72" s="295"/>
      <c r="L72" s="166"/>
      <c r="M72" s="23"/>
    </row>
    <row r="73" spans="1:14" x14ac:dyDescent="0.2">
      <c r="A73" s="296" t="s">
        <v>12</v>
      </c>
      <c r="B73" s="235"/>
      <c r="C73" s="289"/>
      <c r="D73" s="166"/>
      <c r="E73" s="417"/>
      <c r="F73" s="294"/>
      <c r="G73" s="295"/>
      <c r="H73" s="166"/>
      <c r="I73" s="417"/>
      <c r="J73" s="294"/>
      <c r="K73" s="295"/>
      <c r="L73" s="166"/>
      <c r="M73" s="23"/>
    </row>
    <row r="74" spans="1:14" s="3" customFormat="1" x14ac:dyDescent="0.2">
      <c r="A74" s="296" t="s">
        <v>13</v>
      </c>
      <c r="B74" s="235"/>
      <c r="C74" s="289"/>
      <c r="D74" s="166"/>
      <c r="E74" s="417"/>
      <c r="F74" s="294"/>
      <c r="G74" s="295"/>
      <c r="H74" s="166"/>
      <c r="I74" s="417"/>
      <c r="J74" s="294"/>
      <c r="K74" s="295"/>
      <c r="L74" s="166"/>
      <c r="M74" s="23"/>
      <c r="N74" s="148"/>
    </row>
    <row r="75" spans="1:14" s="3" customFormat="1" x14ac:dyDescent="0.2">
      <c r="A75" s="21" t="s">
        <v>350</v>
      </c>
      <c r="B75" s="234"/>
      <c r="C75" s="145"/>
      <c r="D75" s="166"/>
      <c r="E75" s="27"/>
      <c r="F75" s="234"/>
      <c r="G75" s="145"/>
      <c r="H75" s="166"/>
      <c r="I75" s="27"/>
      <c r="J75" s="287"/>
      <c r="K75" s="44"/>
      <c r="L75" s="254"/>
      <c r="M75" s="27"/>
      <c r="N75" s="148"/>
    </row>
    <row r="76" spans="1:14" s="3" customFormat="1" x14ac:dyDescent="0.2">
      <c r="A76" s="21" t="s">
        <v>349</v>
      </c>
      <c r="B76" s="234"/>
      <c r="C76" s="145"/>
      <c r="D76" s="166"/>
      <c r="E76" s="27"/>
      <c r="F76" s="234"/>
      <c r="G76" s="145"/>
      <c r="H76" s="166"/>
      <c r="I76" s="27"/>
      <c r="J76" s="287"/>
      <c r="K76" s="44"/>
      <c r="L76" s="254"/>
      <c r="M76" s="27"/>
      <c r="N76" s="148"/>
    </row>
    <row r="77" spans="1:14" ht="15.75" x14ac:dyDescent="0.2">
      <c r="A77" s="21" t="s">
        <v>382</v>
      </c>
      <c r="B77" s="234"/>
      <c r="C77" s="234"/>
      <c r="D77" s="166"/>
      <c r="E77" s="27"/>
      <c r="F77" s="234"/>
      <c r="G77" s="145"/>
      <c r="H77" s="166"/>
      <c r="I77" s="27"/>
      <c r="J77" s="287"/>
      <c r="K77" s="44"/>
      <c r="L77" s="254"/>
      <c r="M77" s="27"/>
    </row>
    <row r="78" spans="1:14" x14ac:dyDescent="0.2">
      <c r="A78" s="21" t="s">
        <v>9</v>
      </c>
      <c r="B78" s="234"/>
      <c r="C78" s="145"/>
      <c r="D78" s="166"/>
      <c r="E78" s="27"/>
      <c r="F78" s="234"/>
      <c r="G78" s="145"/>
      <c r="H78" s="166"/>
      <c r="I78" s="27"/>
      <c r="J78" s="287"/>
      <c r="K78" s="44"/>
      <c r="L78" s="254"/>
      <c r="M78" s="27"/>
    </row>
    <row r="79" spans="1:14" x14ac:dyDescent="0.2">
      <c r="A79" s="21" t="s">
        <v>10</v>
      </c>
      <c r="B79" s="292"/>
      <c r="C79" s="293"/>
      <c r="D79" s="166"/>
      <c r="E79" s="27"/>
      <c r="F79" s="292"/>
      <c r="G79" s="293"/>
      <c r="H79" s="166"/>
      <c r="I79" s="27"/>
      <c r="J79" s="287"/>
      <c r="K79" s="44"/>
      <c r="L79" s="254"/>
      <c r="M79" s="27"/>
    </row>
    <row r="80" spans="1:14" ht="15.75" x14ac:dyDescent="0.2">
      <c r="A80" s="296" t="s">
        <v>380</v>
      </c>
      <c r="B80" s="294"/>
      <c r="C80" s="295"/>
      <c r="D80" s="166"/>
      <c r="E80" s="417"/>
      <c r="F80" s="294"/>
      <c r="G80" s="295"/>
      <c r="H80" s="166"/>
      <c r="I80" s="417"/>
      <c r="J80" s="294"/>
      <c r="K80" s="295"/>
      <c r="L80" s="166"/>
      <c r="M80" s="23"/>
    </row>
    <row r="81" spans="1:13" x14ac:dyDescent="0.2">
      <c r="A81" s="296" t="s">
        <v>12</v>
      </c>
      <c r="B81" s="294"/>
      <c r="C81" s="295"/>
      <c r="D81" s="166"/>
      <c r="E81" s="417"/>
      <c r="F81" s="294"/>
      <c r="G81" s="295"/>
      <c r="H81" s="166"/>
      <c r="I81" s="417"/>
      <c r="J81" s="294"/>
      <c r="K81" s="295"/>
      <c r="L81" s="166"/>
      <c r="M81" s="23"/>
    </row>
    <row r="82" spans="1:13" x14ac:dyDescent="0.2">
      <c r="A82" s="296" t="s">
        <v>13</v>
      </c>
      <c r="B82" s="294"/>
      <c r="C82" s="295"/>
      <c r="D82" s="166"/>
      <c r="E82" s="417"/>
      <c r="F82" s="294"/>
      <c r="G82" s="295"/>
      <c r="H82" s="166"/>
      <c r="I82" s="417"/>
      <c r="J82" s="294"/>
      <c r="K82" s="295"/>
      <c r="L82" s="166"/>
      <c r="M82" s="23"/>
    </row>
    <row r="83" spans="1:13" ht="15.75" x14ac:dyDescent="0.2">
      <c r="A83" s="296" t="s">
        <v>381</v>
      </c>
      <c r="B83" s="294"/>
      <c r="C83" s="295"/>
      <c r="D83" s="166"/>
      <c r="E83" s="417"/>
      <c r="F83" s="294"/>
      <c r="G83" s="295"/>
      <c r="H83" s="166"/>
      <c r="I83" s="417"/>
      <c r="J83" s="294"/>
      <c r="K83" s="295"/>
      <c r="L83" s="166"/>
      <c r="M83" s="23"/>
    </row>
    <row r="84" spans="1:13" x14ac:dyDescent="0.2">
      <c r="A84" s="296" t="s">
        <v>12</v>
      </c>
      <c r="B84" s="294"/>
      <c r="C84" s="295"/>
      <c r="D84" s="166"/>
      <c r="E84" s="417"/>
      <c r="F84" s="294"/>
      <c r="G84" s="295"/>
      <c r="H84" s="166"/>
      <c r="I84" s="417"/>
      <c r="J84" s="294"/>
      <c r="K84" s="295"/>
      <c r="L84" s="166"/>
      <c r="M84" s="23"/>
    </row>
    <row r="85" spans="1:13" x14ac:dyDescent="0.2">
      <c r="A85" s="296" t="s">
        <v>13</v>
      </c>
      <c r="B85" s="294"/>
      <c r="C85" s="295"/>
      <c r="D85" s="166"/>
      <c r="E85" s="417"/>
      <c r="F85" s="294"/>
      <c r="G85" s="295"/>
      <c r="H85" s="166"/>
      <c r="I85" s="417"/>
      <c r="J85" s="294"/>
      <c r="K85" s="295"/>
      <c r="L85" s="166"/>
      <c r="M85" s="23"/>
    </row>
    <row r="86" spans="1:13" ht="15.75" x14ac:dyDescent="0.2">
      <c r="A86" s="21" t="s">
        <v>383</v>
      </c>
      <c r="B86" s="234"/>
      <c r="C86" s="145"/>
      <c r="D86" s="166"/>
      <c r="E86" s="27"/>
      <c r="F86" s="234"/>
      <c r="G86" s="145"/>
      <c r="H86" s="166"/>
      <c r="I86" s="27"/>
      <c r="J86" s="287"/>
      <c r="K86" s="44"/>
      <c r="L86" s="254"/>
      <c r="M86" s="27"/>
    </row>
    <row r="87" spans="1:13" ht="15.75" x14ac:dyDescent="0.2">
      <c r="A87" s="13" t="s">
        <v>365</v>
      </c>
      <c r="B87" s="353"/>
      <c r="C87" s="353"/>
      <c r="D87" s="171"/>
      <c r="E87" s="11"/>
      <c r="F87" s="352"/>
      <c r="G87" s="352"/>
      <c r="H87" s="171"/>
      <c r="I87" s="11"/>
      <c r="J87" s="309"/>
      <c r="K87" s="236"/>
      <c r="L87" s="428"/>
      <c r="M87" s="11"/>
    </row>
    <row r="88" spans="1:13" x14ac:dyDescent="0.2">
      <c r="A88" s="21" t="s">
        <v>9</v>
      </c>
      <c r="B88" s="234"/>
      <c r="C88" s="145"/>
      <c r="D88" s="166"/>
      <c r="E88" s="27"/>
      <c r="F88" s="234"/>
      <c r="G88" s="145"/>
      <c r="H88" s="166"/>
      <c r="I88" s="27"/>
      <c r="J88" s="287"/>
      <c r="K88" s="44"/>
      <c r="L88" s="254"/>
      <c r="M88" s="27"/>
    </row>
    <row r="89" spans="1:13" x14ac:dyDescent="0.2">
      <c r="A89" s="21" t="s">
        <v>10</v>
      </c>
      <c r="B89" s="234"/>
      <c r="C89" s="145"/>
      <c r="D89" s="166"/>
      <c r="E89" s="27"/>
      <c r="F89" s="234"/>
      <c r="G89" s="145"/>
      <c r="H89" s="166"/>
      <c r="I89" s="27"/>
      <c r="J89" s="287"/>
      <c r="K89" s="44"/>
      <c r="L89" s="254"/>
      <c r="M89" s="27"/>
    </row>
    <row r="90" spans="1:13" ht="15.75" x14ac:dyDescent="0.2">
      <c r="A90" s="296" t="s">
        <v>380</v>
      </c>
      <c r="B90" s="294"/>
      <c r="C90" s="295"/>
      <c r="D90" s="166"/>
      <c r="E90" s="417"/>
      <c r="F90" s="294"/>
      <c r="G90" s="295"/>
      <c r="H90" s="166"/>
      <c r="I90" s="417"/>
      <c r="J90" s="294"/>
      <c r="K90" s="295"/>
      <c r="L90" s="166"/>
      <c r="M90" s="23"/>
    </row>
    <row r="91" spans="1:13" x14ac:dyDescent="0.2">
      <c r="A91" s="296" t="s">
        <v>12</v>
      </c>
      <c r="B91" s="294"/>
      <c r="C91" s="295"/>
      <c r="D91" s="166"/>
      <c r="E91" s="417"/>
      <c r="F91" s="294"/>
      <c r="G91" s="295"/>
      <c r="H91" s="166"/>
      <c r="I91" s="417"/>
      <c r="J91" s="294"/>
      <c r="K91" s="295"/>
      <c r="L91" s="166"/>
      <c r="M91" s="23"/>
    </row>
    <row r="92" spans="1:13" x14ac:dyDescent="0.2">
      <c r="A92" s="296" t="s">
        <v>13</v>
      </c>
      <c r="B92" s="294"/>
      <c r="C92" s="295"/>
      <c r="D92" s="166"/>
      <c r="E92" s="417"/>
      <c r="F92" s="294"/>
      <c r="G92" s="295"/>
      <c r="H92" s="166"/>
      <c r="I92" s="417"/>
      <c r="J92" s="294"/>
      <c r="K92" s="295"/>
      <c r="L92" s="166"/>
      <c r="M92" s="23"/>
    </row>
    <row r="93" spans="1:13" ht="15.75" x14ac:dyDescent="0.2">
      <c r="A93" s="296" t="s">
        <v>381</v>
      </c>
      <c r="B93" s="294"/>
      <c r="C93" s="295"/>
      <c r="D93" s="166"/>
      <c r="E93" s="417"/>
      <c r="F93" s="294"/>
      <c r="G93" s="295"/>
      <c r="H93" s="166"/>
      <c r="I93" s="417"/>
      <c r="J93" s="294"/>
      <c r="K93" s="295"/>
      <c r="L93" s="166"/>
      <c r="M93" s="23"/>
    </row>
    <row r="94" spans="1:13" x14ac:dyDescent="0.2">
      <c r="A94" s="296" t="s">
        <v>12</v>
      </c>
      <c r="B94" s="294"/>
      <c r="C94" s="295"/>
      <c r="D94" s="166"/>
      <c r="E94" s="417"/>
      <c r="F94" s="294"/>
      <c r="G94" s="295"/>
      <c r="H94" s="166"/>
      <c r="I94" s="417"/>
      <c r="J94" s="294"/>
      <c r="K94" s="295"/>
      <c r="L94" s="166"/>
      <c r="M94" s="23"/>
    </row>
    <row r="95" spans="1:13" x14ac:dyDescent="0.2">
      <c r="A95" s="296" t="s">
        <v>13</v>
      </c>
      <c r="B95" s="294"/>
      <c r="C95" s="295"/>
      <c r="D95" s="166"/>
      <c r="E95" s="417"/>
      <c r="F95" s="294"/>
      <c r="G95" s="295"/>
      <c r="H95" s="166"/>
      <c r="I95" s="417"/>
      <c r="J95" s="294"/>
      <c r="K95" s="295"/>
      <c r="L95" s="166"/>
      <c r="M95" s="23"/>
    </row>
    <row r="96" spans="1:13" x14ac:dyDescent="0.2">
      <c r="A96" s="21" t="s">
        <v>348</v>
      </c>
      <c r="B96" s="234"/>
      <c r="C96" s="145"/>
      <c r="D96" s="166"/>
      <c r="E96" s="27"/>
      <c r="F96" s="234"/>
      <c r="G96" s="145"/>
      <c r="H96" s="166"/>
      <c r="I96" s="27"/>
      <c r="J96" s="287"/>
      <c r="K96" s="44"/>
      <c r="L96" s="254"/>
      <c r="M96" s="27"/>
    </row>
    <row r="97" spans="1:13" x14ac:dyDescent="0.2">
      <c r="A97" s="21" t="s">
        <v>347</v>
      </c>
      <c r="B97" s="234"/>
      <c r="C97" s="145"/>
      <c r="D97" s="166"/>
      <c r="E97" s="27"/>
      <c r="F97" s="234"/>
      <c r="G97" s="145"/>
      <c r="H97" s="166"/>
      <c r="I97" s="27"/>
      <c r="J97" s="287"/>
      <c r="K97" s="44"/>
      <c r="L97" s="254"/>
      <c r="M97" s="27"/>
    </row>
    <row r="98" spans="1:13" ht="15.75" x14ac:dyDescent="0.2">
      <c r="A98" s="21" t="s">
        <v>382</v>
      </c>
      <c r="B98" s="234"/>
      <c r="C98" s="234"/>
      <c r="D98" s="166"/>
      <c r="E98" s="27"/>
      <c r="F98" s="292"/>
      <c r="G98" s="292"/>
      <c r="H98" s="166"/>
      <c r="I98" s="27"/>
      <c r="J98" s="287"/>
      <c r="K98" s="44"/>
      <c r="L98" s="254"/>
      <c r="M98" s="27"/>
    </row>
    <row r="99" spans="1:13" x14ac:dyDescent="0.2">
      <c r="A99" s="21" t="s">
        <v>9</v>
      </c>
      <c r="B99" s="292"/>
      <c r="C99" s="293"/>
      <c r="D99" s="166"/>
      <c r="E99" s="27"/>
      <c r="F99" s="234"/>
      <c r="G99" s="145"/>
      <c r="H99" s="166"/>
      <c r="I99" s="27"/>
      <c r="J99" s="287"/>
      <c r="K99" s="44"/>
      <c r="L99" s="254"/>
      <c r="M99" s="27"/>
    </row>
    <row r="100" spans="1:13" x14ac:dyDescent="0.2">
      <c r="A100" s="21" t="s">
        <v>10</v>
      </c>
      <c r="B100" s="292"/>
      <c r="C100" s="293"/>
      <c r="D100" s="166"/>
      <c r="E100" s="27"/>
      <c r="F100" s="234"/>
      <c r="G100" s="234"/>
      <c r="H100" s="166"/>
      <c r="I100" s="27"/>
      <c r="J100" s="287"/>
      <c r="K100" s="44"/>
      <c r="L100" s="254"/>
      <c r="M100" s="27"/>
    </row>
    <row r="101" spans="1:13" ht="15.75" x14ac:dyDescent="0.2">
      <c r="A101" s="296" t="s">
        <v>380</v>
      </c>
      <c r="B101" s="294"/>
      <c r="C101" s="295"/>
      <c r="D101" s="166"/>
      <c r="E101" s="417"/>
      <c r="F101" s="294"/>
      <c r="G101" s="295"/>
      <c r="H101" s="166"/>
      <c r="I101" s="417"/>
      <c r="J101" s="294"/>
      <c r="K101" s="295"/>
      <c r="L101" s="166"/>
      <c r="M101" s="23"/>
    </row>
    <row r="102" spans="1:13" x14ac:dyDescent="0.2">
      <c r="A102" s="296" t="s">
        <v>12</v>
      </c>
      <c r="B102" s="294"/>
      <c r="C102" s="295"/>
      <c r="D102" s="166"/>
      <c r="E102" s="417"/>
      <c r="F102" s="294"/>
      <c r="G102" s="295"/>
      <c r="H102" s="166"/>
      <c r="I102" s="417"/>
      <c r="J102" s="294"/>
      <c r="K102" s="295"/>
      <c r="L102" s="166"/>
      <c r="M102" s="23"/>
    </row>
    <row r="103" spans="1:13" x14ac:dyDescent="0.2">
      <c r="A103" s="296" t="s">
        <v>13</v>
      </c>
      <c r="B103" s="294"/>
      <c r="C103" s="295"/>
      <c r="D103" s="166"/>
      <c r="E103" s="417"/>
      <c r="F103" s="294"/>
      <c r="G103" s="295"/>
      <c r="H103" s="166"/>
      <c r="I103" s="417"/>
      <c r="J103" s="294"/>
      <c r="K103" s="295"/>
      <c r="L103" s="166"/>
      <c r="M103" s="23"/>
    </row>
    <row r="104" spans="1:13" ht="15.75" x14ac:dyDescent="0.2">
      <c r="A104" s="296" t="s">
        <v>381</v>
      </c>
      <c r="B104" s="294"/>
      <c r="C104" s="295"/>
      <c r="D104" s="166"/>
      <c r="E104" s="417"/>
      <c r="F104" s="294"/>
      <c r="G104" s="295"/>
      <c r="H104" s="166"/>
      <c r="I104" s="417"/>
      <c r="J104" s="294"/>
      <c r="K104" s="295"/>
      <c r="L104" s="166"/>
      <c r="M104" s="23"/>
    </row>
    <row r="105" spans="1:13" x14ac:dyDescent="0.2">
      <c r="A105" s="296" t="s">
        <v>12</v>
      </c>
      <c r="B105" s="294"/>
      <c r="C105" s="295"/>
      <c r="D105" s="166"/>
      <c r="E105" s="417"/>
      <c r="F105" s="294"/>
      <c r="G105" s="295"/>
      <c r="H105" s="166"/>
      <c r="I105" s="417"/>
      <c r="J105" s="294"/>
      <c r="K105" s="295"/>
      <c r="L105" s="166"/>
      <c r="M105" s="23"/>
    </row>
    <row r="106" spans="1:13" x14ac:dyDescent="0.2">
      <c r="A106" s="296" t="s">
        <v>13</v>
      </c>
      <c r="B106" s="294"/>
      <c r="C106" s="295"/>
      <c r="D106" s="166"/>
      <c r="E106" s="417"/>
      <c r="F106" s="294"/>
      <c r="G106" s="295"/>
      <c r="H106" s="166"/>
      <c r="I106" s="417"/>
      <c r="J106" s="294"/>
      <c r="K106" s="295"/>
      <c r="L106" s="166"/>
      <c r="M106" s="23"/>
    </row>
    <row r="107" spans="1:13" ht="15.75" x14ac:dyDescent="0.2">
      <c r="A107" s="21" t="s">
        <v>383</v>
      </c>
      <c r="B107" s="234"/>
      <c r="C107" s="145"/>
      <c r="D107" s="166"/>
      <c r="E107" s="27"/>
      <c r="F107" s="234"/>
      <c r="G107" s="145"/>
      <c r="H107" s="166"/>
      <c r="I107" s="27"/>
      <c r="J107" s="287"/>
      <c r="K107" s="44"/>
      <c r="L107" s="254"/>
      <c r="M107" s="27"/>
    </row>
    <row r="108" spans="1:13" ht="15.75" x14ac:dyDescent="0.2">
      <c r="A108" s="21" t="s">
        <v>384</v>
      </c>
      <c r="B108" s="234"/>
      <c r="C108" s="234"/>
      <c r="D108" s="166"/>
      <c r="E108" s="27"/>
      <c r="F108" s="234"/>
      <c r="G108" s="234"/>
      <c r="H108" s="166"/>
      <c r="I108" s="27"/>
      <c r="J108" s="287"/>
      <c r="K108" s="44"/>
      <c r="L108" s="254"/>
      <c r="M108" s="27"/>
    </row>
    <row r="109" spans="1:13" ht="15.75" x14ac:dyDescent="0.2">
      <c r="A109" s="21" t="s">
        <v>385</v>
      </c>
      <c r="B109" s="234"/>
      <c r="C109" s="234"/>
      <c r="D109" s="166"/>
      <c r="E109" s="27"/>
      <c r="F109" s="234"/>
      <c r="G109" s="234"/>
      <c r="H109" s="166"/>
      <c r="I109" s="27"/>
      <c r="J109" s="287"/>
      <c r="K109" s="44"/>
      <c r="L109" s="254"/>
      <c r="M109" s="27"/>
    </row>
    <row r="110" spans="1:13" ht="15.75" x14ac:dyDescent="0.2">
      <c r="A110" s="21" t="s">
        <v>386</v>
      </c>
      <c r="B110" s="234"/>
      <c r="C110" s="234"/>
      <c r="D110" s="166"/>
      <c r="E110" s="27"/>
      <c r="F110" s="234"/>
      <c r="G110" s="234"/>
      <c r="H110" s="166"/>
      <c r="I110" s="27"/>
      <c r="J110" s="287"/>
      <c r="K110" s="44"/>
      <c r="L110" s="254"/>
      <c r="M110" s="27"/>
    </row>
    <row r="111" spans="1:13" ht="15.75" x14ac:dyDescent="0.2">
      <c r="A111" s="13" t="s">
        <v>366</v>
      </c>
      <c r="B111" s="308"/>
      <c r="C111" s="159"/>
      <c r="D111" s="171"/>
      <c r="E111" s="11"/>
      <c r="F111" s="308"/>
      <c r="G111" s="159"/>
      <c r="H111" s="171"/>
      <c r="I111" s="11"/>
      <c r="J111" s="309"/>
      <c r="K111" s="236"/>
      <c r="L111" s="428"/>
      <c r="M111" s="11"/>
    </row>
    <row r="112" spans="1:13" x14ac:dyDescent="0.2">
      <c r="A112" s="21" t="s">
        <v>9</v>
      </c>
      <c r="B112" s="234"/>
      <c r="C112" s="145"/>
      <c r="D112" s="166"/>
      <c r="E112" s="27"/>
      <c r="F112" s="234"/>
      <c r="G112" s="145"/>
      <c r="H112" s="166"/>
      <c r="I112" s="27"/>
      <c r="J112" s="287"/>
      <c r="K112" s="44"/>
      <c r="L112" s="254"/>
      <c r="M112" s="27"/>
    </row>
    <row r="113" spans="1:14" x14ac:dyDescent="0.2">
      <c r="A113" s="21" t="s">
        <v>10</v>
      </c>
      <c r="B113" s="234"/>
      <c r="C113" s="145"/>
      <c r="D113" s="166"/>
      <c r="E113" s="27"/>
      <c r="F113" s="234"/>
      <c r="G113" s="145"/>
      <c r="H113" s="166"/>
      <c r="I113" s="27"/>
      <c r="J113" s="287"/>
      <c r="K113" s="44"/>
      <c r="L113" s="254"/>
      <c r="M113" s="27"/>
    </row>
    <row r="114" spans="1:14" x14ac:dyDescent="0.2">
      <c r="A114" s="21" t="s">
        <v>26</v>
      </c>
      <c r="B114" s="234"/>
      <c r="C114" s="145"/>
      <c r="D114" s="166"/>
      <c r="E114" s="27"/>
      <c r="F114" s="234"/>
      <c r="G114" s="145"/>
      <c r="H114" s="166"/>
      <c r="I114" s="27"/>
      <c r="J114" s="287"/>
      <c r="K114" s="44"/>
      <c r="L114" s="254"/>
      <c r="M114" s="27"/>
    </row>
    <row r="115" spans="1:14" x14ac:dyDescent="0.2">
      <c r="A115" s="296" t="s">
        <v>15</v>
      </c>
      <c r="B115" s="294"/>
      <c r="C115" s="295"/>
      <c r="D115" s="166"/>
      <c r="E115" s="417"/>
      <c r="F115" s="294"/>
      <c r="G115" s="295"/>
      <c r="H115" s="166"/>
      <c r="I115" s="417"/>
      <c r="J115" s="294"/>
      <c r="K115" s="295"/>
      <c r="L115" s="166"/>
      <c r="M115" s="23"/>
    </row>
    <row r="116" spans="1:14" ht="15.75" x14ac:dyDescent="0.2">
      <c r="A116" s="21" t="s">
        <v>387</v>
      </c>
      <c r="B116" s="234"/>
      <c r="C116" s="234"/>
      <c r="D116" s="166"/>
      <c r="E116" s="27"/>
      <c r="F116" s="234"/>
      <c r="G116" s="234"/>
      <c r="H116" s="166"/>
      <c r="I116" s="27"/>
      <c r="J116" s="287"/>
      <c r="K116" s="44"/>
      <c r="L116" s="254"/>
      <c r="M116" s="27"/>
    </row>
    <row r="117" spans="1:14" ht="15.75" x14ac:dyDescent="0.2">
      <c r="A117" s="21" t="s">
        <v>388</v>
      </c>
      <c r="B117" s="234"/>
      <c r="C117" s="234"/>
      <c r="D117" s="166"/>
      <c r="E117" s="27"/>
      <c r="F117" s="234"/>
      <c r="G117" s="234"/>
      <c r="H117" s="166"/>
      <c r="I117" s="27"/>
      <c r="J117" s="287"/>
      <c r="K117" s="44"/>
      <c r="L117" s="254"/>
      <c r="M117" s="27"/>
    </row>
    <row r="118" spans="1:14" ht="15.75" x14ac:dyDescent="0.2">
      <c r="A118" s="21" t="s">
        <v>386</v>
      </c>
      <c r="B118" s="234"/>
      <c r="C118" s="234"/>
      <c r="D118" s="166"/>
      <c r="E118" s="27"/>
      <c r="F118" s="234"/>
      <c r="G118" s="234"/>
      <c r="H118" s="166"/>
      <c r="I118" s="27"/>
      <c r="J118" s="287"/>
      <c r="K118" s="44"/>
      <c r="L118" s="254"/>
      <c r="M118" s="27"/>
    </row>
    <row r="119" spans="1:14" ht="15.75" x14ac:dyDescent="0.2">
      <c r="A119" s="13" t="s">
        <v>367</v>
      </c>
      <c r="B119" s="308"/>
      <c r="C119" s="159"/>
      <c r="D119" s="171"/>
      <c r="E119" s="11"/>
      <c r="F119" s="308"/>
      <c r="G119" s="159"/>
      <c r="H119" s="171"/>
      <c r="I119" s="11"/>
      <c r="J119" s="309"/>
      <c r="K119" s="236"/>
      <c r="L119" s="428"/>
      <c r="M119" s="11"/>
    </row>
    <row r="120" spans="1:14" x14ac:dyDescent="0.2">
      <c r="A120" s="21" t="s">
        <v>9</v>
      </c>
      <c r="B120" s="234"/>
      <c r="C120" s="145"/>
      <c r="D120" s="166"/>
      <c r="E120" s="27"/>
      <c r="F120" s="234"/>
      <c r="G120" s="145"/>
      <c r="H120" s="166"/>
      <c r="I120" s="27"/>
      <c r="J120" s="287"/>
      <c r="K120" s="44"/>
      <c r="L120" s="254"/>
      <c r="M120" s="27"/>
    </row>
    <row r="121" spans="1:14" x14ac:dyDescent="0.2">
      <c r="A121" s="21" t="s">
        <v>10</v>
      </c>
      <c r="B121" s="234"/>
      <c r="C121" s="145"/>
      <c r="D121" s="166"/>
      <c r="E121" s="27"/>
      <c r="F121" s="234"/>
      <c r="G121" s="145"/>
      <c r="H121" s="166"/>
      <c r="I121" s="27"/>
      <c r="J121" s="287"/>
      <c r="K121" s="44"/>
      <c r="L121" s="254"/>
      <c r="M121" s="27"/>
    </row>
    <row r="122" spans="1:14" x14ac:dyDescent="0.2">
      <c r="A122" s="21" t="s">
        <v>26</v>
      </c>
      <c r="B122" s="234"/>
      <c r="C122" s="145"/>
      <c r="D122" s="166"/>
      <c r="E122" s="27"/>
      <c r="F122" s="234"/>
      <c r="G122" s="145"/>
      <c r="H122" s="166"/>
      <c r="I122" s="27"/>
      <c r="J122" s="287"/>
      <c r="K122" s="44"/>
      <c r="L122" s="254"/>
      <c r="M122" s="27"/>
    </row>
    <row r="123" spans="1:14" x14ac:dyDescent="0.2">
      <c r="A123" s="296" t="s">
        <v>14</v>
      </c>
      <c r="B123" s="294"/>
      <c r="C123" s="295"/>
      <c r="D123" s="166"/>
      <c r="E123" s="417"/>
      <c r="F123" s="294"/>
      <c r="G123" s="295"/>
      <c r="H123" s="166"/>
      <c r="I123" s="417"/>
      <c r="J123" s="294"/>
      <c r="K123" s="295"/>
      <c r="L123" s="166"/>
      <c r="M123" s="23"/>
    </row>
    <row r="124" spans="1:14" ht="15.75" x14ac:dyDescent="0.2">
      <c r="A124" s="21" t="s">
        <v>393</v>
      </c>
      <c r="B124" s="234"/>
      <c r="C124" s="234"/>
      <c r="D124" s="166"/>
      <c r="E124" s="27"/>
      <c r="F124" s="234"/>
      <c r="G124" s="234"/>
      <c r="H124" s="166"/>
      <c r="I124" s="27"/>
      <c r="J124" s="287"/>
      <c r="K124" s="44"/>
      <c r="L124" s="254"/>
      <c r="M124" s="27"/>
    </row>
    <row r="125" spans="1:14" ht="15.75" x14ac:dyDescent="0.2">
      <c r="A125" s="21" t="s">
        <v>385</v>
      </c>
      <c r="B125" s="234"/>
      <c r="C125" s="234"/>
      <c r="D125" s="166"/>
      <c r="E125" s="27"/>
      <c r="F125" s="234"/>
      <c r="G125" s="234"/>
      <c r="H125" s="166"/>
      <c r="I125" s="27"/>
      <c r="J125" s="287"/>
      <c r="K125" s="44"/>
      <c r="L125" s="254"/>
      <c r="M125" s="27"/>
    </row>
    <row r="126" spans="1:14" ht="15.75" x14ac:dyDescent="0.2">
      <c r="A126" s="10" t="s">
        <v>386</v>
      </c>
      <c r="B126" s="45"/>
      <c r="C126" s="45"/>
      <c r="D126" s="167"/>
      <c r="E126" s="418"/>
      <c r="F126" s="45"/>
      <c r="G126" s="45"/>
      <c r="H126" s="167"/>
      <c r="I126" s="22"/>
      <c r="J126" s="288"/>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35"/>
      <c r="C130" s="735"/>
      <c r="D130" s="735"/>
      <c r="E130" s="299"/>
      <c r="F130" s="735"/>
      <c r="G130" s="735"/>
      <c r="H130" s="735"/>
      <c r="I130" s="299"/>
      <c r="J130" s="735"/>
      <c r="K130" s="735"/>
      <c r="L130" s="735"/>
      <c r="M130" s="299"/>
    </row>
    <row r="131" spans="1:14" s="3" customFormat="1" x14ac:dyDescent="0.2">
      <c r="A131" s="144"/>
      <c r="B131" s="733" t="s">
        <v>0</v>
      </c>
      <c r="C131" s="734"/>
      <c r="D131" s="734"/>
      <c r="E131" s="301"/>
      <c r="F131" s="733" t="s">
        <v>1</v>
      </c>
      <c r="G131" s="734"/>
      <c r="H131" s="734"/>
      <c r="I131" s="304"/>
      <c r="J131" s="733" t="s">
        <v>2</v>
      </c>
      <c r="K131" s="734"/>
      <c r="L131" s="734"/>
      <c r="M131" s="304"/>
      <c r="N131" s="148"/>
    </row>
    <row r="132" spans="1:14" s="3" customFormat="1" x14ac:dyDescent="0.2">
      <c r="A132" s="140"/>
      <c r="B132" s="152" t="s">
        <v>421</v>
      </c>
      <c r="C132" s="152" t="s">
        <v>422</v>
      </c>
      <c r="D132" s="245" t="s">
        <v>3</v>
      </c>
      <c r="E132" s="305" t="s">
        <v>29</v>
      </c>
      <c r="F132" s="152" t="s">
        <v>421</v>
      </c>
      <c r="G132" s="152" t="s">
        <v>422</v>
      </c>
      <c r="H132" s="206" t="s">
        <v>3</v>
      </c>
      <c r="I132" s="162" t="s">
        <v>29</v>
      </c>
      <c r="J132" s="152" t="s">
        <v>421</v>
      </c>
      <c r="K132" s="152" t="s">
        <v>422</v>
      </c>
      <c r="L132" s="246" t="s">
        <v>3</v>
      </c>
      <c r="M132" s="162" t="s">
        <v>29</v>
      </c>
      <c r="N132" s="148"/>
    </row>
    <row r="133" spans="1:14" s="3" customFormat="1" x14ac:dyDescent="0.2">
      <c r="A133" s="708"/>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389</v>
      </c>
      <c r="B134" s="236"/>
      <c r="C134" s="309"/>
      <c r="D134" s="350"/>
      <c r="E134" s="11"/>
      <c r="F134" s="316"/>
      <c r="G134" s="317"/>
      <c r="H134" s="431"/>
      <c r="I134" s="24"/>
      <c r="J134" s="318"/>
      <c r="K134" s="318"/>
      <c r="L134" s="427"/>
      <c r="M134" s="11"/>
      <c r="N134" s="148"/>
    </row>
    <row r="135" spans="1:14" s="3" customFormat="1" ht="15.75" x14ac:dyDescent="0.2">
      <c r="A135" s="13" t="s">
        <v>394</v>
      </c>
      <c r="B135" s="236"/>
      <c r="C135" s="309"/>
      <c r="D135" s="171"/>
      <c r="E135" s="11"/>
      <c r="F135" s="236"/>
      <c r="G135" s="309"/>
      <c r="H135" s="432"/>
      <c r="I135" s="24"/>
      <c r="J135" s="308"/>
      <c r="K135" s="308"/>
      <c r="L135" s="428"/>
      <c r="M135" s="11"/>
      <c r="N135" s="148"/>
    </row>
    <row r="136" spans="1:14" s="3" customFormat="1" ht="15.75" x14ac:dyDescent="0.2">
      <c r="A136" s="13" t="s">
        <v>391</v>
      </c>
      <c r="B136" s="236"/>
      <c r="C136" s="309"/>
      <c r="D136" s="171"/>
      <c r="E136" s="11"/>
      <c r="F136" s="236"/>
      <c r="G136" s="309"/>
      <c r="H136" s="432"/>
      <c r="I136" s="24"/>
      <c r="J136" s="308"/>
      <c r="K136" s="308"/>
      <c r="L136" s="428"/>
      <c r="M136" s="11"/>
      <c r="N136" s="148"/>
    </row>
    <row r="137" spans="1:14" s="3" customFormat="1" ht="15.75" x14ac:dyDescent="0.2">
      <c r="A137" s="41" t="s">
        <v>392</v>
      </c>
      <c r="B137" s="276"/>
      <c r="C137" s="315"/>
      <c r="D137" s="169"/>
      <c r="E137" s="9"/>
      <c r="F137" s="276"/>
      <c r="G137" s="315"/>
      <c r="H137" s="433"/>
      <c r="I137" s="36"/>
      <c r="J137" s="314"/>
      <c r="K137" s="314"/>
      <c r="L137" s="429"/>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300" priority="132">
      <formula>kvartal &lt; 4</formula>
    </cfRule>
  </conditionalFormatting>
  <conditionalFormatting sqref="A50:A52">
    <cfRule type="expression" dxfId="299" priority="12">
      <formula>kvartal &lt; 4</formula>
    </cfRule>
  </conditionalFormatting>
  <conditionalFormatting sqref="A69:A74">
    <cfRule type="expression" dxfId="298" priority="10">
      <formula>kvartal &lt; 4</formula>
    </cfRule>
  </conditionalFormatting>
  <conditionalFormatting sqref="A80:A85">
    <cfRule type="expression" dxfId="297" priority="9">
      <formula>kvartal &lt; 4</formula>
    </cfRule>
  </conditionalFormatting>
  <conditionalFormatting sqref="A90:A95">
    <cfRule type="expression" dxfId="296" priority="6">
      <formula>kvartal &lt; 4</formula>
    </cfRule>
  </conditionalFormatting>
  <conditionalFormatting sqref="A101:A106">
    <cfRule type="expression" dxfId="295" priority="5">
      <formula>kvartal &lt; 4</formula>
    </cfRule>
  </conditionalFormatting>
  <conditionalFormatting sqref="A115">
    <cfRule type="expression" dxfId="294" priority="4">
      <formula>kvartal &lt; 4</formula>
    </cfRule>
  </conditionalFormatting>
  <conditionalFormatting sqref="A123">
    <cfRule type="expression" dxfId="293" priority="3">
      <formula>kvartal &lt; 4</formula>
    </cfRule>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25"/>
  <dimension ref="A1:N144"/>
  <sheetViews>
    <sheetView showGridLines="0" zoomScaleNormal="100" workbookViewId="0">
      <selection activeCell="A3" sqref="A3"/>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135</v>
      </c>
      <c r="B1" s="709"/>
      <c r="C1" s="248" t="s">
        <v>130</v>
      </c>
      <c r="D1" s="26"/>
      <c r="E1" s="26"/>
      <c r="F1" s="26"/>
      <c r="G1" s="26"/>
      <c r="H1" s="26"/>
      <c r="I1" s="26"/>
      <c r="J1" s="26"/>
      <c r="K1" s="26"/>
      <c r="L1" s="26"/>
      <c r="M1" s="26"/>
    </row>
    <row r="2" spans="1:14" ht="15.75" x14ac:dyDescent="0.25">
      <c r="A2" s="165" t="s">
        <v>28</v>
      </c>
      <c r="B2" s="732"/>
      <c r="C2" s="732"/>
      <c r="D2" s="732"/>
      <c r="E2" s="299"/>
      <c r="F2" s="732"/>
      <c r="G2" s="732"/>
      <c r="H2" s="732"/>
      <c r="I2" s="299"/>
      <c r="J2" s="732"/>
      <c r="K2" s="732"/>
      <c r="L2" s="732"/>
      <c r="M2" s="299"/>
    </row>
    <row r="3" spans="1:14" ht="15.75" x14ac:dyDescent="0.25">
      <c r="A3" s="163"/>
      <c r="B3" s="299"/>
      <c r="C3" s="299"/>
      <c r="D3" s="299"/>
      <c r="E3" s="299"/>
      <c r="F3" s="299"/>
      <c r="G3" s="299"/>
      <c r="H3" s="299"/>
      <c r="I3" s="299"/>
      <c r="J3" s="299"/>
      <c r="K3" s="299"/>
      <c r="L3" s="299"/>
      <c r="M3" s="299"/>
    </row>
    <row r="4" spans="1:14" x14ac:dyDescent="0.2">
      <c r="A4" s="144"/>
      <c r="B4" s="733" t="s">
        <v>0</v>
      </c>
      <c r="C4" s="734"/>
      <c r="D4" s="734"/>
      <c r="E4" s="301"/>
      <c r="F4" s="733" t="s">
        <v>1</v>
      </c>
      <c r="G4" s="734"/>
      <c r="H4" s="734"/>
      <c r="I4" s="304"/>
      <c r="J4" s="733" t="s">
        <v>2</v>
      </c>
      <c r="K4" s="734"/>
      <c r="L4" s="734"/>
      <c r="M4" s="304"/>
    </row>
    <row r="5" spans="1:14" x14ac:dyDescent="0.2">
      <c r="A5" s="158"/>
      <c r="B5" s="152" t="s">
        <v>421</v>
      </c>
      <c r="C5" s="152" t="s">
        <v>422</v>
      </c>
      <c r="D5" s="245" t="s">
        <v>3</v>
      </c>
      <c r="E5" s="305" t="s">
        <v>29</v>
      </c>
      <c r="F5" s="152" t="s">
        <v>421</v>
      </c>
      <c r="G5" s="152" t="s">
        <v>422</v>
      </c>
      <c r="H5" s="245" t="s">
        <v>3</v>
      </c>
      <c r="I5" s="162" t="s">
        <v>29</v>
      </c>
      <c r="J5" s="152" t="s">
        <v>421</v>
      </c>
      <c r="K5" s="152" t="s">
        <v>422</v>
      </c>
      <c r="L5" s="245" t="s">
        <v>3</v>
      </c>
      <c r="M5" s="162" t="s">
        <v>29</v>
      </c>
    </row>
    <row r="6" spans="1:14" x14ac:dyDescent="0.2">
      <c r="A6" s="707"/>
      <c r="B6" s="156"/>
      <c r="C6" s="156"/>
      <c r="D6" s="246" t="s">
        <v>4</v>
      </c>
      <c r="E6" s="156" t="s">
        <v>30</v>
      </c>
      <c r="F6" s="161"/>
      <c r="G6" s="161"/>
      <c r="H6" s="245" t="s">
        <v>4</v>
      </c>
      <c r="I6" s="156" t="s">
        <v>30</v>
      </c>
      <c r="J6" s="161"/>
      <c r="K6" s="161"/>
      <c r="L6" s="245" t="s">
        <v>4</v>
      </c>
      <c r="M6" s="156" t="s">
        <v>30</v>
      </c>
    </row>
    <row r="7" spans="1:14" ht="15.75" x14ac:dyDescent="0.2">
      <c r="A7" s="14" t="s">
        <v>23</v>
      </c>
      <c r="B7" s="306">
        <v>356458.70468760602</v>
      </c>
      <c r="C7" s="307">
        <v>368524.335705109</v>
      </c>
      <c r="D7" s="350">
        <f>IF(B7=0, "    ---- ", IF(ABS(ROUND(100/B7*C7-100,1))&lt;999,ROUND(100/B7*C7-100,1),IF(ROUND(100/B7*C7-100,1)&gt;999,999,-999)))</f>
        <v>3.4</v>
      </c>
      <c r="E7" s="11">
        <f>IFERROR(100/'Skjema total MA'!C7*C7,0)</f>
        <v>9.9869413472503616</v>
      </c>
      <c r="F7" s="306">
        <v>5206007.1886700001</v>
      </c>
      <c r="G7" s="307">
        <v>4774688.0200399999</v>
      </c>
      <c r="H7" s="350">
        <f>IF(F7=0, "    ---- ", IF(ABS(ROUND(100/F7*G7-100,1))&lt;999,ROUND(100/F7*G7-100,1),IF(ROUND(100/F7*G7-100,1)&gt;999,999,-999)))</f>
        <v>-8.3000000000000007</v>
      </c>
      <c r="I7" s="160">
        <f>IFERROR(100/'Skjema total MA'!F7*G7,0)</f>
        <v>69.159163285231671</v>
      </c>
      <c r="J7" s="308">
        <f t="shared" ref="J7:K12" si="0">SUM(B7,F7)</f>
        <v>5562465.8933576057</v>
      </c>
      <c r="K7" s="309">
        <f t="shared" si="0"/>
        <v>5143212.3557451088</v>
      </c>
      <c r="L7" s="427">
        <f>IF(J7=0, "    ---- ", IF(ABS(ROUND(100/J7*K7-100,1))&lt;999,ROUND(100/J7*K7-100,1),IF(ROUND(100/J7*K7-100,1)&gt;999,999,-999)))</f>
        <v>-7.5</v>
      </c>
      <c r="M7" s="11">
        <f>IFERROR(100/'Skjema total MA'!I7*K7,0)</f>
        <v>48.548468621075536</v>
      </c>
    </row>
    <row r="8" spans="1:14" ht="15.75" x14ac:dyDescent="0.2">
      <c r="A8" s="21" t="s">
        <v>25</v>
      </c>
      <c r="B8" s="281">
        <v>292611.87914954702</v>
      </c>
      <c r="C8" s="282">
        <v>307501.90522394201</v>
      </c>
      <c r="D8" s="166">
        <f t="shared" ref="D8:D10" si="1">IF(B8=0, "    ---- ", IF(ABS(ROUND(100/B8*C8-100,1))&lt;999,ROUND(100/B8*C8-100,1),IF(ROUND(100/B8*C8-100,1)&gt;999,999,-999)))</f>
        <v>5.0999999999999996</v>
      </c>
      <c r="E8" s="27">
        <f>IFERROR(100/'Skjema total MA'!C8*C8,0)</f>
        <v>12.711276544296036</v>
      </c>
      <c r="F8" s="285"/>
      <c r="G8" s="286"/>
      <c r="H8" s="166"/>
      <c r="I8" s="175"/>
      <c r="J8" s="234">
        <f t="shared" si="0"/>
        <v>292611.87914954702</v>
      </c>
      <c r="K8" s="287">
        <f t="shared" si="0"/>
        <v>307501.90522394201</v>
      </c>
      <c r="L8" s="166">
        <f t="shared" ref="L8:L9" si="2">IF(J8=0, "    ---- ", IF(ABS(ROUND(100/J8*K8-100,1))&lt;999,ROUND(100/J8*K8-100,1),IF(ROUND(100/J8*K8-100,1)&gt;999,999,-999)))</f>
        <v>5.0999999999999996</v>
      </c>
      <c r="M8" s="27">
        <f>IFERROR(100/'Skjema total MA'!I8*K8,0)</f>
        <v>12.711276544296036</v>
      </c>
    </row>
    <row r="9" spans="1:14" ht="15.75" x14ac:dyDescent="0.2">
      <c r="A9" s="21" t="s">
        <v>24</v>
      </c>
      <c r="B9" s="281">
        <v>58253.787864378501</v>
      </c>
      <c r="C9" s="282">
        <v>55720.896542465103</v>
      </c>
      <c r="D9" s="166">
        <f t="shared" si="1"/>
        <v>-4.3</v>
      </c>
      <c r="E9" s="27">
        <f>IFERROR(100/'Skjema total MA'!C9*C9,0)</f>
        <v>7.3857446611534687</v>
      </c>
      <c r="F9" s="285"/>
      <c r="G9" s="286"/>
      <c r="H9" s="166"/>
      <c r="I9" s="175"/>
      <c r="J9" s="234">
        <f t="shared" si="0"/>
        <v>58253.787864378501</v>
      </c>
      <c r="K9" s="287">
        <f t="shared" si="0"/>
        <v>55720.896542465103</v>
      </c>
      <c r="L9" s="166">
        <f t="shared" si="2"/>
        <v>-4.3</v>
      </c>
      <c r="M9" s="27">
        <f>IFERROR(100/'Skjema total MA'!I9*K9,0)</f>
        <v>7.3857446611534687</v>
      </c>
    </row>
    <row r="10" spans="1:14" ht="15.75" x14ac:dyDescent="0.2">
      <c r="A10" s="13" t="s">
        <v>365</v>
      </c>
      <c r="B10" s="310">
        <v>798774.50904574804</v>
      </c>
      <c r="C10" s="311">
        <v>758514.08707457001</v>
      </c>
      <c r="D10" s="171">
        <f t="shared" si="1"/>
        <v>-5</v>
      </c>
      <c r="E10" s="11">
        <f>IFERROR(100/'Skjema total MA'!C10*C10,0)</f>
        <v>4.2069307099462954</v>
      </c>
      <c r="F10" s="310">
        <v>29512216.484000001</v>
      </c>
      <c r="G10" s="311">
        <v>33675266.762510002</v>
      </c>
      <c r="H10" s="171">
        <f t="shared" ref="H10:H12" si="3">IF(F10=0, "    ---- ", IF(ABS(ROUND(100/F10*G10-100,1))&lt;999,ROUND(100/F10*G10-100,1),IF(ROUND(100/F10*G10-100,1)&gt;999,999,-999)))</f>
        <v>14.1</v>
      </c>
      <c r="I10" s="160">
        <f>IFERROR(100/'Skjema total MA'!F10*G10,0)</f>
        <v>60.791236803571771</v>
      </c>
      <c r="J10" s="308">
        <f t="shared" si="0"/>
        <v>30310990.993045747</v>
      </c>
      <c r="K10" s="309">
        <f t="shared" si="0"/>
        <v>34433780.849584572</v>
      </c>
      <c r="L10" s="428">
        <f t="shared" ref="L10:L12" si="4">IF(J10=0, "    ---- ", IF(ABS(ROUND(100/J10*K10-100,1))&lt;999,ROUND(100/J10*K10-100,1),IF(ROUND(100/J10*K10-100,1)&gt;999,999,-999)))</f>
        <v>13.6</v>
      </c>
      <c r="M10" s="11">
        <f>IFERROR(100/'Skjema total MA'!I10*K10,0)</f>
        <v>46.896507851495777</v>
      </c>
    </row>
    <row r="11" spans="1:14" s="43" customFormat="1" ht="15.75" x14ac:dyDescent="0.2">
      <c r="A11" s="13" t="s">
        <v>366</v>
      </c>
      <c r="B11" s="310"/>
      <c r="C11" s="311"/>
      <c r="D11" s="171"/>
      <c r="E11" s="11"/>
      <c r="F11" s="310">
        <v>140915.54670000001</v>
      </c>
      <c r="G11" s="311">
        <v>146413.11579000001</v>
      </c>
      <c r="H11" s="171">
        <f t="shared" si="3"/>
        <v>3.9</v>
      </c>
      <c r="I11" s="160">
        <f>IFERROR(100/'Skjema total MA'!F11*G11,0)</f>
        <v>56.513029807413126</v>
      </c>
      <c r="J11" s="308">
        <f t="shared" si="0"/>
        <v>140915.54670000001</v>
      </c>
      <c r="K11" s="309">
        <f t="shared" si="0"/>
        <v>146413.11579000001</v>
      </c>
      <c r="L11" s="428">
        <f t="shared" si="4"/>
        <v>3.9</v>
      </c>
      <c r="M11" s="11">
        <f>IFERROR(100/'Skjema total MA'!I11*K11,0)</f>
        <v>50.652248629540637</v>
      </c>
      <c r="N11" s="143"/>
    </row>
    <row r="12" spans="1:14" s="43" customFormat="1" ht="15.75" x14ac:dyDescent="0.2">
      <c r="A12" s="41" t="s">
        <v>367</v>
      </c>
      <c r="B12" s="312"/>
      <c r="C12" s="313"/>
      <c r="D12" s="169"/>
      <c r="E12" s="36"/>
      <c r="F12" s="312">
        <v>20681.208610000001</v>
      </c>
      <c r="G12" s="313">
        <v>38059.159070000002</v>
      </c>
      <c r="H12" s="169">
        <f t="shared" si="3"/>
        <v>84</v>
      </c>
      <c r="I12" s="169">
        <f>IFERROR(100/'Skjema total MA'!F12*G12,0)</f>
        <v>19.353002058441305</v>
      </c>
      <c r="J12" s="314">
        <f t="shared" si="0"/>
        <v>20681.208610000001</v>
      </c>
      <c r="K12" s="315">
        <f t="shared" si="0"/>
        <v>38059.159070000002</v>
      </c>
      <c r="L12" s="429">
        <f t="shared" si="4"/>
        <v>84</v>
      </c>
      <c r="M12" s="36">
        <f>IFERROR(100/'Skjema total MA'!I12*K12,0)</f>
        <v>19.119762666955467</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275</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272</v>
      </c>
      <c r="B17" s="157"/>
      <c r="C17" s="157"/>
      <c r="D17" s="151"/>
      <c r="E17" s="151"/>
      <c r="F17" s="157"/>
      <c r="G17" s="157"/>
      <c r="H17" s="157"/>
      <c r="I17" s="157"/>
      <c r="J17" s="157"/>
      <c r="K17" s="157"/>
      <c r="L17" s="157"/>
      <c r="M17" s="157"/>
    </row>
    <row r="18" spans="1:14" ht="15.75" x14ac:dyDescent="0.25">
      <c r="B18" s="735"/>
      <c r="C18" s="735"/>
      <c r="D18" s="735"/>
      <c r="E18" s="299"/>
      <c r="F18" s="735"/>
      <c r="G18" s="735"/>
      <c r="H18" s="735"/>
      <c r="I18" s="299"/>
      <c r="J18" s="735"/>
      <c r="K18" s="735"/>
      <c r="L18" s="735"/>
      <c r="M18" s="299"/>
    </row>
    <row r="19" spans="1:14" x14ac:dyDescent="0.2">
      <c r="A19" s="144"/>
      <c r="B19" s="733" t="s">
        <v>0</v>
      </c>
      <c r="C19" s="734"/>
      <c r="D19" s="734"/>
      <c r="E19" s="301"/>
      <c r="F19" s="733" t="s">
        <v>1</v>
      </c>
      <c r="G19" s="734"/>
      <c r="H19" s="734"/>
      <c r="I19" s="304"/>
      <c r="J19" s="733" t="s">
        <v>2</v>
      </c>
      <c r="K19" s="734"/>
      <c r="L19" s="734"/>
      <c r="M19" s="304"/>
    </row>
    <row r="20" spans="1:14" x14ac:dyDescent="0.2">
      <c r="A20" s="140" t="s">
        <v>5</v>
      </c>
      <c r="B20" s="152" t="s">
        <v>421</v>
      </c>
      <c r="C20" s="152" t="s">
        <v>422</v>
      </c>
      <c r="D20" s="162" t="s">
        <v>3</v>
      </c>
      <c r="E20" s="305" t="s">
        <v>29</v>
      </c>
      <c r="F20" s="152" t="s">
        <v>421</v>
      </c>
      <c r="G20" s="152" t="s">
        <v>422</v>
      </c>
      <c r="H20" s="162" t="s">
        <v>3</v>
      </c>
      <c r="I20" s="162" t="s">
        <v>29</v>
      </c>
      <c r="J20" s="152" t="s">
        <v>421</v>
      </c>
      <c r="K20" s="152" t="s">
        <v>422</v>
      </c>
      <c r="L20" s="162" t="s">
        <v>3</v>
      </c>
      <c r="M20" s="162" t="s">
        <v>29</v>
      </c>
    </row>
    <row r="21" spans="1:14" x14ac:dyDescent="0.2">
      <c r="A21" s="708"/>
      <c r="B21" s="156"/>
      <c r="C21" s="156"/>
      <c r="D21" s="246" t="s">
        <v>4</v>
      </c>
      <c r="E21" s="156" t="s">
        <v>30</v>
      </c>
      <c r="F21" s="161"/>
      <c r="G21" s="161"/>
      <c r="H21" s="245" t="s">
        <v>4</v>
      </c>
      <c r="I21" s="156" t="s">
        <v>30</v>
      </c>
      <c r="J21" s="161"/>
      <c r="K21" s="161"/>
      <c r="L21" s="156" t="s">
        <v>4</v>
      </c>
      <c r="M21" s="156" t="s">
        <v>30</v>
      </c>
    </row>
    <row r="22" spans="1:14" ht="15.75" x14ac:dyDescent="0.2">
      <c r="A22" s="14" t="s">
        <v>23</v>
      </c>
      <c r="B22" s="310">
        <v>114862.161777024</v>
      </c>
      <c r="C22" s="310">
        <v>125720.56010571599</v>
      </c>
      <c r="D22" s="350">
        <f t="shared" ref="D22:D32" si="5">IF(B22=0, "    ---- ", IF(ABS(ROUND(100/B22*C22-100,1))&lt;999,ROUND(100/B22*C22-100,1),IF(ROUND(100/B22*C22-100,1)&gt;999,999,-999)))</f>
        <v>9.5</v>
      </c>
      <c r="E22" s="11">
        <f>IFERROR(100/'Skjema total MA'!C22*C22,0)</f>
        <v>9.3925140299496945</v>
      </c>
      <c r="F22" s="318">
        <v>203136.66443999999</v>
      </c>
      <c r="G22" s="318">
        <v>213773.16907</v>
      </c>
      <c r="H22" s="350">
        <f t="shared" ref="H22:H35" si="6">IF(F22=0, "    ---- ", IF(ABS(ROUND(100/F22*G22-100,1))&lt;999,ROUND(100/F22*G22-100,1),IF(ROUND(100/F22*G22-100,1)&gt;999,999,-999)))</f>
        <v>5.2</v>
      </c>
      <c r="I22" s="11">
        <f>IFERROR(100/'Skjema total MA'!F22*G22,0)</f>
        <v>23.143602417844924</v>
      </c>
      <c r="J22" s="316">
        <f t="shared" ref="J22:K35" si="7">SUM(B22,F22)</f>
        <v>317998.82621702401</v>
      </c>
      <c r="K22" s="316">
        <f t="shared" si="7"/>
        <v>339493.729175716</v>
      </c>
      <c r="L22" s="427">
        <f t="shared" ref="L22:L35" si="8">IF(J22=0, "    ---- ", IF(ABS(ROUND(100/J22*K22-100,1))&lt;999,ROUND(100/J22*K22-100,1),IF(ROUND(100/J22*K22-100,1)&gt;999,999,-999)))</f>
        <v>6.8</v>
      </c>
      <c r="M22" s="24">
        <f>IFERROR(100/'Skjema total MA'!I22*K22,0)</f>
        <v>15.007236180743815</v>
      </c>
    </row>
    <row r="23" spans="1:14" ht="15.75" x14ac:dyDescent="0.2">
      <c r="A23" s="584" t="s">
        <v>368</v>
      </c>
      <c r="B23" s="281">
        <v>114433.83877702399</v>
      </c>
      <c r="C23" s="281">
        <v>125274.18510571599</v>
      </c>
      <c r="D23" s="166">
        <f t="shared" si="5"/>
        <v>9.5</v>
      </c>
      <c r="E23" s="11">
        <f>IFERROR(100/'Skjema total MA'!C23*C23,0)</f>
        <v>24.982844383405951</v>
      </c>
      <c r="F23" s="290">
        <v>3128.0520000000001</v>
      </c>
      <c r="G23" s="290">
        <v>2714.68</v>
      </c>
      <c r="H23" s="166">
        <f t="shared" si="6"/>
        <v>-13.2</v>
      </c>
      <c r="I23" s="417">
        <f>IFERROR(100/'Skjema total MA'!F23*G23,0)</f>
        <v>2.2745670432856815</v>
      </c>
      <c r="J23" s="290">
        <f t="shared" ref="J23:J26" si="9">SUM(B23,F23)</f>
        <v>117561.89077702399</v>
      </c>
      <c r="K23" s="290">
        <f t="shared" ref="K23:K26" si="10">SUM(C23,G23)</f>
        <v>127988.86510571599</v>
      </c>
      <c r="L23" s="166">
        <f t="shared" si="8"/>
        <v>8.9</v>
      </c>
      <c r="M23" s="23">
        <f>IFERROR(100/'Skjema total MA'!I23*K23,0)</f>
        <v>20.617090243261949</v>
      </c>
    </row>
    <row r="24" spans="1:14" ht="15.75" x14ac:dyDescent="0.2">
      <c r="A24" s="584" t="s">
        <v>369</v>
      </c>
      <c r="B24" s="281">
        <v>428.32299999999998</v>
      </c>
      <c r="C24" s="281">
        <v>446.375</v>
      </c>
      <c r="D24" s="166">
        <f t="shared" si="5"/>
        <v>4.2</v>
      </c>
      <c r="E24" s="11">
        <f>IFERROR(100/'Skjema total MA'!C24*C24,0)</f>
        <v>1.8410425709151845</v>
      </c>
      <c r="F24" s="290"/>
      <c r="G24" s="290"/>
      <c r="H24" s="166"/>
      <c r="I24" s="417"/>
      <c r="J24" s="290">
        <f t="shared" si="9"/>
        <v>428.32299999999998</v>
      </c>
      <c r="K24" s="290">
        <f t="shared" si="10"/>
        <v>446.375</v>
      </c>
      <c r="L24" s="166">
        <f t="shared" si="8"/>
        <v>4.2</v>
      </c>
      <c r="M24" s="23">
        <f>IFERROR(100/'Skjema total MA'!I24*K24,0)</f>
        <v>1.7701640155318259</v>
      </c>
    </row>
    <row r="25" spans="1:14" ht="15.75" x14ac:dyDescent="0.2">
      <c r="A25" s="584" t="s">
        <v>370</v>
      </c>
      <c r="B25" s="281"/>
      <c r="C25" s="281"/>
      <c r="D25" s="166"/>
      <c r="E25" s="11"/>
      <c r="F25" s="290">
        <v>633.923</v>
      </c>
      <c r="G25" s="290">
        <v>698.49800000000005</v>
      </c>
      <c r="H25" s="166">
        <f t="shared" si="6"/>
        <v>10.199999999999999</v>
      </c>
      <c r="I25" s="417">
        <f>IFERROR(100/'Skjema total MA'!F25*G25,0)</f>
        <v>3.8517035027485886</v>
      </c>
      <c r="J25" s="290">
        <f t="shared" si="9"/>
        <v>633.923</v>
      </c>
      <c r="K25" s="290">
        <f t="shared" si="10"/>
        <v>698.49800000000005</v>
      </c>
      <c r="L25" s="166">
        <f t="shared" si="8"/>
        <v>10.199999999999999</v>
      </c>
      <c r="M25" s="23">
        <f>IFERROR(100/'Skjema total MA'!I25*K25,0)</f>
        <v>1.6509331955679489</v>
      </c>
    </row>
    <row r="26" spans="1:14" ht="15.75" x14ac:dyDescent="0.2">
      <c r="A26" s="584" t="s">
        <v>371</v>
      </c>
      <c r="B26" s="281"/>
      <c r="C26" s="281"/>
      <c r="D26" s="166"/>
      <c r="E26" s="11"/>
      <c r="F26" s="290">
        <v>199374.68943999999</v>
      </c>
      <c r="G26" s="290">
        <v>210359.99106999999</v>
      </c>
      <c r="H26" s="166">
        <f t="shared" si="6"/>
        <v>5.5</v>
      </c>
      <c r="I26" s="417">
        <f>IFERROR(100/'Skjema total MA'!F26*G26,0)</f>
        <v>26.789718799412864</v>
      </c>
      <c r="J26" s="290">
        <f t="shared" si="9"/>
        <v>199374.68943999999</v>
      </c>
      <c r="K26" s="290">
        <f t="shared" si="10"/>
        <v>210359.99106999999</v>
      </c>
      <c r="L26" s="166">
        <f t="shared" si="8"/>
        <v>5.5</v>
      </c>
      <c r="M26" s="23">
        <f>IFERROR(100/'Skjema total MA'!I26*K26,0)</f>
        <v>26.789718799412864</v>
      </c>
    </row>
    <row r="27" spans="1:14" x14ac:dyDescent="0.2">
      <c r="A27" s="584" t="s">
        <v>11</v>
      </c>
      <c r="B27" s="281"/>
      <c r="C27" s="281"/>
      <c r="D27" s="166"/>
      <c r="E27" s="11"/>
      <c r="F27" s="290"/>
      <c r="G27" s="290"/>
      <c r="H27" s="166"/>
      <c r="I27" s="417"/>
      <c r="J27" s="290"/>
      <c r="K27" s="290"/>
      <c r="L27" s="166"/>
      <c r="M27" s="23"/>
    </row>
    <row r="28" spans="1:14" ht="15.75" x14ac:dyDescent="0.2">
      <c r="A28" s="49" t="s">
        <v>276</v>
      </c>
      <c r="B28" s="44">
        <v>118227.09279593499</v>
      </c>
      <c r="C28" s="287">
        <v>129526.25374721699</v>
      </c>
      <c r="D28" s="166">
        <f t="shared" si="5"/>
        <v>9.6</v>
      </c>
      <c r="E28" s="11">
        <f>IFERROR(100/'Skjema total MA'!C28*C28,0)</f>
        <v>8.745268074344219</v>
      </c>
      <c r="F28" s="234"/>
      <c r="G28" s="287"/>
      <c r="H28" s="166"/>
      <c r="I28" s="27"/>
      <c r="J28" s="44">
        <f t="shared" si="7"/>
        <v>118227.09279593499</v>
      </c>
      <c r="K28" s="44">
        <f t="shared" si="7"/>
        <v>129526.25374721699</v>
      </c>
      <c r="L28" s="254">
        <f t="shared" si="8"/>
        <v>9.6</v>
      </c>
      <c r="M28" s="23">
        <f>IFERROR(100/'Skjema total MA'!I28*K28,0)</f>
        <v>8.745268074344219</v>
      </c>
    </row>
    <row r="29" spans="1:14" s="3" customFormat="1" ht="15.75" x14ac:dyDescent="0.2">
      <c r="A29" s="13" t="s">
        <v>365</v>
      </c>
      <c r="B29" s="236">
        <v>3836646.19283493</v>
      </c>
      <c r="C29" s="236">
        <v>3829032.9671787401</v>
      </c>
      <c r="D29" s="171">
        <f t="shared" si="5"/>
        <v>-0.2</v>
      </c>
      <c r="E29" s="11">
        <f>IFERROR(100/'Skjema total MA'!C29*C29,0)</f>
        <v>8.3303682917265256</v>
      </c>
      <c r="F29" s="308">
        <v>4098783.28</v>
      </c>
      <c r="G29" s="308">
        <v>4496883.8899999997</v>
      </c>
      <c r="H29" s="171">
        <f t="shared" si="6"/>
        <v>9.6999999999999993</v>
      </c>
      <c r="I29" s="11">
        <f>IFERROR(100/'Skjema total MA'!F29*G29,0)</f>
        <v>19.663662301743859</v>
      </c>
      <c r="J29" s="236">
        <f t="shared" si="7"/>
        <v>7935429.4728349298</v>
      </c>
      <c r="K29" s="236">
        <f t="shared" si="7"/>
        <v>8325916.8571787402</v>
      </c>
      <c r="L29" s="428">
        <f t="shared" si="8"/>
        <v>4.9000000000000004</v>
      </c>
      <c r="M29" s="24">
        <f>IFERROR(100/'Skjema total MA'!I29*K29,0)</f>
        <v>12.095688897404402</v>
      </c>
      <c r="N29" s="148"/>
    </row>
    <row r="30" spans="1:14" s="3" customFormat="1" ht="15.75" x14ac:dyDescent="0.2">
      <c r="A30" s="584" t="s">
        <v>368</v>
      </c>
      <c r="B30" s="281">
        <v>730689.93191967404</v>
      </c>
      <c r="C30" s="281">
        <v>654356.45678017905</v>
      </c>
      <c r="D30" s="166">
        <f t="shared" si="5"/>
        <v>-10.4</v>
      </c>
      <c r="E30" s="11">
        <f>IFERROR(100/'Skjema total MA'!C30*C30,0)</f>
        <v>4.7705782810325692</v>
      </c>
      <c r="F30" s="290">
        <v>498539.13111248502</v>
      </c>
      <c r="G30" s="290">
        <v>473189.46450601501</v>
      </c>
      <c r="H30" s="166">
        <f t="shared" si="6"/>
        <v>-5.0999999999999996</v>
      </c>
      <c r="I30" s="417">
        <f>IFERROR(100/'Skjema total MA'!F30*G30,0)</f>
        <v>10.663595494055135</v>
      </c>
      <c r="J30" s="290">
        <f t="shared" ref="J30:J33" si="11">SUM(B30,F30)</f>
        <v>1229229.0630321591</v>
      </c>
      <c r="K30" s="290">
        <f t="shared" ref="K30:K33" si="12">SUM(C30,G30)</f>
        <v>1127545.9212861941</v>
      </c>
      <c r="L30" s="166">
        <f t="shared" si="8"/>
        <v>-8.3000000000000007</v>
      </c>
      <c r="M30" s="23">
        <f>IFERROR(100/'Skjema total MA'!I30*K30,0)</f>
        <v>6.2110291197989822</v>
      </c>
      <c r="N30" s="148"/>
    </row>
    <row r="31" spans="1:14" s="3" customFormat="1" ht="15.75" x14ac:dyDescent="0.2">
      <c r="A31" s="584" t="s">
        <v>369</v>
      </c>
      <c r="B31" s="281">
        <v>2696605.4469194598</v>
      </c>
      <c r="C31" s="281">
        <v>2684630.4346455298</v>
      </c>
      <c r="D31" s="166">
        <f t="shared" si="5"/>
        <v>-0.4</v>
      </c>
      <c r="E31" s="11">
        <f>IFERROR(100/'Skjema total MA'!C31*C31,0)</f>
        <v>11.270027497656139</v>
      </c>
      <c r="F31" s="290">
        <v>865039.82233444694</v>
      </c>
      <c r="G31" s="290">
        <v>822340.11117614701</v>
      </c>
      <c r="H31" s="166">
        <f t="shared" si="6"/>
        <v>-4.9000000000000004</v>
      </c>
      <c r="I31" s="417">
        <f>IFERROR(100/'Skjema total MA'!F31*G31,0)</f>
        <v>8.8863519832646656</v>
      </c>
      <c r="J31" s="290">
        <f t="shared" si="11"/>
        <v>3561645.2692539068</v>
      </c>
      <c r="K31" s="290">
        <f t="shared" si="12"/>
        <v>3506970.545821677</v>
      </c>
      <c r="L31" s="166">
        <f t="shared" si="8"/>
        <v>-1.5</v>
      </c>
      <c r="M31" s="23">
        <f>IFERROR(100/'Skjema total MA'!I31*K31,0)</f>
        <v>10.603104026133691</v>
      </c>
      <c r="N31" s="148"/>
    </row>
    <row r="32" spans="1:14" ht="15.75" x14ac:dyDescent="0.2">
      <c r="A32" s="584" t="s">
        <v>370</v>
      </c>
      <c r="B32" s="281">
        <v>409350.813995804</v>
      </c>
      <c r="C32" s="281">
        <v>490046.07575303398</v>
      </c>
      <c r="D32" s="166">
        <f t="shared" si="5"/>
        <v>19.7</v>
      </c>
      <c r="E32" s="11">
        <f>IFERROR(100/'Skjema total MA'!C32*C32,0)</f>
        <v>16.605516551563461</v>
      </c>
      <c r="F32" s="290">
        <v>1985799.57387601</v>
      </c>
      <c r="G32" s="290">
        <v>2096742.1098952701</v>
      </c>
      <c r="H32" s="166">
        <f t="shared" si="6"/>
        <v>5.6</v>
      </c>
      <c r="I32" s="417">
        <f>IFERROR(100/'Skjema total MA'!F32*G32,0)</f>
        <v>42.789292243524706</v>
      </c>
      <c r="J32" s="290">
        <f t="shared" si="11"/>
        <v>2395150.387871814</v>
      </c>
      <c r="K32" s="290">
        <f t="shared" si="12"/>
        <v>2586788.1856483039</v>
      </c>
      <c r="L32" s="166">
        <f t="shared" si="8"/>
        <v>8</v>
      </c>
      <c r="M32" s="23">
        <f>IFERROR(100/'Skjema total MA'!I32*K32,0)</f>
        <v>32.947426666759192</v>
      </c>
    </row>
    <row r="33" spans="1:14" ht="15.75" x14ac:dyDescent="0.2">
      <c r="A33" s="584" t="s">
        <v>371</v>
      </c>
      <c r="B33" s="281"/>
      <c r="C33" s="281"/>
      <c r="D33" s="166"/>
      <c r="E33" s="11"/>
      <c r="F33" s="290">
        <v>749404.75267705903</v>
      </c>
      <c r="G33" s="290">
        <v>1104612.2044225701</v>
      </c>
      <c r="H33" s="166">
        <f t="shared" si="6"/>
        <v>47.4</v>
      </c>
      <c r="I33" s="417">
        <f>IFERROR(100/'Skjema total MA'!F34*G33,0)</f>
        <v>10145.159402150784</v>
      </c>
      <c r="J33" s="290">
        <f t="shared" si="11"/>
        <v>749404.75267705903</v>
      </c>
      <c r="K33" s="290">
        <f t="shared" si="12"/>
        <v>1104612.2044225701</v>
      </c>
      <c r="L33" s="166">
        <f t="shared" si="8"/>
        <v>47.4</v>
      </c>
      <c r="M33" s="23">
        <f>IFERROR(100/'Skjema total MA'!I34*K33,0)</f>
        <v>4399.0666269115745</v>
      </c>
    </row>
    <row r="34" spans="1:14" ht="15.75" x14ac:dyDescent="0.2">
      <c r="A34" s="13" t="s">
        <v>366</v>
      </c>
      <c r="B34" s="236"/>
      <c r="C34" s="309"/>
      <c r="D34" s="171"/>
      <c r="E34" s="11"/>
      <c r="F34" s="308">
        <v>4365.30771</v>
      </c>
      <c r="G34" s="309">
        <v>7160.5278099999996</v>
      </c>
      <c r="H34" s="171">
        <f t="shared" si="6"/>
        <v>64</v>
      </c>
      <c r="I34" s="11">
        <f>IFERROR(100/'Skjema total MA'!F34*G34,0)</f>
        <v>65.764886305921522</v>
      </c>
      <c r="J34" s="236">
        <f t="shared" si="7"/>
        <v>4365.30771</v>
      </c>
      <c r="K34" s="236">
        <f t="shared" si="7"/>
        <v>7160.5278099999996</v>
      </c>
      <c r="L34" s="428">
        <f t="shared" si="8"/>
        <v>64</v>
      </c>
      <c r="M34" s="24">
        <f>IFERROR(100/'Skjema total MA'!I34*K34,0)</f>
        <v>28.516468307997268</v>
      </c>
    </row>
    <row r="35" spans="1:14" ht="15.75" x14ac:dyDescent="0.2">
      <c r="A35" s="13" t="s">
        <v>367</v>
      </c>
      <c r="B35" s="236"/>
      <c r="C35" s="309"/>
      <c r="D35" s="171"/>
      <c r="E35" s="11"/>
      <c r="F35" s="308">
        <v>16246.516960000001</v>
      </c>
      <c r="G35" s="309">
        <v>16605.7091</v>
      </c>
      <c r="H35" s="171">
        <f t="shared" si="6"/>
        <v>2.2000000000000002</v>
      </c>
      <c r="I35" s="11">
        <f>IFERROR(100/'Skjema total MA'!F35*G35,0)</f>
        <v>14.347032854313817</v>
      </c>
      <c r="J35" s="236">
        <f t="shared" si="7"/>
        <v>16246.516960000001</v>
      </c>
      <c r="K35" s="236">
        <f t="shared" si="7"/>
        <v>16605.7091</v>
      </c>
      <c r="L35" s="428">
        <f t="shared" si="8"/>
        <v>2.2000000000000002</v>
      </c>
      <c r="M35" s="24">
        <f>IFERROR(100/'Skjema total MA'!I35*K35,0)</f>
        <v>42.87378334539833</v>
      </c>
    </row>
    <row r="36" spans="1:14" ht="15.75" x14ac:dyDescent="0.2">
      <c r="A36" s="12" t="s">
        <v>284</v>
      </c>
      <c r="B36" s="236"/>
      <c r="C36" s="309"/>
      <c r="D36" s="171"/>
      <c r="E36" s="11"/>
      <c r="F36" s="319"/>
      <c r="G36" s="320"/>
      <c r="H36" s="171"/>
      <c r="I36" s="434"/>
      <c r="J36" s="236"/>
      <c r="K36" s="236"/>
      <c r="L36" s="428"/>
      <c r="M36" s="24"/>
    </row>
    <row r="37" spans="1:14" ht="15.75" x14ac:dyDescent="0.2">
      <c r="A37" s="12" t="s">
        <v>373</v>
      </c>
      <c r="B37" s="236"/>
      <c r="C37" s="309"/>
      <c r="D37" s="171"/>
      <c r="E37" s="11"/>
      <c r="F37" s="319"/>
      <c r="G37" s="321"/>
      <c r="H37" s="171"/>
      <c r="I37" s="434"/>
      <c r="J37" s="236"/>
      <c r="K37" s="236"/>
      <c r="L37" s="428"/>
      <c r="M37" s="24"/>
    </row>
    <row r="38" spans="1:14" ht="15.75" x14ac:dyDescent="0.2">
      <c r="A38" s="12" t="s">
        <v>374</v>
      </c>
      <c r="B38" s="236"/>
      <c r="C38" s="309"/>
      <c r="D38" s="171"/>
      <c r="E38" s="24"/>
      <c r="F38" s="319"/>
      <c r="G38" s="320"/>
      <c r="H38" s="171"/>
      <c r="I38" s="434"/>
      <c r="J38" s="236"/>
      <c r="K38" s="236"/>
      <c r="L38" s="428"/>
      <c r="M38" s="24"/>
    </row>
    <row r="39" spans="1:14" ht="15.75" x14ac:dyDescent="0.2">
      <c r="A39" s="18" t="s">
        <v>375</v>
      </c>
      <c r="B39" s="276"/>
      <c r="C39" s="315"/>
      <c r="D39" s="169"/>
      <c r="E39" s="36"/>
      <c r="F39" s="322"/>
      <c r="G39" s="323"/>
      <c r="H39" s="169"/>
      <c r="I39" s="36"/>
      <c r="J39" s="236"/>
      <c r="K39" s="236"/>
      <c r="L39" s="429"/>
      <c r="M39" s="36"/>
    </row>
    <row r="40" spans="1:14" ht="15.75" x14ac:dyDescent="0.25">
      <c r="A40" s="47"/>
      <c r="B40" s="253"/>
      <c r="C40" s="253"/>
      <c r="D40" s="736"/>
      <c r="E40" s="736"/>
      <c r="F40" s="736"/>
      <c r="G40" s="736"/>
      <c r="H40" s="736"/>
      <c r="I40" s="736"/>
      <c r="J40" s="736"/>
      <c r="K40" s="736"/>
      <c r="L40" s="736"/>
      <c r="M40" s="302"/>
    </row>
    <row r="41" spans="1:14" x14ac:dyDescent="0.2">
      <c r="A41" s="155"/>
    </row>
    <row r="42" spans="1:14" ht="15.75" x14ac:dyDescent="0.25">
      <c r="A42" s="147" t="s">
        <v>273</v>
      </c>
      <c r="B42" s="732"/>
      <c r="C42" s="732"/>
      <c r="D42" s="732"/>
      <c r="E42" s="299"/>
      <c r="F42" s="737"/>
      <c r="G42" s="737"/>
      <c r="H42" s="737"/>
      <c r="I42" s="302"/>
      <c r="J42" s="737"/>
      <c r="K42" s="737"/>
      <c r="L42" s="737"/>
      <c r="M42" s="302"/>
    </row>
    <row r="43" spans="1:14" ht="15.75" x14ac:dyDescent="0.25">
      <c r="A43" s="163"/>
      <c r="B43" s="303"/>
      <c r="C43" s="303"/>
      <c r="D43" s="303"/>
      <c r="E43" s="303"/>
      <c r="F43" s="302"/>
      <c r="G43" s="302"/>
      <c r="H43" s="302"/>
      <c r="I43" s="302"/>
      <c r="J43" s="302"/>
      <c r="K43" s="302"/>
      <c r="L43" s="302"/>
      <c r="M43" s="302"/>
    </row>
    <row r="44" spans="1:14" ht="15.75" x14ac:dyDescent="0.25">
      <c r="A44" s="247"/>
      <c r="B44" s="733" t="s">
        <v>0</v>
      </c>
      <c r="C44" s="734"/>
      <c r="D44" s="734"/>
      <c r="E44" s="243"/>
      <c r="F44" s="302"/>
      <c r="G44" s="302"/>
      <c r="H44" s="302"/>
      <c r="I44" s="302"/>
      <c r="J44" s="302"/>
      <c r="K44" s="302"/>
      <c r="L44" s="302"/>
      <c r="M44" s="302"/>
    </row>
    <row r="45" spans="1:14" s="3" customFormat="1" x14ac:dyDescent="0.2">
      <c r="A45" s="140"/>
      <c r="B45" s="152" t="s">
        <v>421</v>
      </c>
      <c r="C45" s="152" t="s">
        <v>422</v>
      </c>
      <c r="D45" s="162" t="s">
        <v>3</v>
      </c>
      <c r="E45" s="162" t="s">
        <v>29</v>
      </c>
      <c r="F45" s="174"/>
      <c r="G45" s="174"/>
      <c r="H45" s="173"/>
      <c r="I45" s="173"/>
      <c r="J45" s="174"/>
      <c r="K45" s="174"/>
      <c r="L45" s="173"/>
      <c r="M45" s="173"/>
      <c r="N45" s="148"/>
    </row>
    <row r="46" spans="1:14" s="3" customFormat="1" x14ac:dyDescent="0.2">
      <c r="A46" s="708"/>
      <c r="B46" s="244"/>
      <c r="C46" s="244"/>
      <c r="D46" s="245" t="s">
        <v>4</v>
      </c>
      <c r="E46" s="156" t="s">
        <v>30</v>
      </c>
      <c r="F46" s="173"/>
      <c r="G46" s="173"/>
      <c r="H46" s="173"/>
      <c r="I46" s="173"/>
      <c r="J46" s="173"/>
      <c r="K46" s="173"/>
      <c r="L46" s="173"/>
      <c r="M46" s="173"/>
      <c r="N46" s="148"/>
    </row>
    <row r="47" spans="1:14" s="3" customFormat="1" ht="15.75" x14ac:dyDescent="0.2">
      <c r="A47" s="14" t="s">
        <v>23</v>
      </c>
      <c r="B47" s="310"/>
      <c r="C47" s="311"/>
      <c r="D47" s="427"/>
      <c r="E47" s="11"/>
      <c r="F47" s="145"/>
      <c r="G47" s="33"/>
      <c r="H47" s="159"/>
      <c r="I47" s="159"/>
      <c r="J47" s="37"/>
      <c r="K47" s="37"/>
      <c r="L47" s="159"/>
      <c r="M47" s="159"/>
      <c r="N47" s="148"/>
    </row>
    <row r="48" spans="1:14" s="3" customFormat="1" ht="15.75" x14ac:dyDescent="0.2">
      <c r="A48" s="38" t="s">
        <v>376</v>
      </c>
      <c r="B48" s="281"/>
      <c r="C48" s="282"/>
      <c r="D48" s="254"/>
      <c r="E48" s="27"/>
      <c r="F48" s="145"/>
      <c r="G48" s="33"/>
      <c r="H48" s="145"/>
      <c r="I48" s="145"/>
      <c r="J48" s="33"/>
      <c r="K48" s="33"/>
      <c r="L48" s="159"/>
      <c r="M48" s="159"/>
      <c r="N48" s="148"/>
    </row>
    <row r="49" spans="1:14" s="3" customFormat="1" ht="15.75" x14ac:dyDescent="0.2">
      <c r="A49" s="38" t="s">
        <v>377</v>
      </c>
      <c r="B49" s="44"/>
      <c r="C49" s="287"/>
      <c r="D49" s="254"/>
      <c r="E49" s="27"/>
      <c r="F49" s="145"/>
      <c r="G49" s="33"/>
      <c r="H49" s="145"/>
      <c r="I49" s="145"/>
      <c r="J49" s="37"/>
      <c r="K49" s="37"/>
      <c r="L49" s="159"/>
      <c r="M49" s="159"/>
      <c r="N49" s="148"/>
    </row>
    <row r="50" spans="1:14" s="3" customFormat="1" x14ac:dyDescent="0.2">
      <c r="A50" s="296" t="s">
        <v>6</v>
      </c>
      <c r="B50" s="290"/>
      <c r="C50" s="291"/>
      <c r="D50" s="254"/>
      <c r="E50" s="23"/>
      <c r="F50" s="145"/>
      <c r="G50" s="33"/>
      <c r="H50" s="145"/>
      <c r="I50" s="145"/>
      <c r="J50" s="33"/>
      <c r="K50" s="33"/>
      <c r="L50" s="159"/>
      <c r="M50" s="159"/>
      <c r="N50" s="148"/>
    </row>
    <row r="51" spans="1:14" s="3" customFormat="1" x14ac:dyDescent="0.2">
      <c r="A51" s="296" t="s">
        <v>7</v>
      </c>
      <c r="B51" s="290"/>
      <c r="C51" s="291"/>
      <c r="D51" s="254"/>
      <c r="E51" s="23"/>
      <c r="F51" s="145"/>
      <c r="G51" s="33"/>
      <c r="H51" s="145"/>
      <c r="I51" s="145"/>
      <c r="J51" s="33"/>
      <c r="K51" s="33"/>
      <c r="L51" s="159"/>
      <c r="M51" s="159"/>
      <c r="N51" s="148"/>
    </row>
    <row r="52" spans="1:14" s="3" customFormat="1" x14ac:dyDescent="0.2">
      <c r="A52" s="296" t="s">
        <v>8</v>
      </c>
      <c r="B52" s="290"/>
      <c r="C52" s="291"/>
      <c r="D52" s="254"/>
      <c r="E52" s="23"/>
      <c r="F52" s="145"/>
      <c r="G52" s="33"/>
      <c r="H52" s="145"/>
      <c r="I52" s="145"/>
      <c r="J52" s="33"/>
      <c r="K52" s="33"/>
      <c r="L52" s="159"/>
      <c r="M52" s="159"/>
      <c r="N52" s="148"/>
    </row>
    <row r="53" spans="1:14" s="3" customFormat="1" ht="15.75" x14ac:dyDescent="0.2">
      <c r="A53" s="39" t="s">
        <v>378</v>
      </c>
      <c r="B53" s="310"/>
      <c r="C53" s="311"/>
      <c r="D53" s="428"/>
      <c r="E53" s="11"/>
      <c r="F53" s="145"/>
      <c r="G53" s="33"/>
      <c r="H53" s="145"/>
      <c r="I53" s="145"/>
      <c r="J53" s="33"/>
      <c r="K53" s="33"/>
      <c r="L53" s="159"/>
      <c r="M53" s="159"/>
      <c r="N53" s="148"/>
    </row>
    <row r="54" spans="1:14" s="3" customFormat="1" ht="15.75" x14ac:dyDescent="0.2">
      <c r="A54" s="38" t="s">
        <v>376</v>
      </c>
      <c r="B54" s="281"/>
      <c r="C54" s="282"/>
      <c r="D54" s="254"/>
      <c r="E54" s="27"/>
      <c r="F54" s="145"/>
      <c r="G54" s="33"/>
      <c r="H54" s="145"/>
      <c r="I54" s="145"/>
      <c r="J54" s="33"/>
      <c r="K54" s="33"/>
      <c r="L54" s="159"/>
      <c r="M54" s="159"/>
      <c r="N54" s="148"/>
    </row>
    <row r="55" spans="1:14" s="3" customFormat="1" ht="15.75" x14ac:dyDescent="0.2">
      <c r="A55" s="38" t="s">
        <v>377</v>
      </c>
      <c r="B55" s="281"/>
      <c r="C55" s="282"/>
      <c r="D55" s="254"/>
      <c r="E55" s="27"/>
      <c r="F55" s="145"/>
      <c r="G55" s="33"/>
      <c r="H55" s="145"/>
      <c r="I55" s="145"/>
      <c r="J55" s="33"/>
      <c r="K55" s="33"/>
      <c r="L55" s="159"/>
      <c r="M55" s="159"/>
      <c r="N55" s="148"/>
    </row>
    <row r="56" spans="1:14" s="3" customFormat="1" ht="15.75" x14ac:dyDescent="0.2">
      <c r="A56" s="39" t="s">
        <v>379</v>
      </c>
      <c r="B56" s="310"/>
      <c r="C56" s="311"/>
      <c r="D56" s="428"/>
      <c r="E56" s="11"/>
      <c r="F56" s="145"/>
      <c r="G56" s="33"/>
      <c r="H56" s="145"/>
      <c r="I56" s="145"/>
      <c r="J56" s="33"/>
      <c r="K56" s="33"/>
      <c r="L56" s="159"/>
      <c r="M56" s="159"/>
      <c r="N56" s="148"/>
    </row>
    <row r="57" spans="1:14" s="3" customFormat="1" ht="15.75" x14ac:dyDescent="0.2">
      <c r="A57" s="38" t="s">
        <v>376</v>
      </c>
      <c r="B57" s="281"/>
      <c r="C57" s="282"/>
      <c r="D57" s="254"/>
      <c r="E57" s="27"/>
      <c r="F57" s="145"/>
      <c r="G57" s="33"/>
      <c r="H57" s="145"/>
      <c r="I57" s="145"/>
      <c r="J57" s="33"/>
      <c r="K57" s="33"/>
      <c r="L57" s="159"/>
      <c r="M57" s="159"/>
      <c r="N57" s="148"/>
    </row>
    <row r="58" spans="1:14" s="3" customFormat="1" ht="15.75" x14ac:dyDescent="0.2">
      <c r="A58" s="46" t="s">
        <v>377</v>
      </c>
      <c r="B58" s="283"/>
      <c r="C58" s="284"/>
      <c r="D58" s="255"/>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274</v>
      </c>
      <c r="C61" s="26"/>
      <c r="D61" s="26"/>
      <c r="E61" s="26"/>
      <c r="F61" s="26"/>
      <c r="G61" s="26"/>
      <c r="H61" s="26"/>
      <c r="I61" s="26"/>
      <c r="J61" s="26"/>
      <c r="K61" s="26"/>
      <c r="L61" s="26"/>
      <c r="M61" s="26"/>
    </row>
    <row r="62" spans="1:14" ht="15.75" x14ac:dyDescent="0.25">
      <c r="B62" s="735"/>
      <c r="C62" s="735"/>
      <c r="D62" s="735"/>
      <c r="E62" s="299"/>
      <c r="F62" s="735"/>
      <c r="G62" s="735"/>
      <c r="H62" s="735"/>
      <c r="I62" s="299"/>
      <c r="J62" s="735"/>
      <c r="K62" s="735"/>
      <c r="L62" s="735"/>
      <c r="M62" s="299"/>
    </row>
    <row r="63" spans="1:14" x14ac:dyDescent="0.2">
      <c r="A63" s="144"/>
      <c r="B63" s="733" t="s">
        <v>0</v>
      </c>
      <c r="C63" s="734"/>
      <c r="D63" s="738"/>
      <c r="E63" s="300"/>
      <c r="F63" s="734" t="s">
        <v>1</v>
      </c>
      <c r="G63" s="734"/>
      <c r="H63" s="734"/>
      <c r="I63" s="304"/>
      <c r="J63" s="733" t="s">
        <v>2</v>
      </c>
      <c r="K63" s="734"/>
      <c r="L63" s="734"/>
      <c r="M63" s="304"/>
    </row>
    <row r="64" spans="1:14" x14ac:dyDescent="0.2">
      <c r="A64" s="140"/>
      <c r="B64" s="152" t="s">
        <v>421</v>
      </c>
      <c r="C64" s="152" t="s">
        <v>422</v>
      </c>
      <c r="D64" s="245" t="s">
        <v>3</v>
      </c>
      <c r="E64" s="305" t="s">
        <v>29</v>
      </c>
      <c r="F64" s="152" t="s">
        <v>421</v>
      </c>
      <c r="G64" s="152" t="s">
        <v>422</v>
      </c>
      <c r="H64" s="245" t="s">
        <v>3</v>
      </c>
      <c r="I64" s="305" t="s">
        <v>29</v>
      </c>
      <c r="J64" s="152" t="s">
        <v>421</v>
      </c>
      <c r="K64" s="152" t="s">
        <v>422</v>
      </c>
      <c r="L64" s="245" t="s">
        <v>3</v>
      </c>
      <c r="M64" s="162" t="s">
        <v>29</v>
      </c>
    </row>
    <row r="65" spans="1:14" x14ac:dyDescent="0.2">
      <c r="A65" s="708"/>
      <c r="B65" s="156"/>
      <c r="C65" s="156"/>
      <c r="D65" s="246" t="s">
        <v>4</v>
      </c>
      <c r="E65" s="156" t="s">
        <v>30</v>
      </c>
      <c r="F65" s="161"/>
      <c r="G65" s="161"/>
      <c r="H65" s="245" t="s">
        <v>4</v>
      </c>
      <c r="I65" s="156" t="s">
        <v>30</v>
      </c>
      <c r="J65" s="161"/>
      <c r="K65" s="206"/>
      <c r="L65" s="156" t="s">
        <v>4</v>
      </c>
      <c r="M65" s="156" t="s">
        <v>30</v>
      </c>
    </row>
    <row r="66" spans="1:14" ht="15.75" x14ac:dyDescent="0.2">
      <c r="A66" s="14" t="s">
        <v>23</v>
      </c>
      <c r="B66" s="353">
        <v>763447</v>
      </c>
      <c r="C66" s="353">
        <v>696152</v>
      </c>
      <c r="D66" s="350">
        <f t="shared" ref="D66:D111" si="13">IF(B66=0, "    ---- ", IF(ABS(ROUND(100/B66*C66-100,1))&lt;999,ROUND(100/B66*C66-100,1),IF(ROUND(100/B66*C66-100,1)&gt;999,999,-999)))</f>
        <v>-8.8000000000000007</v>
      </c>
      <c r="E66" s="11">
        <f>IFERROR(100/'Skjema total MA'!C66*C66,0)</f>
        <v>11.750092264585744</v>
      </c>
      <c r="F66" s="352">
        <v>3042954.1359999999</v>
      </c>
      <c r="G66" s="352">
        <v>3698340.4240000001</v>
      </c>
      <c r="H66" s="350">
        <f t="shared" ref="H66:H111" si="14">IF(F66=0, "    ---- ", IF(ABS(ROUND(100/F66*G66-100,1))&lt;999,ROUND(100/F66*G66-100,1),IF(ROUND(100/F66*G66-100,1)&gt;999,999,-999)))</f>
        <v>21.5</v>
      </c>
      <c r="I66" s="11">
        <f>IFERROR(100/'Skjema total MA'!F66*G66,0)</f>
        <v>14.215401373421658</v>
      </c>
      <c r="J66" s="309">
        <f t="shared" ref="J66:K86" si="15">SUM(B66,F66)</f>
        <v>3806401.1359999999</v>
      </c>
      <c r="K66" s="316">
        <f t="shared" si="15"/>
        <v>4394492.4240000006</v>
      </c>
      <c r="L66" s="428">
        <f t="shared" ref="L66:L111" si="16">IF(J66=0, "    ---- ", IF(ABS(ROUND(100/J66*K66-100,1))&lt;999,ROUND(100/J66*K66-100,1),IF(ROUND(100/J66*K66-100,1)&gt;999,999,-999)))</f>
        <v>15.5</v>
      </c>
      <c r="M66" s="11">
        <f>IFERROR(100/'Skjema total MA'!I66*K66,0)</f>
        <v>13.758118939948975</v>
      </c>
    </row>
    <row r="67" spans="1:14" x14ac:dyDescent="0.2">
      <c r="A67" s="419" t="s">
        <v>9</v>
      </c>
      <c r="B67" s="44">
        <v>587898.54475553602</v>
      </c>
      <c r="C67" s="145">
        <v>537991.59549624403</v>
      </c>
      <c r="D67" s="166">
        <f t="shared" si="13"/>
        <v>-8.5</v>
      </c>
      <c r="E67" s="27">
        <f>IFERROR(100/'Skjema total MA'!C67*C67,0)</f>
        <v>12.914220593309778</v>
      </c>
      <c r="F67" s="234"/>
      <c r="G67" s="145"/>
      <c r="H67" s="166"/>
      <c r="I67" s="27"/>
      <c r="J67" s="287">
        <f t="shared" si="15"/>
        <v>587898.54475553602</v>
      </c>
      <c r="K67" s="44">
        <f t="shared" si="15"/>
        <v>537991.59549624403</v>
      </c>
      <c r="L67" s="254">
        <f t="shared" si="16"/>
        <v>-8.5</v>
      </c>
      <c r="M67" s="27">
        <f>IFERROR(100/'Skjema total MA'!I67*K67,0)</f>
        <v>12.914220593309778</v>
      </c>
    </row>
    <row r="68" spans="1:14" x14ac:dyDescent="0.2">
      <c r="A68" s="21" t="s">
        <v>10</v>
      </c>
      <c r="B68" s="292">
        <v>14847</v>
      </c>
      <c r="C68" s="293">
        <v>11901</v>
      </c>
      <c r="D68" s="166">
        <f t="shared" si="13"/>
        <v>-19.8</v>
      </c>
      <c r="E68" s="27">
        <f>IFERROR(100/'Skjema total MA'!C68*C68,0)</f>
        <v>10.051029064425448</v>
      </c>
      <c r="F68" s="292">
        <v>3042954.1359999999</v>
      </c>
      <c r="G68" s="293">
        <v>3698340.4240000001</v>
      </c>
      <c r="H68" s="166">
        <f t="shared" si="14"/>
        <v>21.5</v>
      </c>
      <c r="I68" s="27">
        <f>IFERROR(100/'Skjema total MA'!F68*G68,0)</f>
        <v>14.800810985030845</v>
      </c>
      <c r="J68" s="287">
        <f t="shared" si="15"/>
        <v>3057801.1359999999</v>
      </c>
      <c r="K68" s="44">
        <f t="shared" si="15"/>
        <v>3710241.4240000001</v>
      </c>
      <c r="L68" s="254">
        <f t="shared" si="16"/>
        <v>21.3</v>
      </c>
      <c r="M68" s="27">
        <f>IFERROR(100/'Skjema total MA'!I68*K68,0)</f>
        <v>14.778409741365905</v>
      </c>
    </row>
    <row r="69" spans="1:14" ht="15.75" x14ac:dyDescent="0.2">
      <c r="A69" s="296" t="s">
        <v>380</v>
      </c>
      <c r="B69" s="294"/>
      <c r="C69" s="295"/>
      <c r="D69" s="166"/>
      <c r="E69" s="417"/>
      <c r="F69" s="294"/>
      <c r="G69" s="295"/>
      <c r="H69" s="166"/>
      <c r="I69" s="417"/>
      <c r="J69" s="294"/>
      <c r="K69" s="295"/>
      <c r="L69" s="166"/>
      <c r="M69" s="23"/>
    </row>
    <row r="70" spans="1:14" x14ac:dyDescent="0.2">
      <c r="A70" s="296" t="s">
        <v>12</v>
      </c>
      <c r="B70" s="294"/>
      <c r="C70" s="295"/>
      <c r="D70" s="166"/>
      <c r="E70" s="417"/>
      <c r="F70" s="294"/>
      <c r="G70" s="295"/>
      <c r="H70" s="166"/>
      <c r="I70" s="417"/>
      <c r="J70" s="294"/>
      <c r="K70" s="295"/>
      <c r="L70" s="166"/>
      <c r="M70" s="23"/>
    </row>
    <row r="71" spans="1:14" x14ac:dyDescent="0.2">
      <c r="A71" s="296" t="s">
        <v>13</v>
      </c>
      <c r="B71" s="235"/>
      <c r="C71" s="289"/>
      <c r="D71" s="166"/>
      <c r="E71" s="417"/>
      <c r="F71" s="294"/>
      <c r="G71" s="295"/>
      <c r="H71" s="166"/>
      <c r="I71" s="417"/>
      <c r="J71" s="294"/>
      <c r="K71" s="295"/>
      <c r="L71" s="166"/>
      <c r="M71" s="23"/>
    </row>
    <row r="72" spans="1:14" ht="15.75" x14ac:dyDescent="0.2">
      <c r="A72" s="296" t="s">
        <v>381</v>
      </c>
      <c r="B72" s="294"/>
      <c r="C72" s="295"/>
      <c r="D72" s="166"/>
      <c r="E72" s="417"/>
      <c r="F72" s="294"/>
      <c r="G72" s="295"/>
      <c r="H72" s="166"/>
      <c r="I72" s="417"/>
      <c r="J72" s="294"/>
      <c r="K72" s="295"/>
      <c r="L72" s="166"/>
      <c r="M72" s="23"/>
    </row>
    <row r="73" spans="1:14" x14ac:dyDescent="0.2">
      <c r="A73" s="296" t="s">
        <v>12</v>
      </c>
      <c r="B73" s="235"/>
      <c r="C73" s="289"/>
      <c r="D73" s="166"/>
      <c r="E73" s="417"/>
      <c r="F73" s="294"/>
      <c r="G73" s="295"/>
      <c r="H73" s="166"/>
      <c r="I73" s="417"/>
      <c r="J73" s="294"/>
      <c r="K73" s="295"/>
      <c r="L73" s="166"/>
      <c r="M73" s="23"/>
    </row>
    <row r="74" spans="1:14" s="3" customFormat="1" x14ac:dyDescent="0.2">
      <c r="A74" s="296" t="s">
        <v>13</v>
      </c>
      <c r="B74" s="235"/>
      <c r="C74" s="289"/>
      <c r="D74" s="166"/>
      <c r="E74" s="417"/>
      <c r="F74" s="294"/>
      <c r="G74" s="295"/>
      <c r="H74" s="166"/>
      <c r="I74" s="417"/>
      <c r="J74" s="294"/>
      <c r="K74" s="295"/>
      <c r="L74" s="166"/>
      <c r="M74" s="23"/>
      <c r="N74" s="148"/>
    </row>
    <row r="75" spans="1:14" s="3" customFormat="1" x14ac:dyDescent="0.2">
      <c r="A75" s="21" t="s">
        <v>350</v>
      </c>
      <c r="B75" s="234"/>
      <c r="C75" s="145"/>
      <c r="D75" s="166"/>
      <c r="E75" s="27"/>
      <c r="F75" s="234"/>
      <c r="G75" s="145"/>
      <c r="H75" s="166"/>
      <c r="I75" s="27"/>
      <c r="J75" s="287"/>
      <c r="K75" s="44"/>
      <c r="L75" s="254"/>
      <c r="M75" s="27"/>
      <c r="N75" s="148"/>
    </row>
    <row r="76" spans="1:14" s="3" customFormat="1" x14ac:dyDescent="0.2">
      <c r="A76" s="21" t="s">
        <v>349</v>
      </c>
      <c r="B76" s="234">
        <v>160701.45524446401</v>
      </c>
      <c r="C76" s="145">
        <v>146259.404503756</v>
      </c>
      <c r="D76" s="166">
        <f t="shared" ref="D76" si="17">IF(B76=0, "    ---- ", IF(ABS(ROUND(100/B76*C76-100,1))&lt;999,ROUND(100/B76*C76-100,1),IF(ROUND(100/B76*C76-100,1)&gt;999,999,-999)))</f>
        <v>-9</v>
      </c>
      <c r="E76" s="27">
        <f>IFERROR(100/'Skjema total MA'!C77*C76,0)</f>
        <v>3.5275108537528648</v>
      </c>
      <c r="F76" s="234"/>
      <c r="G76" s="145"/>
      <c r="H76" s="166"/>
      <c r="I76" s="27"/>
      <c r="J76" s="287">
        <f t="shared" ref="J76" si="18">SUM(B76,F76)</f>
        <v>160701.45524446401</v>
      </c>
      <c r="K76" s="44">
        <f t="shared" ref="K76" si="19">SUM(C76,G76)</f>
        <v>146259.404503756</v>
      </c>
      <c r="L76" s="254">
        <f t="shared" ref="L76" si="20">IF(J76=0, "    ---- ", IF(ABS(ROUND(100/J76*K76-100,1))&lt;999,ROUND(100/J76*K76-100,1),IF(ROUND(100/J76*K76-100,1)&gt;999,999,-999)))</f>
        <v>-9</v>
      </c>
      <c r="M76" s="27">
        <f>IFERROR(100/'Skjema total MA'!I77*K76,0)</f>
        <v>0.50222523629462101</v>
      </c>
      <c r="N76" s="148"/>
    </row>
    <row r="77" spans="1:14" ht="15.75" x14ac:dyDescent="0.2">
      <c r="A77" s="21" t="s">
        <v>382</v>
      </c>
      <c r="B77" s="234">
        <v>593557.34575553599</v>
      </c>
      <c r="C77" s="234">
        <v>542102.61849624396</v>
      </c>
      <c r="D77" s="166">
        <f t="shared" si="13"/>
        <v>-8.6999999999999993</v>
      </c>
      <c r="E77" s="27">
        <f>IFERROR(100/'Skjema total MA'!C77*C77,0)</f>
        <v>13.074529306894867</v>
      </c>
      <c r="F77" s="234">
        <v>3039906.8629999999</v>
      </c>
      <c r="G77" s="145">
        <v>3696450.4470000002</v>
      </c>
      <c r="H77" s="166">
        <f t="shared" si="14"/>
        <v>21.6</v>
      </c>
      <c r="I77" s="27">
        <f>IFERROR(100/'Skjema total MA'!F77*G77,0)</f>
        <v>14.799995915025931</v>
      </c>
      <c r="J77" s="287">
        <f t="shared" si="15"/>
        <v>3633464.208755536</v>
      </c>
      <c r="K77" s="44">
        <f t="shared" si="15"/>
        <v>4238553.0654962445</v>
      </c>
      <c r="L77" s="254">
        <f t="shared" si="16"/>
        <v>16.7</v>
      </c>
      <c r="M77" s="27">
        <f>IFERROR(100/'Skjema total MA'!I77*K77,0)</f>
        <v>14.55433462271122</v>
      </c>
    </row>
    <row r="78" spans="1:14" x14ac:dyDescent="0.2">
      <c r="A78" s="21" t="s">
        <v>9</v>
      </c>
      <c r="B78" s="234">
        <v>581763.34575553599</v>
      </c>
      <c r="C78" s="145">
        <v>532099.06449624395</v>
      </c>
      <c r="D78" s="166">
        <f t="shared" si="13"/>
        <v>-8.5</v>
      </c>
      <c r="E78" s="27">
        <f>IFERROR(100/'Skjema total MA'!C78*C78,0)</f>
        <v>13.204298509753693</v>
      </c>
      <c r="F78" s="234"/>
      <c r="G78" s="145"/>
      <c r="H78" s="166"/>
      <c r="I78" s="27"/>
      <c r="J78" s="287">
        <f t="shared" si="15"/>
        <v>581763.34575553599</v>
      </c>
      <c r="K78" s="44">
        <f t="shared" si="15"/>
        <v>532099.06449624395</v>
      </c>
      <c r="L78" s="254">
        <f t="shared" si="16"/>
        <v>-8.5</v>
      </c>
      <c r="M78" s="27">
        <f>IFERROR(100/'Skjema total MA'!I78*K78,0)</f>
        <v>13.204298509753693</v>
      </c>
    </row>
    <row r="79" spans="1:14" x14ac:dyDescent="0.2">
      <c r="A79" s="21" t="s">
        <v>10</v>
      </c>
      <c r="B79" s="292">
        <v>11794</v>
      </c>
      <c r="C79" s="293">
        <v>10003.554</v>
      </c>
      <c r="D79" s="166">
        <f t="shared" si="13"/>
        <v>-15.2</v>
      </c>
      <c r="E79" s="27">
        <f>IFERROR(100/'Skjema total MA'!C79*C79,0)</f>
        <v>8.5861269415979624</v>
      </c>
      <c r="F79" s="292">
        <v>3039906.8629999999</v>
      </c>
      <c r="G79" s="293">
        <v>3696450.4470000002</v>
      </c>
      <c r="H79" s="166">
        <f t="shared" si="14"/>
        <v>21.6</v>
      </c>
      <c r="I79" s="27">
        <f>IFERROR(100/'Skjema total MA'!F79*G79,0)</f>
        <v>14.799995915025931</v>
      </c>
      <c r="J79" s="287">
        <f t="shared" si="15"/>
        <v>3051700.8629999999</v>
      </c>
      <c r="K79" s="44">
        <f t="shared" si="15"/>
        <v>3706454.0010000002</v>
      </c>
      <c r="L79" s="254">
        <f t="shared" si="16"/>
        <v>21.5</v>
      </c>
      <c r="M79" s="27">
        <f>IFERROR(100/'Skjema total MA'!I79*K79,0)</f>
        <v>14.771144001319273</v>
      </c>
    </row>
    <row r="80" spans="1:14" ht="15.75" x14ac:dyDescent="0.2">
      <c r="A80" s="296" t="s">
        <v>380</v>
      </c>
      <c r="B80" s="294"/>
      <c r="C80" s="295"/>
      <c r="D80" s="166"/>
      <c r="E80" s="417"/>
      <c r="F80" s="294"/>
      <c r="G80" s="295"/>
      <c r="H80" s="166"/>
      <c r="I80" s="417"/>
      <c r="J80" s="294"/>
      <c r="K80" s="295"/>
      <c r="L80" s="166"/>
      <c r="M80" s="23"/>
    </row>
    <row r="81" spans="1:13" x14ac:dyDescent="0.2">
      <c r="A81" s="296" t="s">
        <v>12</v>
      </c>
      <c r="B81" s="294"/>
      <c r="C81" s="295"/>
      <c r="D81" s="166"/>
      <c r="E81" s="417"/>
      <c r="F81" s="294"/>
      <c r="G81" s="295"/>
      <c r="H81" s="166"/>
      <c r="I81" s="417"/>
      <c r="J81" s="294"/>
      <c r="K81" s="295"/>
      <c r="L81" s="166"/>
      <c r="M81" s="23"/>
    </row>
    <row r="82" spans="1:13" x14ac:dyDescent="0.2">
      <c r="A82" s="296" t="s">
        <v>13</v>
      </c>
      <c r="B82" s="294"/>
      <c r="C82" s="295"/>
      <c r="D82" s="166"/>
      <c r="E82" s="417"/>
      <c r="F82" s="294"/>
      <c r="G82" s="295"/>
      <c r="H82" s="166"/>
      <c r="I82" s="417"/>
      <c r="J82" s="294"/>
      <c r="K82" s="295"/>
      <c r="L82" s="166"/>
      <c r="M82" s="23"/>
    </row>
    <row r="83" spans="1:13" ht="15.75" x14ac:dyDescent="0.2">
      <c r="A83" s="296" t="s">
        <v>381</v>
      </c>
      <c r="B83" s="294"/>
      <c r="C83" s="295"/>
      <c r="D83" s="166"/>
      <c r="E83" s="417"/>
      <c r="F83" s="294"/>
      <c r="G83" s="295"/>
      <c r="H83" s="166"/>
      <c r="I83" s="417"/>
      <c r="J83" s="294"/>
      <c r="K83" s="295"/>
      <c r="L83" s="166"/>
      <c r="M83" s="23"/>
    </row>
    <row r="84" spans="1:13" x14ac:dyDescent="0.2">
      <c r="A84" s="296" t="s">
        <v>12</v>
      </c>
      <c r="B84" s="294"/>
      <c r="C84" s="295"/>
      <c r="D84" s="166"/>
      <c r="E84" s="417"/>
      <c r="F84" s="294"/>
      <c r="G84" s="295"/>
      <c r="H84" s="166"/>
      <c r="I84" s="417"/>
      <c r="J84" s="294"/>
      <c r="K84" s="295"/>
      <c r="L84" s="166"/>
      <c r="M84" s="23"/>
    </row>
    <row r="85" spans="1:13" x14ac:dyDescent="0.2">
      <c r="A85" s="296" t="s">
        <v>13</v>
      </c>
      <c r="B85" s="294"/>
      <c r="C85" s="295"/>
      <c r="D85" s="166"/>
      <c r="E85" s="417"/>
      <c r="F85" s="294"/>
      <c r="G85" s="295"/>
      <c r="H85" s="166"/>
      <c r="I85" s="417"/>
      <c r="J85" s="294"/>
      <c r="K85" s="295"/>
      <c r="L85" s="166"/>
      <c r="M85" s="23"/>
    </row>
    <row r="86" spans="1:13" ht="15.75" x14ac:dyDescent="0.2">
      <c r="A86" s="21" t="s">
        <v>383</v>
      </c>
      <c r="B86" s="234">
        <v>9188</v>
      </c>
      <c r="C86" s="145">
        <v>7790</v>
      </c>
      <c r="D86" s="166">
        <f t="shared" si="13"/>
        <v>-15.2</v>
      </c>
      <c r="E86" s="27">
        <f>IFERROR(100/'Skjema total MA'!C86*C86,0)</f>
        <v>5.643236814303715</v>
      </c>
      <c r="F86" s="234">
        <v>3047.2730000000001</v>
      </c>
      <c r="G86" s="145">
        <v>1889.9770000000001</v>
      </c>
      <c r="H86" s="166">
        <f t="shared" si="14"/>
        <v>-38</v>
      </c>
      <c r="I86" s="27">
        <f>IFERROR(100/'Skjema total MA'!F86*G86,0)</f>
        <v>16.587470740047657</v>
      </c>
      <c r="J86" s="287">
        <f t="shared" si="15"/>
        <v>12235.273000000001</v>
      </c>
      <c r="K86" s="44">
        <f t="shared" si="15"/>
        <v>9679.9770000000008</v>
      </c>
      <c r="L86" s="254">
        <f t="shared" si="16"/>
        <v>-20.9</v>
      </c>
      <c r="M86" s="27">
        <f>IFERROR(100/'Skjema total MA'!I86*K86,0)</f>
        <v>6.4777022945842431</v>
      </c>
    </row>
    <row r="87" spans="1:13" ht="15.75" x14ac:dyDescent="0.2">
      <c r="A87" s="13" t="s">
        <v>365</v>
      </c>
      <c r="B87" s="353">
        <v>46680109.298264585</v>
      </c>
      <c r="C87" s="353">
        <v>47798352.945799485</v>
      </c>
      <c r="D87" s="171">
        <f t="shared" si="13"/>
        <v>2.4</v>
      </c>
      <c r="E87" s="11">
        <f>IFERROR(100/'Skjema total MA'!C87*C87,0)</f>
        <v>12.149175119906616</v>
      </c>
      <c r="F87" s="352">
        <v>38656840.236000001</v>
      </c>
      <c r="G87" s="352">
        <v>47699269.347489998</v>
      </c>
      <c r="H87" s="171">
        <f t="shared" si="14"/>
        <v>23.4</v>
      </c>
      <c r="I87" s="11">
        <f>IFERROR(100/'Skjema total MA'!F87*G87,0)</f>
        <v>14.100706098692045</v>
      </c>
      <c r="J87" s="309">
        <f t="shared" ref="J87:K111" si="21">SUM(B87,F87)</f>
        <v>85336949.534264594</v>
      </c>
      <c r="K87" s="236">
        <f t="shared" si="21"/>
        <v>95497622.293289483</v>
      </c>
      <c r="L87" s="428">
        <f t="shared" si="16"/>
        <v>11.9</v>
      </c>
      <c r="M87" s="11">
        <f>IFERROR(100/'Skjema total MA'!I87*K87,0)</f>
        <v>13.051391202530898</v>
      </c>
    </row>
    <row r="88" spans="1:13" x14ac:dyDescent="0.2">
      <c r="A88" s="21" t="s">
        <v>9</v>
      </c>
      <c r="B88" s="234">
        <v>45357535.151651099</v>
      </c>
      <c r="C88" s="145">
        <v>46352378.717892803</v>
      </c>
      <c r="D88" s="166">
        <f t="shared" si="13"/>
        <v>2.2000000000000002</v>
      </c>
      <c r="E88" s="27">
        <f>IFERROR(100/'Skjema total MA'!C88*C88,0)</f>
        <v>12.138221474457021</v>
      </c>
      <c r="F88" s="234"/>
      <c r="G88" s="145"/>
      <c r="H88" s="166"/>
      <c r="I88" s="27"/>
      <c r="J88" s="287">
        <f t="shared" si="21"/>
        <v>45357535.151651099</v>
      </c>
      <c r="K88" s="44">
        <f t="shared" si="21"/>
        <v>46352378.717892803</v>
      </c>
      <c r="L88" s="254">
        <f t="shared" si="16"/>
        <v>2.2000000000000002</v>
      </c>
      <c r="M88" s="27">
        <f>IFERROR(100/'Skjema total MA'!I88*K88,0)</f>
        <v>12.138221474457021</v>
      </c>
    </row>
    <row r="89" spans="1:13" x14ac:dyDescent="0.2">
      <c r="A89" s="21" t="s">
        <v>10</v>
      </c>
      <c r="B89" s="234">
        <v>1150474.7776134801</v>
      </c>
      <c r="C89" s="145">
        <v>1205171.52090668</v>
      </c>
      <c r="D89" s="166">
        <f t="shared" si="13"/>
        <v>4.8</v>
      </c>
      <c r="E89" s="27">
        <f>IFERROR(100/'Skjema total MA'!C89*C89,0)</f>
        <v>38.041265814641896</v>
      </c>
      <c r="F89" s="234">
        <v>38656840.236000001</v>
      </c>
      <c r="G89" s="145">
        <v>47699269.347489998</v>
      </c>
      <c r="H89" s="166">
        <f t="shared" si="14"/>
        <v>23.4</v>
      </c>
      <c r="I89" s="27">
        <f>IFERROR(100/'Skjema total MA'!F89*G89,0)</f>
        <v>14.208751553126509</v>
      </c>
      <c r="J89" s="287">
        <f t="shared" si="21"/>
        <v>39807315.013613485</v>
      </c>
      <c r="K89" s="44">
        <f t="shared" si="21"/>
        <v>48904440.868396677</v>
      </c>
      <c r="L89" s="254">
        <f t="shared" si="16"/>
        <v>22.9</v>
      </c>
      <c r="M89" s="27">
        <f>IFERROR(100/'Skjema total MA'!I89*K89,0)</f>
        <v>14.431558484973616</v>
      </c>
    </row>
    <row r="90" spans="1:13" ht="15.75" x14ac:dyDescent="0.2">
      <c r="A90" s="296" t="s">
        <v>380</v>
      </c>
      <c r="B90" s="294"/>
      <c r="C90" s="295"/>
      <c r="D90" s="166"/>
      <c r="E90" s="417"/>
      <c r="F90" s="294"/>
      <c r="G90" s="295"/>
      <c r="H90" s="166"/>
      <c r="I90" s="417"/>
      <c r="J90" s="294"/>
      <c r="K90" s="295"/>
      <c r="L90" s="166"/>
      <c r="M90" s="23"/>
    </row>
    <row r="91" spans="1:13" x14ac:dyDescent="0.2">
      <c r="A91" s="296" t="s">
        <v>12</v>
      </c>
      <c r="B91" s="294"/>
      <c r="C91" s="295"/>
      <c r="D91" s="166"/>
      <c r="E91" s="417"/>
      <c r="F91" s="294"/>
      <c r="G91" s="295"/>
      <c r="H91" s="166"/>
      <c r="I91" s="417"/>
      <c r="J91" s="294"/>
      <c r="K91" s="295"/>
      <c r="L91" s="166"/>
      <c r="M91" s="23"/>
    </row>
    <row r="92" spans="1:13" x14ac:dyDescent="0.2">
      <c r="A92" s="296" t="s">
        <v>13</v>
      </c>
      <c r="B92" s="294"/>
      <c r="C92" s="295"/>
      <c r="D92" s="166"/>
      <c r="E92" s="417"/>
      <c r="F92" s="294"/>
      <c r="G92" s="295"/>
      <c r="H92" s="166"/>
      <c r="I92" s="417"/>
      <c r="J92" s="294"/>
      <c r="K92" s="295"/>
      <c r="L92" s="166"/>
      <c r="M92" s="23"/>
    </row>
    <row r="93" spans="1:13" ht="15.75" x14ac:dyDescent="0.2">
      <c r="A93" s="296" t="s">
        <v>381</v>
      </c>
      <c r="B93" s="294"/>
      <c r="C93" s="295"/>
      <c r="D93" s="166"/>
      <c r="E93" s="417"/>
      <c r="F93" s="294"/>
      <c r="G93" s="295"/>
      <c r="H93" s="166"/>
      <c r="I93" s="417"/>
      <c r="J93" s="294"/>
      <c r="K93" s="295"/>
      <c r="L93" s="166"/>
      <c r="M93" s="23"/>
    </row>
    <row r="94" spans="1:13" x14ac:dyDescent="0.2">
      <c r="A94" s="296" t="s">
        <v>12</v>
      </c>
      <c r="B94" s="294"/>
      <c r="C94" s="295"/>
      <c r="D94" s="166"/>
      <c r="E94" s="417"/>
      <c r="F94" s="294"/>
      <c r="G94" s="295"/>
      <c r="H94" s="166"/>
      <c r="I94" s="417"/>
      <c r="J94" s="294"/>
      <c r="K94" s="295"/>
      <c r="L94" s="166"/>
      <c r="M94" s="23"/>
    </row>
    <row r="95" spans="1:13" x14ac:dyDescent="0.2">
      <c r="A95" s="296" t="s">
        <v>13</v>
      </c>
      <c r="B95" s="294"/>
      <c r="C95" s="295"/>
      <c r="D95" s="166"/>
      <c r="E95" s="417"/>
      <c r="F95" s="294"/>
      <c r="G95" s="295"/>
      <c r="H95" s="166"/>
      <c r="I95" s="417"/>
      <c r="J95" s="294"/>
      <c r="K95" s="295"/>
      <c r="L95" s="166"/>
      <c r="M95" s="23"/>
    </row>
    <row r="96" spans="1:13" x14ac:dyDescent="0.2">
      <c r="A96" s="21" t="s">
        <v>348</v>
      </c>
      <c r="B96" s="234"/>
      <c r="C96" s="145"/>
      <c r="D96" s="166"/>
      <c r="E96" s="27"/>
      <c r="F96" s="234"/>
      <c r="G96" s="145"/>
      <c r="H96" s="166"/>
      <c r="I96" s="27"/>
      <c r="J96" s="287"/>
      <c r="K96" s="44"/>
      <c r="L96" s="254"/>
      <c r="M96" s="27"/>
    </row>
    <row r="97" spans="1:13" x14ac:dyDescent="0.2">
      <c r="A97" s="21" t="s">
        <v>347</v>
      </c>
      <c r="B97" s="234">
        <v>172099.36900000001</v>
      </c>
      <c r="C97" s="145">
        <v>240802.70699999999</v>
      </c>
      <c r="D97" s="166">
        <f t="shared" ref="D97" si="22">IF(B97=0, "    ---- ", IF(ABS(ROUND(100/B97*C97-100,1))&lt;999,ROUND(100/B97*C97-100,1),IF(ROUND(100/B97*C97-100,1)&gt;999,999,-999)))</f>
        <v>39.9</v>
      </c>
      <c r="E97" s="27">
        <f>IFERROR(100/'Skjema total MA'!C98*C97,0)</f>
        <v>6.3265020582864664E-2</v>
      </c>
      <c r="F97" s="234"/>
      <c r="G97" s="145"/>
      <c r="H97" s="166"/>
      <c r="I97" s="27"/>
      <c r="J97" s="287">
        <f t="shared" ref="J97" si="23">SUM(B97,F97)</f>
        <v>172099.36900000001</v>
      </c>
      <c r="K97" s="44">
        <f t="shared" ref="K97" si="24">SUM(C97,G97)</f>
        <v>240802.70699999999</v>
      </c>
      <c r="L97" s="254">
        <f t="shared" ref="L97" si="25">IF(J97=0, "    ---- ", IF(ABS(ROUND(100/J97*K97-100,1))&lt;999,ROUND(100/J97*K97-100,1),IF(ROUND(100/J97*K97-100,1)&gt;999,999,-999)))</f>
        <v>39.9</v>
      </c>
      <c r="M97" s="27">
        <f>IFERROR(100/'Skjema total MA'!I98*K97,0)</f>
        <v>3.3660531710551292E-2</v>
      </c>
    </row>
    <row r="98" spans="1:13" ht="15.75" x14ac:dyDescent="0.2">
      <c r="A98" s="21" t="s">
        <v>382</v>
      </c>
      <c r="B98" s="234">
        <v>46482108.881264582</v>
      </c>
      <c r="C98" s="234">
        <v>47534337.250799477</v>
      </c>
      <c r="D98" s="166">
        <f t="shared" si="13"/>
        <v>2.2999999999999998</v>
      </c>
      <c r="E98" s="27">
        <f>IFERROR(100/'Skjema total MA'!C98*C98,0)</f>
        <v>12.488484295006947</v>
      </c>
      <c r="F98" s="292">
        <v>38632563.642999999</v>
      </c>
      <c r="G98" s="292">
        <v>47685103.448490001</v>
      </c>
      <c r="H98" s="166">
        <f t="shared" si="14"/>
        <v>23.4</v>
      </c>
      <c r="I98" s="27">
        <f>IFERROR(100/'Skjema total MA'!F98*G98,0)</f>
        <v>14.244539789035196</v>
      </c>
      <c r="J98" s="287">
        <f t="shared" si="21"/>
        <v>85114672.524264574</v>
      </c>
      <c r="K98" s="44">
        <f t="shared" si="21"/>
        <v>95219440.699289471</v>
      </c>
      <c r="L98" s="254">
        <f t="shared" si="16"/>
        <v>11.9</v>
      </c>
      <c r="M98" s="27">
        <f>IFERROR(100/'Skjema total MA'!I98*K98,0)</f>
        <v>13.310219984858357</v>
      </c>
    </row>
    <row r="99" spans="1:13" x14ac:dyDescent="0.2">
      <c r="A99" s="21" t="s">
        <v>9</v>
      </c>
      <c r="B99" s="292">
        <v>45331634.103651099</v>
      </c>
      <c r="C99" s="293">
        <v>46329165.729892798</v>
      </c>
      <c r="D99" s="166">
        <f t="shared" si="13"/>
        <v>2.2000000000000002</v>
      </c>
      <c r="E99" s="27">
        <f>IFERROR(100/'Skjema total MA'!C99*C99,0)</f>
        <v>12.274015423074427</v>
      </c>
      <c r="F99" s="234"/>
      <c r="G99" s="145"/>
      <c r="H99" s="166"/>
      <c r="I99" s="27"/>
      <c r="J99" s="287">
        <f t="shared" si="21"/>
        <v>45331634.103651099</v>
      </c>
      <c r="K99" s="44">
        <f t="shared" si="21"/>
        <v>46329165.729892798</v>
      </c>
      <c r="L99" s="254">
        <f t="shared" si="16"/>
        <v>2.2000000000000002</v>
      </c>
      <c r="M99" s="27">
        <f>IFERROR(100/'Skjema total MA'!I99*K99,0)</f>
        <v>12.274015423074427</v>
      </c>
    </row>
    <row r="100" spans="1:13" x14ac:dyDescent="0.2">
      <c r="A100" s="21" t="s">
        <v>10</v>
      </c>
      <c r="B100" s="292">
        <v>1150474.7776134801</v>
      </c>
      <c r="C100" s="293">
        <v>1205171.52090668</v>
      </c>
      <c r="D100" s="166">
        <f t="shared" si="13"/>
        <v>4.8</v>
      </c>
      <c r="E100" s="27">
        <f>IFERROR(100/'Skjema total MA'!C100*C100,0)</f>
        <v>38.041265814641896</v>
      </c>
      <c r="F100" s="234">
        <v>38632563.642999999</v>
      </c>
      <c r="G100" s="234">
        <v>47685103.448490001</v>
      </c>
      <c r="H100" s="166">
        <f t="shared" si="14"/>
        <v>23.4</v>
      </c>
      <c r="I100" s="27">
        <f>IFERROR(100/'Skjema total MA'!F100*G100,0)</f>
        <v>14.244539789035196</v>
      </c>
      <c r="J100" s="287">
        <f t="shared" si="21"/>
        <v>39783038.420613483</v>
      </c>
      <c r="K100" s="44">
        <f t="shared" si="21"/>
        <v>48890274.969396681</v>
      </c>
      <c r="L100" s="254">
        <f t="shared" si="16"/>
        <v>22.9</v>
      </c>
      <c r="M100" s="27">
        <f>IFERROR(100/'Skjema total MA'!I100*K100,0)</f>
        <v>14.467632875186368</v>
      </c>
    </row>
    <row r="101" spans="1:13" ht="15.75" x14ac:dyDescent="0.2">
      <c r="A101" s="296" t="s">
        <v>380</v>
      </c>
      <c r="B101" s="294"/>
      <c r="C101" s="295"/>
      <c r="D101" s="166"/>
      <c r="E101" s="417"/>
      <c r="F101" s="294"/>
      <c r="G101" s="295"/>
      <c r="H101" s="166"/>
      <c r="I101" s="417"/>
      <c r="J101" s="294"/>
      <c r="K101" s="295"/>
      <c r="L101" s="166"/>
      <c r="M101" s="23"/>
    </row>
    <row r="102" spans="1:13" x14ac:dyDescent="0.2">
      <c r="A102" s="296" t="s">
        <v>12</v>
      </c>
      <c r="B102" s="294"/>
      <c r="C102" s="295"/>
      <c r="D102" s="166"/>
      <c r="E102" s="417"/>
      <c r="F102" s="294"/>
      <c r="G102" s="295"/>
      <c r="H102" s="166"/>
      <c r="I102" s="417"/>
      <c r="J102" s="294"/>
      <c r="K102" s="295"/>
      <c r="L102" s="166"/>
      <c r="M102" s="23"/>
    </row>
    <row r="103" spans="1:13" x14ac:dyDescent="0.2">
      <c r="A103" s="296" t="s">
        <v>13</v>
      </c>
      <c r="B103" s="294"/>
      <c r="C103" s="295"/>
      <c r="D103" s="166"/>
      <c r="E103" s="417"/>
      <c r="F103" s="294"/>
      <c r="G103" s="295"/>
      <c r="H103" s="166"/>
      <c r="I103" s="417"/>
      <c r="J103" s="294"/>
      <c r="K103" s="295"/>
      <c r="L103" s="166"/>
      <c r="M103" s="23"/>
    </row>
    <row r="104" spans="1:13" ht="15.75" x14ac:dyDescent="0.2">
      <c r="A104" s="296" t="s">
        <v>381</v>
      </c>
      <c r="B104" s="294"/>
      <c r="C104" s="295"/>
      <c r="D104" s="166"/>
      <c r="E104" s="417"/>
      <c r="F104" s="294"/>
      <c r="G104" s="295"/>
      <c r="H104" s="166"/>
      <c r="I104" s="417"/>
      <c r="J104" s="294"/>
      <c r="K104" s="295"/>
      <c r="L104" s="166"/>
      <c r="M104" s="23"/>
    </row>
    <row r="105" spans="1:13" x14ac:dyDescent="0.2">
      <c r="A105" s="296" t="s">
        <v>12</v>
      </c>
      <c r="B105" s="294"/>
      <c r="C105" s="295"/>
      <c r="D105" s="166"/>
      <c r="E105" s="417"/>
      <c r="F105" s="294"/>
      <c r="G105" s="295"/>
      <c r="H105" s="166"/>
      <c r="I105" s="417"/>
      <c r="J105" s="294"/>
      <c r="K105" s="295"/>
      <c r="L105" s="166"/>
      <c r="M105" s="23"/>
    </row>
    <row r="106" spans="1:13" x14ac:dyDescent="0.2">
      <c r="A106" s="296" t="s">
        <v>13</v>
      </c>
      <c r="B106" s="294"/>
      <c r="C106" s="295"/>
      <c r="D106" s="166"/>
      <c r="E106" s="417"/>
      <c r="F106" s="294"/>
      <c r="G106" s="295"/>
      <c r="H106" s="166"/>
      <c r="I106" s="417"/>
      <c r="J106" s="294"/>
      <c r="K106" s="295"/>
      <c r="L106" s="166"/>
      <c r="M106" s="23"/>
    </row>
    <row r="107" spans="1:13" ht="15.75" x14ac:dyDescent="0.2">
      <c r="A107" s="21" t="s">
        <v>383</v>
      </c>
      <c r="B107" s="234">
        <v>25901.047999999999</v>
      </c>
      <c r="C107" s="145">
        <v>23212.988000000001</v>
      </c>
      <c r="D107" s="166">
        <f t="shared" si="13"/>
        <v>-10.4</v>
      </c>
      <c r="E107" s="27">
        <f>IFERROR(100/'Skjema total MA'!C107*C107,0)</f>
        <v>0.52589848748995283</v>
      </c>
      <c r="F107" s="234">
        <v>24276.593000000001</v>
      </c>
      <c r="G107" s="145">
        <v>14165.898999999999</v>
      </c>
      <c r="H107" s="166">
        <f t="shared" si="14"/>
        <v>-41.6</v>
      </c>
      <c r="I107" s="27">
        <f>IFERROR(100/'Skjema total MA'!F107*G107,0)</f>
        <v>1.5024152228334158</v>
      </c>
      <c r="J107" s="287">
        <f t="shared" si="21"/>
        <v>50177.641000000003</v>
      </c>
      <c r="K107" s="44">
        <f t="shared" si="21"/>
        <v>37378.887000000002</v>
      </c>
      <c r="L107" s="254">
        <f t="shared" si="16"/>
        <v>-25.5</v>
      </c>
      <c r="M107" s="27">
        <f>IFERROR(100/'Skjema total MA'!I107*K107,0)</f>
        <v>0.69777834132672623</v>
      </c>
    </row>
    <row r="108" spans="1:13" ht="15.75" x14ac:dyDescent="0.2">
      <c r="A108" s="21" t="s">
        <v>384</v>
      </c>
      <c r="B108" s="234">
        <v>35088037.789637201</v>
      </c>
      <c r="C108" s="234">
        <v>37625817.349879898</v>
      </c>
      <c r="D108" s="166">
        <f t="shared" si="13"/>
        <v>7.2</v>
      </c>
      <c r="E108" s="27">
        <f>IFERROR(100/'Skjema total MA'!C108*C108,0)</f>
        <v>11.564551707889281</v>
      </c>
      <c r="F108" s="234"/>
      <c r="G108" s="234"/>
      <c r="H108" s="166"/>
      <c r="I108" s="27"/>
      <c r="J108" s="287">
        <f t="shared" si="21"/>
        <v>35088037.789637201</v>
      </c>
      <c r="K108" s="44">
        <f t="shared" si="21"/>
        <v>37625817.349879898</v>
      </c>
      <c r="L108" s="254">
        <f t="shared" si="16"/>
        <v>7.2</v>
      </c>
      <c r="M108" s="27">
        <f>IFERROR(100/'Skjema total MA'!I108*K108,0)</f>
        <v>10.979286774118593</v>
      </c>
    </row>
    <row r="109" spans="1:13" ht="15.75" x14ac:dyDescent="0.2">
      <c r="A109" s="21" t="s">
        <v>385</v>
      </c>
      <c r="B109" s="234">
        <v>538581.74821826804</v>
      </c>
      <c r="C109" s="234">
        <v>597101.79352191102</v>
      </c>
      <c r="D109" s="166">
        <f t="shared" si="13"/>
        <v>10.9</v>
      </c>
      <c r="E109" s="27">
        <f>IFERROR(100/'Skjema total MA'!C109*C109,0)</f>
        <v>57.034673474272729</v>
      </c>
      <c r="F109" s="234">
        <v>15874769.530160001</v>
      </c>
      <c r="G109" s="234">
        <v>18488075.353656001</v>
      </c>
      <c r="H109" s="166">
        <f t="shared" si="14"/>
        <v>16.5</v>
      </c>
      <c r="I109" s="27">
        <f>IFERROR(100/'Skjema total MA'!F109*G109,0)</f>
        <v>15.639210470224421</v>
      </c>
      <c r="J109" s="287">
        <f t="shared" si="21"/>
        <v>16413351.278378269</v>
      </c>
      <c r="K109" s="44">
        <f t="shared" si="21"/>
        <v>19085177.147177912</v>
      </c>
      <c r="L109" s="254">
        <f t="shared" si="16"/>
        <v>16.3</v>
      </c>
      <c r="M109" s="27">
        <f>IFERROR(100/'Skjema total MA'!I109*K109,0)</f>
        <v>16.002586391365313</v>
      </c>
    </row>
    <row r="110" spans="1:13" ht="15.75" x14ac:dyDescent="0.2">
      <c r="A110" s="21" t="s">
        <v>386</v>
      </c>
      <c r="B110" s="234"/>
      <c r="C110" s="234"/>
      <c r="D110" s="166"/>
      <c r="E110" s="27"/>
      <c r="F110" s="234"/>
      <c r="G110" s="234"/>
      <c r="H110" s="166"/>
      <c r="I110" s="27"/>
      <c r="J110" s="287"/>
      <c r="K110" s="44"/>
      <c r="L110" s="254"/>
      <c r="M110" s="27"/>
    </row>
    <row r="111" spans="1:13" ht="15.75" x14ac:dyDescent="0.2">
      <c r="A111" s="13" t="s">
        <v>366</v>
      </c>
      <c r="B111" s="308">
        <v>261</v>
      </c>
      <c r="C111" s="159">
        <v>165</v>
      </c>
      <c r="D111" s="171">
        <f t="shared" si="13"/>
        <v>-36.799999999999997</v>
      </c>
      <c r="E111" s="11">
        <f>IFERROR(100/'Skjema total MA'!C111*C111,0)</f>
        <v>2.4828695025843641E-2</v>
      </c>
      <c r="F111" s="308">
        <v>2509772.0440000002</v>
      </c>
      <c r="G111" s="159">
        <v>4642975.1730000004</v>
      </c>
      <c r="H111" s="171">
        <f t="shared" si="14"/>
        <v>85</v>
      </c>
      <c r="I111" s="11">
        <f>IFERROR(100/'Skjema total MA'!F111*G111,0)</f>
        <v>31.488310950063575</v>
      </c>
      <c r="J111" s="309">
        <f t="shared" si="21"/>
        <v>2510033.0440000002</v>
      </c>
      <c r="K111" s="236">
        <f t="shared" si="21"/>
        <v>4643140.1730000004</v>
      </c>
      <c r="L111" s="428">
        <f t="shared" si="16"/>
        <v>85</v>
      </c>
      <c r="M111" s="11">
        <f>IFERROR(100/'Skjema total MA'!I111*K111,0)</f>
        <v>30.13142091049415</v>
      </c>
    </row>
    <row r="112" spans="1:13" x14ac:dyDescent="0.2">
      <c r="A112" s="21" t="s">
        <v>9</v>
      </c>
      <c r="B112" s="234">
        <v>261</v>
      </c>
      <c r="C112" s="145">
        <v>165</v>
      </c>
      <c r="D112" s="166">
        <f t="shared" ref="D112:D120" si="26">IF(B112=0, "    ---- ", IF(ABS(ROUND(100/B112*C112-100,1))&lt;999,ROUND(100/B112*C112-100,1),IF(ROUND(100/B112*C112-100,1)&gt;999,999,-999)))</f>
        <v>-36.799999999999997</v>
      </c>
      <c r="E112" s="27">
        <f>IFERROR(100/'Skjema total MA'!C112*C112,0)</f>
        <v>6.259966589314668E-2</v>
      </c>
      <c r="F112" s="234"/>
      <c r="G112" s="145"/>
      <c r="H112" s="166"/>
      <c r="I112" s="27"/>
      <c r="J112" s="287">
        <f t="shared" ref="J112:K125" si="27">SUM(B112,F112)</f>
        <v>261</v>
      </c>
      <c r="K112" s="44">
        <f t="shared" si="27"/>
        <v>165</v>
      </c>
      <c r="L112" s="254">
        <f t="shared" ref="L112:L125" si="28">IF(J112=0, "    ---- ", IF(ABS(ROUND(100/J112*K112-100,1))&lt;999,ROUND(100/J112*K112-100,1),IF(ROUND(100/J112*K112-100,1)&gt;999,999,-999)))</f>
        <v>-36.799999999999997</v>
      </c>
      <c r="M112" s="27">
        <f>IFERROR(100/'Skjema total MA'!I112*K112,0)</f>
        <v>6.1620975723938112E-2</v>
      </c>
    </row>
    <row r="113" spans="1:14" x14ac:dyDescent="0.2">
      <c r="A113" s="21" t="s">
        <v>10</v>
      </c>
      <c r="B113" s="234"/>
      <c r="C113" s="145"/>
      <c r="D113" s="166"/>
      <c r="E113" s="27"/>
      <c r="F113" s="234">
        <v>2509772.0440000002</v>
      </c>
      <c r="G113" s="145">
        <v>4642975.1730000004</v>
      </c>
      <c r="H113" s="166">
        <f t="shared" ref="H113:H125" si="29">IF(F113=0, "    ---- ", IF(ABS(ROUND(100/F113*G113-100,1))&lt;999,ROUND(100/F113*G113-100,1),IF(ROUND(100/F113*G113-100,1)&gt;999,999,-999)))</f>
        <v>85</v>
      </c>
      <c r="I113" s="27">
        <f>IFERROR(100/'Skjema total MA'!F113*G113,0)</f>
        <v>31.645266959333636</v>
      </c>
      <c r="J113" s="287">
        <f t="shared" si="27"/>
        <v>2509772.0440000002</v>
      </c>
      <c r="K113" s="44">
        <f t="shared" si="27"/>
        <v>4642975.1730000004</v>
      </c>
      <c r="L113" s="254">
        <f t="shared" si="28"/>
        <v>85</v>
      </c>
      <c r="M113" s="27">
        <f>IFERROR(100/'Skjema total MA'!I113*K113,0)</f>
        <v>31.634280283539926</v>
      </c>
    </row>
    <row r="114" spans="1:14" x14ac:dyDescent="0.2">
      <c r="A114" s="21" t="s">
        <v>26</v>
      </c>
      <c r="B114" s="234"/>
      <c r="C114" s="145"/>
      <c r="D114" s="166"/>
      <c r="E114" s="27"/>
      <c r="F114" s="234"/>
      <c r="G114" s="145"/>
      <c r="H114" s="166"/>
      <c r="I114" s="27"/>
      <c r="J114" s="287"/>
      <c r="K114" s="44"/>
      <c r="L114" s="254"/>
      <c r="M114" s="27"/>
    </row>
    <row r="115" spans="1:14" x14ac:dyDescent="0.2">
      <c r="A115" s="296" t="s">
        <v>15</v>
      </c>
      <c r="B115" s="294"/>
      <c r="C115" s="295"/>
      <c r="D115" s="166"/>
      <c r="E115" s="417"/>
      <c r="F115" s="294"/>
      <c r="G115" s="295"/>
      <c r="H115" s="166"/>
      <c r="I115" s="417"/>
      <c r="J115" s="294"/>
      <c r="K115" s="295"/>
      <c r="L115" s="166"/>
      <c r="M115" s="23"/>
    </row>
    <row r="116" spans="1:14" ht="15.75" x14ac:dyDescent="0.2">
      <c r="A116" s="21" t="s">
        <v>387</v>
      </c>
      <c r="B116" s="234">
        <v>260.63900000000001</v>
      </c>
      <c r="C116" s="234">
        <v>0</v>
      </c>
      <c r="D116" s="166">
        <f t="shared" si="26"/>
        <v>-100</v>
      </c>
      <c r="E116" s="27">
        <f>IFERROR(100/'Skjema total MA'!C116*C116,0)</f>
        <v>0</v>
      </c>
      <c r="F116" s="234"/>
      <c r="G116" s="234"/>
      <c r="H116" s="166"/>
      <c r="I116" s="27"/>
      <c r="J116" s="287">
        <f t="shared" si="27"/>
        <v>260.63900000000001</v>
      </c>
      <c r="K116" s="44">
        <f t="shared" si="27"/>
        <v>0</v>
      </c>
      <c r="L116" s="254">
        <f t="shared" si="28"/>
        <v>-100</v>
      </c>
      <c r="M116" s="27">
        <f>IFERROR(100/'Skjema total MA'!I116*K116,0)</f>
        <v>0</v>
      </c>
    </row>
    <row r="117" spans="1:14" ht="15.75" x14ac:dyDescent="0.2">
      <c r="A117" s="21" t="s">
        <v>388</v>
      </c>
      <c r="B117" s="234"/>
      <c r="C117" s="234"/>
      <c r="D117" s="166"/>
      <c r="E117" s="27"/>
      <c r="F117" s="234">
        <v>238856.49</v>
      </c>
      <c r="G117" s="234">
        <v>381477.53899999999</v>
      </c>
      <c r="H117" s="166">
        <f t="shared" si="29"/>
        <v>59.7</v>
      </c>
      <c r="I117" s="27">
        <f>IFERROR(100/'Skjema total MA'!F117*G117,0)</f>
        <v>16.107309307423851</v>
      </c>
      <c r="J117" s="287">
        <f t="shared" si="27"/>
        <v>238856.49</v>
      </c>
      <c r="K117" s="44">
        <f t="shared" si="27"/>
        <v>381477.53899999999</v>
      </c>
      <c r="L117" s="254">
        <f t="shared" si="28"/>
        <v>59.7</v>
      </c>
      <c r="M117" s="27">
        <f>IFERROR(100/'Skjema total MA'!I117*K117,0)</f>
        <v>16.107309307423851</v>
      </c>
    </row>
    <row r="118" spans="1:14" ht="15.75" x14ac:dyDescent="0.2">
      <c r="A118" s="21" t="s">
        <v>386</v>
      </c>
      <c r="B118" s="234"/>
      <c r="C118" s="234"/>
      <c r="D118" s="166"/>
      <c r="E118" s="27"/>
      <c r="F118" s="234"/>
      <c r="G118" s="234"/>
      <c r="H118" s="166"/>
      <c r="I118" s="27"/>
      <c r="J118" s="287"/>
      <c r="K118" s="44"/>
      <c r="L118" s="254"/>
      <c r="M118" s="27"/>
    </row>
    <row r="119" spans="1:14" ht="15.75" x14ac:dyDescent="0.2">
      <c r="A119" s="13" t="s">
        <v>367</v>
      </c>
      <c r="B119" s="308">
        <v>18783.302429999902</v>
      </c>
      <c r="C119" s="159">
        <v>47500</v>
      </c>
      <c r="D119" s="171">
        <f t="shared" si="26"/>
        <v>152.9</v>
      </c>
      <c r="E119" s="11">
        <f>IFERROR(100/'Skjema total MA'!C119*C119,0)</f>
        <v>6.4615654786297627</v>
      </c>
      <c r="F119" s="308">
        <v>1482288.9720000001</v>
      </c>
      <c r="G119" s="159">
        <v>1662835.416</v>
      </c>
      <c r="H119" s="171">
        <f t="shared" si="29"/>
        <v>12.2</v>
      </c>
      <c r="I119" s="11">
        <f>IFERROR(100/'Skjema total MA'!F119*G119,0)</f>
        <v>11.338071848450637</v>
      </c>
      <c r="J119" s="309">
        <f t="shared" si="27"/>
        <v>1501072.27443</v>
      </c>
      <c r="K119" s="236">
        <f t="shared" si="27"/>
        <v>1710335.416</v>
      </c>
      <c r="L119" s="428">
        <f t="shared" si="28"/>
        <v>13.9</v>
      </c>
      <c r="M119" s="11">
        <f>IFERROR(100/'Skjema total MA'!I119*K119,0)</f>
        <v>11.105308815798804</v>
      </c>
    </row>
    <row r="120" spans="1:14" x14ac:dyDescent="0.2">
      <c r="A120" s="21" t="s">
        <v>9</v>
      </c>
      <c r="B120" s="234">
        <v>18783.302429999902</v>
      </c>
      <c r="C120" s="145">
        <v>47500</v>
      </c>
      <c r="D120" s="166">
        <f t="shared" si="26"/>
        <v>152.9</v>
      </c>
      <c r="E120" s="27">
        <f>IFERROR(100/'Skjema total MA'!C120*C120,0)</f>
        <v>8.4473979701443298</v>
      </c>
      <c r="F120" s="234"/>
      <c r="G120" s="145"/>
      <c r="H120" s="166"/>
      <c r="I120" s="27"/>
      <c r="J120" s="287">
        <f t="shared" si="27"/>
        <v>18783.302429999902</v>
      </c>
      <c r="K120" s="44">
        <f t="shared" si="27"/>
        <v>47500</v>
      </c>
      <c r="L120" s="254">
        <f t="shared" si="28"/>
        <v>152.9</v>
      </c>
      <c r="M120" s="27">
        <f>IFERROR(100/'Skjema total MA'!I120*K120,0)</f>
        <v>8.4473979701443298</v>
      </c>
    </row>
    <row r="121" spans="1:14" x14ac:dyDescent="0.2">
      <c r="A121" s="21" t="s">
        <v>10</v>
      </c>
      <c r="B121" s="234"/>
      <c r="C121" s="145"/>
      <c r="D121" s="166"/>
      <c r="E121" s="27"/>
      <c r="F121" s="234">
        <v>1482288.9720000001</v>
      </c>
      <c r="G121" s="145">
        <v>1662835.416</v>
      </c>
      <c r="H121" s="166">
        <f t="shared" si="29"/>
        <v>12.2</v>
      </c>
      <c r="I121" s="27">
        <f>IFERROR(100/'Skjema total MA'!F121*G121,0)</f>
        <v>11.338071848450637</v>
      </c>
      <c r="J121" s="287">
        <f t="shared" si="27"/>
        <v>1482288.9720000001</v>
      </c>
      <c r="K121" s="44">
        <f t="shared" si="27"/>
        <v>1662835.416</v>
      </c>
      <c r="L121" s="254">
        <f t="shared" si="28"/>
        <v>12.2</v>
      </c>
      <c r="M121" s="27">
        <f>IFERROR(100/'Skjema total MA'!I121*K121,0)</f>
        <v>11.333816733932517</v>
      </c>
    </row>
    <row r="122" spans="1:14" x14ac:dyDescent="0.2">
      <c r="A122" s="21" t="s">
        <v>26</v>
      </c>
      <c r="B122" s="234"/>
      <c r="C122" s="145"/>
      <c r="D122" s="166"/>
      <c r="E122" s="27"/>
      <c r="F122" s="234"/>
      <c r="G122" s="145"/>
      <c r="H122" s="166"/>
      <c r="I122" s="27"/>
      <c r="J122" s="287"/>
      <c r="K122" s="44"/>
      <c r="L122" s="254"/>
      <c r="M122" s="27"/>
    </row>
    <row r="123" spans="1:14" x14ac:dyDescent="0.2">
      <c r="A123" s="296" t="s">
        <v>14</v>
      </c>
      <c r="B123" s="294"/>
      <c r="C123" s="295"/>
      <c r="D123" s="166"/>
      <c r="E123" s="417"/>
      <c r="F123" s="294"/>
      <c r="G123" s="295"/>
      <c r="H123" s="166"/>
      <c r="I123" s="417"/>
      <c r="J123" s="294"/>
      <c r="K123" s="295"/>
      <c r="L123" s="166"/>
      <c r="M123" s="23"/>
    </row>
    <row r="124" spans="1:14" ht="15.75" x14ac:dyDescent="0.2">
      <c r="A124" s="21" t="s">
        <v>393</v>
      </c>
      <c r="B124" s="234"/>
      <c r="C124" s="234"/>
      <c r="D124" s="166"/>
      <c r="E124" s="27"/>
      <c r="F124" s="234"/>
      <c r="G124" s="234"/>
      <c r="H124" s="166"/>
      <c r="I124" s="27"/>
      <c r="J124" s="287"/>
      <c r="K124" s="44"/>
      <c r="L124" s="254"/>
      <c r="M124" s="27"/>
    </row>
    <row r="125" spans="1:14" ht="15.75" x14ac:dyDescent="0.2">
      <c r="A125" s="21" t="s">
        <v>385</v>
      </c>
      <c r="B125" s="234"/>
      <c r="C125" s="234"/>
      <c r="D125" s="166"/>
      <c r="E125" s="27"/>
      <c r="F125" s="234">
        <v>375352.23599999998</v>
      </c>
      <c r="G125" s="234">
        <v>477077.98</v>
      </c>
      <c r="H125" s="166">
        <f t="shared" si="29"/>
        <v>27.1</v>
      </c>
      <c r="I125" s="27">
        <f>IFERROR(100/'Skjema total MA'!F125*G125,0)</f>
        <v>18.20166213404838</v>
      </c>
      <c r="J125" s="287">
        <f t="shared" si="27"/>
        <v>375352.23599999998</v>
      </c>
      <c r="K125" s="44">
        <f t="shared" si="27"/>
        <v>477077.98</v>
      </c>
      <c r="L125" s="254">
        <f t="shared" si="28"/>
        <v>27.1</v>
      </c>
      <c r="M125" s="27">
        <f>IFERROR(100/'Skjema total MA'!I125*K125,0)</f>
        <v>18.192173810382545</v>
      </c>
    </row>
    <row r="126" spans="1:14" ht="15.75" x14ac:dyDescent="0.2">
      <c r="A126" s="10" t="s">
        <v>386</v>
      </c>
      <c r="B126" s="45"/>
      <c r="C126" s="45"/>
      <c r="D126" s="167"/>
      <c r="E126" s="418"/>
      <c r="F126" s="45"/>
      <c r="G126" s="45"/>
      <c r="H126" s="167"/>
      <c r="I126" s="22"/>
      <c r="J126" s="288"/>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35"/>
      <c r="C130" s="735"/>
      <c r="D130" s="735"/>
      <c r="E130" s="299"/>
      <c r="F130" s="735"/>
      <c r="G130" s="735"/>
      <c r="H130" s="735"/>
      <c r="I130" s="299"/>
      <c r="J130" s="735"/>
      <c r="K130" s="735"/>
      <c r="L130" s="735"/>
      <c r="M130" s="299"/>
    </row>
    <row r="131" spans="1:14" s="3" customFormat="1" x14ac:dyDescent="0.2">
      <c r="A131" s="144"/>
      <c r="B131" s="733" t="s">
        <v>0</v>
      </c>
      <c r="C131" s="734"/>
      <c r="D131" s="734"/>
      <c r="E131" s="301"/>
      <c r="F131" s="733" t="s">
        <v>1</v>
      </c>
      <c r="G131" s="734"/>
      <c r="H131" s="734"/>
      <c r="I131" s="304"/>
      <c r="J131" s="733" t="s">
        <v>2</v>
      </c>
      <c r="K131" s="734"/>
      <c r="L131" s="734"/>
      <c r="M131" s="304"/>
      <c r="N131" s="148"/>
    </row>
    <row r="132" spans="1:14" s="3" customFormat="1" x14ac:dyDescent="0.2">
      <c r="A132" s="140"/>
      <c r="B132" s="152" t="s">
        <v>421</v>
      </c>
      <c r="C132" s="152" t="s">
        <v>422</v>
      </c>
      <c r="D132" s="245" t="s">
        <v>3</v>
      </c>
      <c r="E132" s="305" t="s">
        <v>29</v>
      </c>
      <c r="F132" s="152" t="s">
        <v>421</v>
      </c>
      <c r="G132" s="152" t="s">
        <v>422</v>
      </c>
      <c r="H132" s="206" t="s">
        <v>3</v>
      </c>
      <c r="I132" s="162" t="s">
        <v>29</v>
      </c>
      <c r="J132" s="152" t="s">
        <v>421</v>
      </c>
      <c r="K132" s="152" t="s">
        <v>422</v>
      </c>
      <c r="L132" s="246" t="s">
        <v>3</v>
      </c>
      <c r="M132" s="162" t="s">
        <v>29</v>
      </c>
      <c r="N132" s="148"/>
    </row>
    <row r="133" spans="1:14" s="3" customFormat="1" x14ac:dyDescent="0.2">
      <c r="A133" s="708"/>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389</v>
      </c>
      <c r="B134" s="236"/>
      <c r="C134" s="309"/>
      <c r="D134" s="350"/>
      <c r="E134" s="11"/>
      <c r="F134" s="316"/>
      <c r="G134" s="317"/>
      <c r="H134" s="431"/>
      <c r="I134" s="24"/>
      <c r="J134" s="318"/>
      <c r="K134" s="318"/>
      <c r="L134" s="427"/>
      <c r="M134" s="11"/>
      <c r="N134" s="148"/>
    </row>
    <row r="135" spans="1:14" s="3" customFormat="1" ht="15.75" x14ac:dyDescent="0.2">
      <c r="A135" s="13" t="s">
        <v>394</v>
      </c>
      <c r="B135" s="236"/>
      <c r="C135" s="309"/>
      <c r="D135" s="171"/>
      <c r="E135" s="11"/>
      <c r="F135" s="236"/>
      <c r="G135" s="309"/>
      <c r="H135" s="432"/>
      <c r="I135" s="24"/>
      <c r="J135" s="308"/>
      <c r="K135" s="308"/>
      <c r="L135" s="428"/>
      <c r="M135" s="11"/>
      <c r="N135" s="148"/>
    </row>
    <row r="136" spans="1:14" s="3" customFormat="1" ht="15.75" x14ac:dyDescent="0.2">
      <c r="A136" s="13" t="s">
        <v>391</v>
      </c>
      <c r="B136" s="236"/>
      <c r="C136" s="309"/>
      <c r="D136" s="171"/>
      <c r="E136" s="11"/>
      <c r="F136" s="236"/>
      <c r="G136" s="309"/>
      <c r="H136" s="432"/>
      <c r="I136" s="24"/>
      <c r="J136" s="308"/>
      <c r="K136" s="308"/>
      <c r="L136" s="428"/>
      <c r="M136" s="11"/>
      <c r="N136" s="148"/>
    </row>
    <row r="137" spans="1:14" s="3" customFormat="1" ht="15.75" x14ac:dyDescent="0.2">
      <c r="A137" s="41" t="s">
        <v>392</v>
      </c>
      <c r="B137" s="276"/>
      <c r="C137" s="315"/>
      <c r="D137" s="169"/>
      <c r="E137" s="9"/>
      <c r="F137" s="276"/>
      <c r="G137" s="315"/>
      <c r="H137" s="433"/>
      <c r="I137" s="36"/>
      <c r="J137" s="314"/>
      <c r="K137" s="314"/>
      <c r="L137" s="429"/>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292" priority="132">
      <formula>kvartal &lt; 4</formula>
    </cfRule>
  </conditionalFormatting>
  <conditionalFormatting sqref="A50:A52">
    <cfRule type="expression" dxfId="291" priority="12">
      <formula>kvartal &lt; 4</formula>
    </cfRule>
  </conditionalFormatting>
  <conditionalFormatting sqref="A69:A74">
    <cfRule type="expression" dxfId="290" priority="10">
      <formula>kvartal &lt; 4</formula>
    </cfRule>
  </conditionalFormatting>
  <conditionalFormatting sqref="A80:A85">
    <cfRule type="expression" dxfId="289" priority="9">
      <formula>kvartal &lt; 4</formula>
    </cfRule>
  </conditionalFormatting>
  <conditionalFormatting sqref="A90:A95">
    <cfRule type="expression" dxfId="288" priority="6">
      <formula>kvartal &lt; 4</formula>
    </cfRule>
  </conditionalFormatting>
  <conditionalFormatting sqref="A101:A106">
    <cfRule type="expression" dxfId="287" priority="5">
      <formula>kvartal &lt; 4</formula>
    </cfRule>
  </conditionalFormatting>
  <conditionalFormatting sqref="A115">
    <cfRule type="expression" dxfId="286" priority="4">
      <formula>kvartal &lt; 4</formula>
    </cfRule>
  </conditionalFormatting>
  <conditionalFormatting sqref="A123">
    <cfRule type="expression" dxfId="285" priority="3">
      <formula>kvartal &lt; 4</formula>
    </cfRule>
  </conditionalFormatting>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26"/>
  <dimension ref="A1:N144"/>
  <sheetViews>
    <sheetView showGridLines="0" zoomScaleNormal="100" workbookViewId="0">
      <selection activeCell="A3" sqref="A3"/>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135</v>
      </c>
      <c r="B1" s="709"/>
      <c r="C1" s="248" t="s">
        <v>94</v>
      </c>
      <c r="D1" s="26"/>
      <c r="E1" s="26"/>
      <c r="F1" s="26"/>
      <c r="G1" s="26"/>
      <c r="H1" s="26"/>
      <c r="I1" s="26"/>
      <c r="J1" s="26"/>
      <c r="K1" s="26"/>
      <c r="L1" s="26"/>
      <c r="M1" s="26"/>
    </row>
    <row r="2" spans="1:14" ht="15.75" x14ac:dyDescent="0.25">
      <c r="A2" s="165" t="s">
        <v>28</v>
      </c>
      <c r="B2" s="732"/>
      <c r="C2" s="732"/>
      <c r="D2" s="732"/>
      <c r="E2" s="299"/>
      <c r="F2" s="732"/>
      <c r="G2" s="732"/>
      <c r="H2" s="732"/>
      <c r="I2" s="299"/>
      <c r="J2" s="732"/>
      <c r="K2" s="732"/>
      <c r="L2" s="732"/>
      <c r="M2" s="299"/>
    </row>
    <row r="3" spans="1:14" ht="15.75" x14ac:dyDescent="0.25">
      <c r="A3" s="163"/>
      <c r="B3" s="299"/>
      <c r="C3" s="299"/>
      <c r="D3" s="299"/>
      <c r="E3" s="299"/>
      <c r="F3" s="299"/>
      <c r="G3" s="299"/>
      <c r="H3" s="299"/>
      <c r="I3" s="299"/>
      <c r="J3" s="299"/>
      <c r="K3" s="299"/>
      <c r="L3" s="299"/>
      <c r="M3" s="299"/>
    </row>
    <row r="4" spans="1:14" x14ac:dyDescent="0.2">
      <c r="A4" s="144"/>
      <c r="B4" s="733" t="s">
        <v>0</v>
      </c>
      <c r="C4" s="734"/>
      <c r="D4" s="734"/>
      <c r="E4" s="301"/>
      <c r="F4" s="733" t="s">
        <v>1</v>
      </c>
      <c r="G4" s="734"/>
      <c r="H4" s="734"/>
      <c r="I4" s="304"/>
      <c r="J4" s="733" t="s">
        <v>2</v>
      </c>
      <c r="K4" s="734"/>
      <c r="L4" s="734"/>
      <c r="M4" s="304"/>
    </row>
    <row r="5" spans="1:14" x14ac:dyDescent="0.2">
      <c r="A5" s="158"/>
      <c r="B5" s="152" t="s">
        <v>421</v>
      </c>
      <c r="C5" s="152" t="s">
        <v>422</v>
      </c>
      <c r="D5" s="245" t="s">
        <v>3</v>
      </c>
      <c r="E5" s="305" t="s">
        <v>29</v>
      </c>
      <c r="F5" s="152" t="s">
        <v>421</v>
      </c>
      <c r="G5" s="152" t="s">
        <v>422</v>
      </c>
      <c r="H5" s="245" t="s">
        <v>3</v>
      </c>
      <c r="I5" s="162" t="s">
        <v>29</v>
      </c>
      <c r="J5" s="152" t="s">
        <v>421</v>
      </c>
      <c r="K5" s="152" t="s">
        <v>422</v>
      </c>
      <c r="L5" s="245" t="s">
        <v>3</v>
      </c>
      <c r="M5" s="162" t="s">
        <v>29</v>
      </c>
    </row>
    <row r="6" spans="1:14" x14ac:dyDescent="0.2">
      <c r="A6" s="707"/>
      <c r="B6" s="156"/>
      <c r="C6" s="156"/>
      <c r="D6" s="246" t="s">
        <v>4</v>
      </c>
      <c r="E6" s="156" t="s">
        <v>30</v>
      </c>
      <c r="F6" s="161"/>
      <c r="G6" s="161"/>
      <c r="H6" s="245" t="s">
        <v>4</v>
      </c>
      <c r="I6" s="156" t="s">
        <v>30</v>
      </c>
      <c r="J6" s="161"/>
      <c r="K6" s="161"/>
      <c r="L6" s="245" t="s">
        <v>4</v>
      </c>
      <c r="M6" s="156" t="s">
        <v>30</v>
      </c>
    </row>
    <row r="7" spans="1:14" ht="15.75" x14ac:dyDescent="0.2">
      <c r="A7" s="14" t="s">
        <v>23</v>
      </c>
      <c r="B7" s="306"/>
      <c r="C7" s="307"/>
      <c r="D7" s="350"/>
      <c r="E7" s="11"/>
      <c r="F7" s="306"/>
      <c r="G7" s="307"/>
      <c r="H7" s="350"/>
      <c r="I7" s="160"/>
      <c r="J7" s="308"/>
      <c r="K7" s="309"/>
      <c r="L7" s="427"/>
      <c r="M7" s="11"/>
    </row>
    <row r="8" spans="1:14" ht="15.75" x14ac:dyDescent="0.2">
      <c r="A8" s="21" t="s">
        <v>25</v>
      </c>
      <c r="B8" s="281"/>
      <c r="C8" s="282"/>
      <c r="D8" s="166"/>
      <c r="E8" s="27"/>
      <c r="F8" s="285"/>
      <c r="G8" s="286"/>
      <c r="H8" s="166"/>
      <c r="I8" s="175"/>
      <c r="J8" s="234"/>
      <c r="K8" s="287"/>
      <c r="L8" s="166"/>
      <c r="M8" s="27"/>
    </row>
    <row r="9" spans="1:14" ht="15.75" x14ac:dyDescent="0.2">
      <c r="A9" s="21" t="s">
        <v>24</v>
      </c>
      <c r="B9" s="281"/>
      <c r="C9" s="282"/>
      <c r="D9" s="166"/>
      <c r="E9" s="27"/>
      <c r="F9" s="285"/>
      <c r="G9" s="286"/>
      <c r="H9" s="166"/>
      <c r="I9" s="175"/>
      <c r="J9" s="234"/>
      <c r="K9" s="287"/>
      <c r="L9" s="166"/>
      <c r="M9" s="27"/>
    </row>
    <row r="10" spans="1:14" ht="15.75" x14ac:dyDescent="0.2">
      <c r="A10" s="13" t="s">
        <v>365</v>
      </c>
      <c r="B10" s="310"/>
      <c r="C10" s="311"/>
      <c r="D10" s="171"/>
      <c r="E10" s="11"/>
      <c r="F10" s="310"/>
      <c r="G10" s="311"/>
      <c r="H10" s="171"/>
      <c r="I10" s="160"/>
      <c r="J10" s="308"/>
      <c r="K10" s="309"/>
      <c r="L10" s="428"/>
      <c r="M10" s="11"/>
    </row>
    <row r="11" spans="1:14" s="43" customFormat="1" ht="15.75" x14ac:dyDescent="0.2">
      <c r="A11" s="13" t="s">
        <v>366</v>
      </c>
      <c r="B11" s="310"/>
      <c r="C11" s="311"/>
      <c r="D11" s="171"/>
      <c r="E11" s="11"/>
      <c r="F11" s="310"/>
      <c r="G11" s="311"/>
      <c r="H11" s="171"/>
      <c r="I11" s="160"/>
      <c r="J11" s="308"/>
      <c r="K11" s="309"/>
      <c r="L11" s="428"/>
      <c r="M11" s="11"/>
      <c r="N11" s="143"/>
    </row>
    <row r="12" spans="1:14" s="43" customFormat="1" ht="15.75" x14ac:dyDescent="0.2">
      <c r="A12" s="41" t="s">
        <v>367</v>
      </c>
      <c r="B12" s="312"/>
      <c r="C12" s="313"/>
      <c r="D12" s="169"/>
      <c r="E12" s="36"/>
      <c r="F12" s="312"/>
      <c r="G12" s="313"/>
      <c r="H12" s="169"/>
      <c r="I12" s="169"/>
      <c r="J12" s="314"/>
      <c r="K12" s="315"/>
      <c r="L12" s="429"/>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275</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272</v>
      </c>
      <c r="B17" s="157"/>
      <c r="C17" s="157"/>
      <c r="D17" s="151"/>
      <c r="E17" s="151"/>
      <c r="F17" s="157"/>
      <c r="G17" s="157"/>
      <c r="H17" s="157"/>
      <c r="I17" s="157"/>
      <c r="J17" s="157"/>
      <c r="K17" s="157"/>
      <c r="L17" s="157"/>
      <c r="M17" s="157"/>
    </row>
    <row r="18" spans="1:14" ht="15.75" x14ac:dyDescent="0.25">
      <c r="B18" s="735"/>
      <c r="C18" s="735"/>
      <c r="D18" s="735"/>
      <c r="E18" s="299"/>
      <c r="F18" s="735"/>
      <c r="G18" s="735"/>
      <c r="H18" s="735"/>
      <c r="I18" s="299"/>
      <c r="J18" s="735"/>
      <c r="K18" s="735"/>
      <c r="L18" s="735"/>
      <c r="M18" s="299"/>
    </row>
    <row r="19" spans="1:14" x14ac:dyDescent="0.2">
      <c r="A19" s="144"/>
      <c r="B19" s="733" t="s">
        <v>0</v>
      </c>
      <c r="C19" s="734"/>
      <c r="D19" s="734"/>
      <c r="E19" s="301"/>
      <c r="F19" s="733" t="s">
        <v>1</v>
      </c>
      <c r="G19" s="734"/>
      <c r="H19" s="734"/>
      <c r="I19" s="304"/>
      <c r="J19" s="733" t="s">
        <v>2</v>
      </c>
      <c r="K19" s="734"/>
      <c r="L19" s="734"/>
      <c r="M19" s="304"/>
    </row>
    <row r="20" spans="1:14" x14ac:dyDescent="0.2">
      <c r="A20" s="140" t="s">
        <v>5</v>
      </c>
      <c r="B20" s="152" t="s">
        <v>421</v>
      </c>
      <c r="C20" s="152" t="s">
        <v>422</v>
      </c>
      <c r="D20" s="162" t="s">
        <v>3</v>
      </c>
      <c r="E20" s="305" t="s">
        <v>29</v>
      </c>
      <c r="F20" s="152" t="s">
        <v>421</v>
      </c>
      <c r="G20" s="152" t="s">
        <v>422</v>
      </c>
      <c r="H20" s="162" t="s">
        <v>3</v>
      </c>
      <c r="I20" s="162" t="s">
        <v>29</v>
      </c>
      <c r="J20" s="152" t="s">
        <v>421</v>
      </c>
      <c r="K20" s="152" t="s">
        <v>422</v>
      </c>
      <c r="L20" s="162" t="s">
        <v>3</v>
      </c>
      <c r="M20" s="162" t="s">
        <v>29</v>
      </c>
    </row>
    <row r="21" spans="1:14" x14ac:dyDescent="0.2">
      <c r="A21" s="708"/>
      <c r="B21" s="156"/>
      <c r="C21" s="156"/>
      <c r="D21" s="246" t="s">
        <v>4</v>
      </c>
      <c r="E21" s="156" t="s">
        <v>30</v>
      </c>
      <c r="F21" s="161"/>
      <c r="G21" s="161"/>
      <c r="H21" s="245" t="s">
        <v>4</v>
      </c>
      <c r="I21" s="156" t="s">
        <v>30</v>
      </c>
      <c r="J21" s="161"/>
      <c r="K21" s="161"/>
      <c r="L21" s="156" t="s">
        <v>4</v>
      </c>
      <c r="M21" s="156" t="s">
        <v>30</v>
      </c>
    </row>
    <row r="22" spans="1:14" ht="15.75" x14ac:dyDescent="0.2">
      <c r="A22" s="14" t="s">
        <v>23</v>
      </c>
      <c r="B22" s="310"/>
      <c r="C22" s="310"/>
      <c r="D22" s="350"/>
      <c r="E22" s="11"/>
      <c r="F22" s="318"/>
      <c r="G22" s="318"/>
      <c r="H22" s="350"/>
      <c r="I22" s="11"/>
      <c r="J22" s="316"/>
      <c r="K22" s="316"/>
      <c r="L22" s="427"/>
      <c r="M22" s="24"/>
    </row>
    <row r="23" spans="1:14" ht="15.75" x14ac:dyDescent="0.2">
      <c r="A23" s="584" t="s">
        <v>368</v>
      </c>
      <c r="B23" s="281"/>
      <c r="C23" s="281"/>
      <c r="D23" s="166"/>
      <c r="E23" s="11"/>
      <c r="F23" s="290"/>
      <c r="G23" s="290"/>
      <c r="H23" s="166"/>
      <c r="I23" s="417"/>
      <c r="J23" s="290"/>
      <c r="K23" s="290"/>
      <c r="L23" s="166"/>
      <c r="M23" s="23"/>
    </row>
    <row r="24" spans="1:14" ht="15.75" x14ac:dyDescent="0.2">
      <c r="A24" s="584" t="s">
        <v>369</v>
      </c>
      <c r="B24" s="281"/>
      <c r="C24" s="281"/>
      <c r="D24" s="166"/>
      <c r="E24" s="11"/>
      <c r="F24" s="290"/>
      <c r="G24" s="290"/>
      <c r="H24" s="166"/>
      <c r="I24" s="417"/>
      <c r="J24" s="290"/>
      <c r="K24" s="290"/>
      <c r="L24" s="166"/>
      <c r="M24" s="23"/>
    </row>
    <row r="25" spans="1:14" ht="15.75" x14ac:dyDescent="0.2">
      <c r="A25" s="584" t="s">
        <v>370</v>
      </c>
      <c r="B25" s="281"/>
      <c r="C25" s="281"/>
      <c r="D25" s="166"/>
      <c r="E25" s="11"/>
      <c r="F25" s="290"/>
      <c r="G25" s="290"/>
      <c r="H25" s="166"/>
      <c r="I25" s="417"/>
      <c r="J25" s="290"/>
      <c r="K25" s="290"/>
      <c r="L25" s="166"/>
      <c r="M25" s="23"/>
    </row>
    <row r="26" spans="1:14" ht="15.75" x14ac:dyDescent="0.2">
      <c r="A26" s="584" t="s">
        <v>371</v>
      </c>
      <c r="B26" s="281"/>
      <c r="C26" s="281"/>
      <c r="D26" s="166"/>
      <c r="E26" s="11"/>
      <c r="F26" s="290"/>
      <c r="G26" s="290"/>
      <c r="H26" s="166"/>
      <c r="I26" s="417"/>
      <c r="J26" s="290"/>
      <c r="K26" s="290"/>
      <c r="L26" s="166"/>
      <c r="M26" s="23"/>
    </row>
    <row r="27" spans="1:14" x14ac:dyDescent="0.2">
      <c r="A27" s="584" t="s">
        <v>11</v>
      </c>
      <c r="B27" s="281"/>
      <c r="C27" s="281"/>
      <c r="D27" s="166"/>
      <c r="E27" s="11"/>
      <c r="F27" s="290"/>
      <c r="G27" s="290"/>
      <c r="H27" s="166"/>
      <c r="I27" s="417"/>
      <c r="J27" s="290"/>
      <c r="K27" s="290"/>
      <c r="L27" s="166"/>
      <c r="M27" s="23"/>
    </row>
    <row r="28" spans="1:14" ht="15.75" x14ac:dyDescent="0.2">
      <c r="A28" s="49" t="s">
        <v>276</v>
      </c>
      <c r="B28" s="44"/>
      <c r="C28" s="287"/>
      <c r="D28" s="166"/>
      <c r="E28" s="11"/>
      <c r="F28" s="234"/>
      <c r="G28" s="287"/>
      <c r="H28" s="166"/>
      <c r="I28" s="27"/>
      <c r="J28" s="44"/>
      <c r="K28" s="44"/>
      <c r="L28" s="254"/>
      <c r="M28" s="23"/>
    </row>
    <row r="29" spans="1:14" s="3" customFormat="1" ht="15.75" x14ac:dyDescent="0.2">
      <c r="A29" s="13" t="s">
        <v>365</v>
      </c>
      <c r="B29" s="236"/>
      <c r="C29" s="236"/>
      <c r="D29" s="171"/>
      <c r="E29" s="11"/>
      <c r="F29" s="308"/>
      <c r="G29" s="308"/>
      <c r="H29" s="171"/>
      <c r="I29" s="11"/>
      <c r="J29" s="236"/>
      <c r="K29" s="236"/>
      <c r="L29" s="428"/>
      <c r="M29" s="24"/>
      <c r="N29" s="148"/>
    </row>
    <row r="30" spans="1:14" s="3" customFormat="1" ht="15.75" x14ac:dyDescent="0.2">
      <c r="A30" s="584" t="s">
        <v>368</v>
      </c>
      <c r="B30" s="281"/>
      <c r="C30" s="281"/>
      <c r="D30" s="166"/>
      <c r="E30" s="11"/>
      <c r="F30" s="290"/>
      <c r="G30" s="290"/>
      <c r="H30" s="166"/>
      <c r="I30" s="417"/>
      <c r="J30" s="290"/>
      <c r="K30" s="290"/>
      <c r="L30" s="166"/>
      <c r="M30" s="23"/>
      <c r="N30" s="148"/>
    </row>
    <row r="31" spans="1:14" s="3" customFormat="1" ht="15.75" x14ac:dyDescent="0.2">
      <c r="A31" s="584" t="s">
        <v>369</v>
      </c>
      <c r="B31" s="281"/>
      <c r="C31" s="281"/>
      <c r="D31" s="166"/>
      <c r="E31" s="11"/>
      <c r="F31" s="290"/>
      <c r="G31" s="290"/>
      <c r="H31" s="166"/>
      <c r="I31" s="417"/>
      <c r="J31" s="290"/>
      <c r="K31" s="290"/>
      <c r="L31" s="166"/>
      <c r="M31" s="23"/>
      <c r="N31" s="148"/>
    </row>
    <row r="32" spans="1:14" ht="15.75" x14ac:dyDescent="0.2">
      <c r="A32" s="584" t="s">
        <v>370</v>
      </c>
      <c r="B32" s="281"/>
      <c r="C32" s="281"/>
      <c r="D32" s="166"/>
      <c r="E32" s="11"/>
      <c r="F32" s="290"/>
      <c r="G32" s="290"/>
      <c r="H32" s="166"/>
      <c r="I32" s="417"/>
      <c r="J32" s="290"/>
      <c r="K32" s="290"/>
      <c r="L32" s="166"/>
      <c r="M32" s="23"/>
    </row>
    <row r="33" spans="1:14" ht="15.75" x14ac:dyDescent="0.2">
      <c r="A33" s="584" t="s">
        <v>371</v>
      </c>
      <c r="B33" s="281"/>
      <c r="C33" s="281"/>
      <c r="D33" s="166"/>
      <c r="E33" s="11"/>
      <c r="F33" s="290"/>
      <c r="G33" s="290"/>
      <c r="H33" s="166"/>
      <c r="I33" s="417"/>
      <c r="J33" s="290"/>
      <c r="K33" s="290"/>
      <c r="L33" s="166"/>
      <c r="M33" s="23"/>
    </row>
    <row r="34" spans="1:14" ht="15.75" x14ac:dyDescent="0.2">
      <c r="A34" s="13" t="s">
        <v>366</v>
      </c>
      <c r="B34" s="236"/>
      <c r="C34" s="309"/>
      <c r="D34" s="171"/>
      <c r="E34" s="11"/>
      <c r="F34" s="308"/>
      <c r="G34" s="309"/>
      <c r="H34" s="171"/>
      <c r="I34" s="11"/>
      <c r="J34" s="236"/>
      <c r="K34" s="236"/>
      <c r="L34" s="428"/>
      <c r="M34" s="24"/>
    </row>
    <row r="35" spans="1:14" ht="15.75" x14ac:dyDescent="0.2">
      <c r="A35" s="13" t="s">
        <v>367</v>
      </c>
      <c r="B35" s="236"/>
      <c r="C35" s="309"/>
      <c r="D35" s="171"/>
      <c r="E35" s="11"/>
      <c r="F35" s="308"/>
      <c r="G35" s="309"/>
      <c r="H35" s="171"/>
      <c r="I35" s="11"/>
      <c r="J35" s="236"/>
      <c r="K35" s="236"/>
      <c r="L35" s="428"/>
      <c r="M35" s="24"/>
    </row>
    <row r="36" spans="1:14" ht="15.75" x14ac:dyDescent="0.2">
      <c r="A36" s="12" t="s">
        <v>284</v>
      </c>
      <c r="B36" s="236"/>
      <c r="C36" s="309"/>
      <c r="D36" s="171"/>
      <c r="E36" s="11"/>
      <c r="F36" s="319"/>
      <c r="G36" s="320"/>
      <c r="H36" s="171"/>
      <c r="I36" s="434"/>
      <c r="J36" s="236"/>
      <c r="K36" s="236"/>
      <c r="L36" s="428"/>
      <c r="M36" s="24"/>
    </row>
    <row r="37" spans="1:14" ht="15.75" x14ac:dyDescent="0.2">
      <c r="A37" s="12" t="s">
        <v>373</v>
      </c>
      <c r="B37" s="236"/>
      <c r="C37" s="309"/>
      <c r="D37" s="171"/>
      <c r="E37" s="11"/>
      <c r="F37" s="319"/>
      <c r="G37" s="321"/>
      <c r="H37" s="171"/>
      <c r="I37" s="434"/>
      <c r="J37" s="236"/>
      <c r="K37" s="236"/>
      <c r="L37" s="428"/>
      <c r="M37" s="24"/>
    </row>
    <row r="38" spans="1:14" ht="15.75" x14ac:dyDescent="0.2">
      <c r="A38" s="12" t="s">
        <v>374</v>
      </c>
      <c r="B38" s="236"/>
      <c r="C38" s="309"/>
      <c r="D38" s="171"/>
      <c r="E38" s="24"/>
      <c r="F38" s="319"/>
      <c r="G38" s="320"/>
      <c r="H38" s="171"/>
      <c r="I38" s="434"/>
      <c r="J38" s="236"/>
      <c r="K38" s="236"/>
      <c r="L38" s="428"/>
      <c r="M38" s="24"/>
    </row>
    <row r="39" spans="1:14" ht="15.75" x14ac:dyDescent="0.2">
      <c r="A39" s="18" t="s">
        <v>375</v>
      </c>
      <c r="B39" s="276"/>
      <c r="C39" s="315"/>
      <c r="D39" s="169"/>
      <c r="E39" s="36"/>
      <c r="F39" s="322"/>
      <c r="G39" s="323"/>
      <c r="H39" s="169"/>
      <c r="I39" s="36"/>
      <c r="J39" s="236"/>
      <c r="K39" s="236"/>
      <c r="L39" s="429"/>
      <c r="M39" s="36"/>
    </row>
    <row r="40" spans="1:14" ht="15.75" x14ac:dyDescent="0.25">
      <c r="A40" s="47"/>
      <c r="B40" s="253"/>
      <c r="C40" s="253"/>
      <c r="D40" s="736"/>
      <c r="E40" s="736"/>
      <c r="F40" s="736"/>
      <c r="G40" s="736"/>
      <c r="H40" s="736"/>
      <c r="I40" s="736"/>
      <c r="J40" s="736"/>
      <c r="K40" s="736"/>
      <c r="L40" s="736"/>
      <c r="M40" s="302"/>
    </row>
    <row r="41" spans="1:14" x14ac:dyDescent="0.2">
      <c r="A41" s="155"/>
    </row>
    <row r="42" spans="1:14" ht="15.75" x14ac:dyDescent="0.25">
      <c r="A42" s="147" t="s">
        <v>273</v>
      </c>
      <c r="B42" s="732"/>
      <c r="C42" s="732"/>
      <c r="D42" s="732"/>
      <c r="E42" s="299"/>
      <c r="F42" s="737"/>
      <c r="G42" s="737"/>
      <c r="H42" s="737"/>
      <c r="I42" s="302"/>
      <c r="J42" s="737"/>
      <c r="K42" s="737"/>
      <c r="L42" s="737"/>
      <c r="M42" s="302"/>
    </row>
    <row r="43" spans="1:14" ht="15.75" x14ac:dyDescent="0.25">
      <c r="A43" s="163"/>
      <c r="B43" s="303"/>
      <c r="C43" s="303"/>
      <c r="D43" s="303"/>
      <c r="E43" s="303"/>
      <c r="F43" s="302"/>
      <c r="G43" s="302"/>
      <c r="H43" s="302"/>
      <c r="I43" s="302"/>
      <c r="J43" s="302"/>
      <c r="K43" s="302"/>
      <c r="L43" s="302"/>
      <c r="M43" s="302"/>
    </row>
    <row r="44" spans="1:14" ht="15.75" x14ac:dyDescent="0.25">
      <c r="A44" s="247"/>
      <c r="B44" s="733" t="s">
        <v>0</v>
      </c>
      <c r="C44" s="734"/>
      <c r="D44" s="734"/>
      <c r="E44" s="243"/>
      <c r="F44" s="302"/>
      <c r="G44" s="302"/>
      <c r="H44" s="302"/>
      <c r="I44" s="302"/>
      <c r="J44" s="302"/>
      <c r="K44" s="302"/>
      <c r="L44" s="302"/>
      <c r="M44" s="302"/>
    </row>
    <row r="45" spans="1:14" s="3" customFormat="1" x14ac:dyDescent="0.2">
      <c r="A45" s="140"/>
      <c r="B45" s="152" t="s">
        <v>421</v>
      </c>
      <c r="C45" s="152" t="s">
        <v>422</v>
      </c>
      <c r="D45" s="162" t="s">
        <v>3</v>
      </c>
      <c r="E45" s="162" t="s">
        <v>29</v>
      </c>
      <c r="F45" s="174"/>
      <c r="G45" s="174"/>
      <c r="H45" s="173"/>
      <c r="I45" s="173"/>
      <c r="J45" s="174"/>
      <c r="K45" s="174"/>
      <c r="L45" s="173"/>
      <c r="M45" s="173"/>
      <c r="N45" s="148"/>
    </row>
    <row r="46" spans="1:14" s="3" customFormat="1" x14ac:dyDescent="0.2">
      <c r="A46" s="708"/>
      <c r="B46" s="244"/>
      <c r="C46" s="244"/>
      <c r="D46" s="245" t="s">
        <v>4</v>
      </c>
      <c r="E46" s="156" t="s">
        <v>30</v>
      </c>
      <c r="F46" s="173"/>
      <c r="G46" s="173"/>
      <c r="H46" s="173"/>
      <c r="I46" s="173"/>
      <c r="J46" s="173"/>
      <c r="K46" s="173"/>
      <c r="L46" s="173"/>
      <c r="M46" s="173"/>
      <c r="N46" s="148"/>
    </row>
    <row r="47" spans="1:14" s="3" customFormat="1" ht="15.75" x14ac:dyDescent="0.2">
      <c r="A47" s="14" t="s">
        <v>23</v>
      </c>
      <c r="B47" s="310">
        <v>23126</v>
      </c>
      <c r="C47" s="311">
        <v>23708</v>
      </c>
      <c r="D47" s="427">
        <f t="shared" ref="D47:D48" si="0">IF(B47=0, "    ---- ", IF(ABS(ROUND(100/B47*C47-100,1))&lt;999,ROUND(100/B47*C47-100,1),IF(ROUND(100/B47*C47-100,1)&gt;999,999,-999)))</f>
        <v>2.5</v>
      </c>
      <c r="E47" s="11">
        <f>IFERROR(100/'Skjema total MA'!C47*C47,0)</f>
        <v>0.5609920800814362</v>
      </c>
      <c r="F47" s="145"/>
      <c r="G47" s="33"/>
      <c r="H47" s="159"/>
      <c r="I47" s="159"/>
      <c r="J47" s="37"/>
      <c r="K47" s="37"/>
      <c r="L47" s="159"/>
      <c r="M47" s="159"/>
      <c r="N47" s="148"/>
    </row>
    <row r="48" spans="1:14" s="3" customFormat="1" ht="15.75" x14ac:dyDescent="0.2">
      <c r="A48" s="38" t="s">
        <v>376</v>
      </c>
      <c r="B48" s="281">
        <v>23126</v>
      </c>
      <c r="C48" s="282">
        <v>23708</v>
      </c>
      <c r="D48" s="254">
        <f t="shared" si="0"/>
        <v>2.5</v>
      </c>
      <c r="E48" s="27">
        <f>IFERROR(100/'Skjema total MA'!C48*C48,0)</f>
        <v>0.99660568797153426</v>
      </c>
      <c r="F48" s="145"/>
      <c r="G48" s="33"/>
      <c r="H48" s="145"/>
      <c r="I48" s="145"/>
      <c r="J48" s="33"/>
      <c r="K48" s="33"/>
      <c r="L48" s="159"/>
      <c r="M48" s="159"/>
      <c r="N48" s="148"/>
    </row>
    <row r="49" spans="1:14" s="3" customFormat="1" ht="15.75" x14ac:dyDescent="0.2">
      <c r="A49" s="38" t="s">
        <v>377</v>
      </c>
      <c r="B49" s="44"/>
      <c r="C49" s="287"/>
      <c r="D49" s="254"/>
      <c r="E49" s="27"/>
      <c r="F49" s="145"/>
      <c r="G49" s="33"/>
      <c r="H49" s="145"/>
      <c r="I49" s="145"/>
      <c r="J49" s="37"/>
      <c r="K49" s="37"/>
      <c r="L49" s="159"/>
      <c r="M49" s="159"/>
      <c r="N49" s="148"/>
    </row>
    <row r="50" spans="1:14" s="3" customFormat="1" x14ac:dyDescent="0.2">
      <c r="A50" s="296" t="s">
        <v>6</v>
      </c>
      <c r="B50" s="290"/>
      <c r="C50" s="291"/>
      <c r="D50" s="254"/>
      <c r="E50" s="23"/>
      <c r="F50" s="145"/>
      <c r="G50" s="33"/>
      <c r="H50" s="145"/>
      <c r="I50" s="145"/>
      <c r="J50" s="33"/>
      <c r="K50" s="33"/>
      <c r="L50" s="159"/>
      <c r="M50" s="159"/>
      <c r="N50" s="148"/>
    </row>
    <row r="51" spans="1:14" s="3" customFormat="1" x14ac:dyDescent="0.2">
      <c r="A51" s="296" t="s">
        <v>7</v>
      </c>
      <c r="B51" s="290"/>
      <c r="C51" s="291"/>
      <c r="D51" s="254"/>
      <c r="E51" s="23"/>
      <c r="F51" s="145"/>
      <c r="G51" s="33"/>
      <c r="H51" s="145"/>
      <c r="I51" s="145"/>
      <c r="J51" s="33"/>
      <c r="K51" s="33"/>
      <c r="L51" s="159"/>
      <c r="M51" s="159"/>
      <c r="N51" s="148"/>
    </row>
    <row r="52" spans="1:14" s="3" customFormat="1" x14ac:dyDescent="0.2">
      <c r="A52" s="296" t="s">
        <v>8</v>
      </c>
      <c r="B52" s="290"/>
      <c r="C52" s="291"/>
      <c r="D52" s="254"/>
      <c r="E52" s="23"/>
      <c r="F52" s="145"/>
      <c r="G52" s="33"/>
      <c r="H52" s="145"/>
      <c r="I52" s="145"/>
      <c r="J52" s="33"/>
      <c r="K52" s="33"/>
      <c r="L52" s="159"/>
      <c r="M52" s="159"/>
      <c r="N52" s="148"/>
    </row>
    <row r="53" spans="1:14" s="3" customFormat="1" ht="15.75" x14ac:dyDescent="0.2">
      <c r="A53" s="39" t="s">
        <v>378</v>
      </c>
      <c r="B53" s="310"/>
      <c r="C53" s="311"/>
      <c r="D53" s="428"/>
      <c r="E53" s="11"/>
      <c r="F53" s="145"/>
      <c r="G53" s="33"/>
      <c r="H53" s="145"/>
      <c r="I53" s="145"/>
      <c r="J53" s="33"/>
      <c r="K53" s="33"/>
      <c r="L53" s="159"/>
      <c r="M53" s="159"/>
      <c r="N53" s="148"/>
    </row>
    <row r="54" spans="1:14" s="3" customFormat="1" ht="15.75" x14ac:dyDescent="0.2">
      <c r="A54" s="38" t="s">
        <v>376</v>
      </c>
      <c r="B54" s="281"/>
      <c r="C54" s="282"/>
      <c r="D54" s="254"/>
      <c r="E54" s="27"/>
      <c r="F54" s="145"/>
      <c r="G54" s="33"/>
      <c r="H54" s="145"/>
      <c r="I54" s="145"/>
      <c r="J54" s="33"/>
      <c r="K54" s="33"/>
      <c r="L54" s="159"/>
      <c r="M54" s="159"/>
      <c r="N54" s="148"/>
    </row>
    <row r="55" spans="1:14" s="3" customFormat="1" ht="15.75" x14ac:dyDescent="0.2">
      <c r="A55" s="38" t="s">
        <v>377</v>
      </c>
      <c r="B55" s="281"/>
      <c r="C55" s="282"/>
      <c r="D55" s="254"/>
      <c r="E55" s="27"/>
      <c r="F55" s="145"/>
      <c r="G55" s="33"/>
      <c r="H55" s="145"/>
      <c r="I55" s="145"/>
      <c r="J55" s="33"/>
      <c r="K55" s="33"/>
      <c r="L55" s="159"/>
      <c r="M55" s="159"/>
      <c r="N55" s="148"/>
    </row>
    <row r="56" spans="1:14" s="3" customFormat="1" ht="15.75" x14ac:dyDescent="0.2">
      <c r="A56" s="39" t="s">
        <v>379</v>
      </c>
      <c r="B56" s="310"/>
      <c r="C56" s="311"/>
      <c r="D56" s="428"/>
      <c r="E56" s="11"/>
      <c r="F56" s="145"/>
      <c r="G56" s="33"/>
      <c r="H56" s="145"/>
      <c r="I56" s="145"/>
      <c r="J56" s="33"/>
      <c r="K56" s="33"/>
      <c r="L56" s="159"/>
      <c r="M56" s="159"/>
      <c r="N56" s="148"/>
    </row>
    <row r="57" spans="1:14" s="3" customFormat="1" ht="15.75" x14ac:dyDescent="0.2">
      <c r="A57" s="38" t="s">
        <v>376</v>
      </c>
      <c r="B57" s="281"/>
      <c r="C57" s="282"/>
      <c r="D57" s="254"/>
      <c r="E57" s="27"/>
      <c r="F57" s="145"/>
      <c r="G57" s="33"/>
      <c r="H57" s="145"/>
      <c r="I57" s="145"/>
      <c r="J57" s="33"/>
      <c r="K57" s="33"/>
      <c r="L57" s="159"/>
      <c r="M57" s="159"/>
      <c r="N57" s="148"/>
    </row>
    <row r="58" spans="1:14" s="3" customFormat="1" ht="15.75" x14ac:dyDescent="0.2">
      <c r="A58" s="46" t="s">
        <v>377</v>
      </c>
      <c r="B58" s="283"/>
      <c r="C58" s="284"/>
      <c r="D58" s="255"/>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274</v>
      </c>
      <c r="C61" s="26"/>
      <c r="D61" s="26"/>
      <c r="E61" s="26"/>
      <c r="F61" s="26"/>
      <c r="G61" s="26"/>
      <c r="H61" s="26"/>
      <c r="I61" s="26"/>
      <c r="J61" s="26"/>
      <c r="K61" s="26"/>
      <c r="L61" s="26"/>
      <c r="M61" s="26"/>
    </row>
    <row r="62" spans="1:14" ht="15.75" x14ac:dyDescent="0.25">
      <c r="B62" s="735"/>
      <c r="C62" s="735"/>
      <c r="D62" s="735"/>
      <c r="E62" s="299"/>
      <c r="F62" s="735"/>
      <c r="G62" s="735"/>
      <c r="H62" s="735"/>
      <c r="I62" s="299"/>
      <c r="J62" s="735"/>
      <c r="K62" s="735"/>
      <c r="L62" s="735"/>
      <c r="M62" s="299"/>
    </row>
    <row r="63" spans="1:14" x14ac:dyDescent="0.2">
      <c r="A63" s="144"/>
      <c r="B63" s="733" t="s">
        <v>0</v>
      </c>
      <c r="C63" s="734"/>
      <c r="D63" s="738"/>
      <c r="E63" s="300"/>
      <c r="F63" s="734" t="s">
        <v>1</v>
      </c>
      <c r="G63" s="734"/>
      <c r="H63" s="734"/>
      <c r="I63" s="304"/>
      <c r="J63" s="733" t="s">
        <v>2</v>
      </c>
      <c r="K63" s="734"/>
      <c r="L63" s="734"/>
      <c r="M63" s="304"/>
    </row>
    <row r="64" spans="1:14" x14ac:dyDescent="0.2">
      <c r="A64" s="140"/>
      <c r="B64" s="152" t="s">
        <v>421</v>
      </c>
      <c r="C64" s="152" t="s">
        <v>422</v>
      </c>
      <c r="D64" s="245" t="s">
        <v>3</v>
      </c>
      <c r="E64" s="305" t="s">
        <v>29</v>
      </c>
      <c r="F64" s="152" t="s">
        <v>421</v>
      </c>
      <c r="G64" s="152" t="s">
        <v>422</v>
      </c>
      <c r="H64" s="245" t="s">
        <v>3</v>
      </c>
      <c r="I64" s="305" t="s">
        <v>29</v>
      </c>
      <c r="J64" s="152" t="s">
        <v>421</v>
      </c>
      <c r="K64" s="152" t="s">
        <v>422</v>
      </c>
      <c r="L64" s="245" t="s">
        <v>3</v>
      </c>
      <c r="M64" s="162" t="s">
        <v>29</v>
      </c>
    </row>
    <row r="65" spans="1:14" x14ac:dyDescent="0.2">
      <c r="A65" s="708"/>
      <c r="B65" s="156"/>
      <c r="C65" s="156"/>
      <c r="D65" s="246" t="s">
        <v>4</v>
      </c>
      <c r="E65" s="156" t="s">
        <v>30</v>
      </c>
      <c r="F65" s="161"/>
      <c r="G65" s="161"/>
      <c r="H65" s="245" t="s">
        <v>4</v>
      </c>
      <c r="I65" s="156" t="s">
        <v>30</v>
      </c>
      <c r="J65" s="161"/>
      <c r="K65" s="206"/>
      <c r="L65" s="156" t="s">
        <v>4</v>
      </c>
      <c r="M65" s="156" t="s">
        <v>30</v>
      </c>
    </row>
    <row r="66" spans="1:14" ht="15.75" x14ac:dyDescent="0.2">
      <c r="A66" s="14" t="s">
        <v>23</v>
      </c>
      <c r="B66" s="353"/>
      <c r="C66" s="353"/>
      <c r="D66" s="350"/>
      <c r="E66" s="11"/>
      <c r="F66" s="352"/>
      <c r="G66" s="352"/>
      <c r="H66" s="350"/>
      <c r="I66" s="11"/>
      <c r="J66" s="309"/>
      <c r="K66" s="316"/>
      <c r="L66" s="428"/>
      <c r="M66" s="11"/>
    </row>
    <row r="67" spans="1:14" x14ac:dyDescent="0.2">
      <c r="A67" s="419" t="s">
        <v>9</v>
      </c>
      <c r="B67" s="44"/>
      <c r="C67" s="145"/>
      <c r="D67" s="166"/>
      <c r="E67" s="27"/>
      <c r="F67" s="234"/>
      <c r="G67" s="145"/>
      <c r="H67" s="166"/>
      <c r="I67" s="27"/>
      <c r="J67" s="287"/>
      <c r="K67" s="44"/>
      <c r="L67" s="254"/>
      <c r="M67" s="27"/>
    </row>
    <row r="68" spans="1:14" x14ac:dyDescent="0.2">
      <c r="A68" s="21" t="s">
        <v>10</v>
      </c>
      <c r="B68" s="292"/>
      <c r="C68" s="293"/>
      <c r="D68" s="166"/>
      <c r="E68" s="27"/>
      <c r="F68" s="292"/>
      <c r="G68" s="293"/>
      <c r="H68" s="166"/>
      <c r="I68" s="27"/>
      <c r="J68" s="287"/>
      <c r="K68" s="44"/>
      <c r="L68" s="254"/>
      <c r="M68" s="27"/>
    </row>
    <row r="69" spans="1:14" ht="15.75" x14ac:dyDescent="0.2">
      <c r="A69" s="296" t="s">
        <v>380</v>
      </c>
      <c r="B69" s="294"/>
      <c r="C69" s="295"/>
      <c r="D69" s="166"/>
      <c r="E69" s="417"/>
      <c r="F69" s="294"/>
      <c r="G69" s="295"/>
      <c r="H69" s="166"/>
      <c r="I69" s="417"/>
      <c r="J69" s="294"/>
      <c r="K69" s="295"/>
      <c r="L69" s="166"/>
      <c r="M69" s="23"/>
    </row>
    <row r="70" spans="1:14" x14ac:dyDescent="0.2">
      <c r="A70" s="296" t="s">
        <v>12</v>
      </c>
      <c r="B70" s="294"/>
      <c r="C70" s="295"/>
      <c r="D70" s="166"/>
      <c r="E70" s="417"/>
      <c r="F70" s="294"/>
      <c r="G70" s="295"/>
      <c r="H70" s="166"/>
      <c r="I70" s="417"/>
      <c r="J70" s="294"/>
      <c r="K70" s="295"/>
      <c r="L70" s="166"/>
      <c r="M70" s="23"/>
    </row>
    <row r="71" spans="1:14" x14ac:dyDescent="0.2">
      <c r="A71" s="296" t="s">
        <v>13</v>
      </c>
      <c r="B71" s="235"/>
      <c r="C71" s="289"/>
      <c r="D71" s="166"/>
      <c r="E71" s="417"/>
      <c r="F71" s="294"/>
      <c r="G71" s="295"/>
      <c r="H71" s="166"/>
      <c r="I71" s="417"/>
      <c r="J71" s="294"/>
      <c r="K71" s="295"/>
      <c r="L71" s="166"/>
      <c r="M71" s="23"/>
    </row>
    <row r="72" spans="1:14" ht="15.75" x14ac:dyDescent="0.2">
      <c r="A72" s="296" t="s">
        <v>381</v>
      </c>
      <c r="B72" s="294"/>
      <c r="C72" s="295"/>
      <c r="D72" s="166"/>
      <c r="E72" s="417"/>
      <c r="F72" s="294"/>
      <c r="G72" s="295"/>
      <c r="H72" s="166"/>
      <c r="I72" s="417"/>
      <c r="J72" s="294"/>
      <c r="K72" s="295"/>
      <c r="L72" s="166"/>
      <c r="M72" s="23"/>
    </row>
    <row r="73" spans="1:14" x14ac:dyDescent="0.2">
      <c r="A73" s="296" t="s">
        <v>12</v>
      </c>
      <c r="B73" s="235"/>
      <c r="C73" s="289"/>
      <c r="D73" s="166"/>
      <c r="E73" s="417"/>
      <c r="F73" s="294"/>
      <c r="G73" s="295"/>
      <c r="H73" s="166"/>
      <c r="I73" s="417"/>
      <c r="J73" s="294"/>
      <c r="K73" s="295"/>
      <c r="L73" s="166"/>
      <c r="M73" s="23"/>
    </row>
    <row r="74" spans="1:14" s="3" customFormat="1" x14ac:dyDescent="0.2">
      <c r="A74" s="296" t="s">
        <v>13</v>
      </c>
      <c r="B74" s="235"/>
      <c r="C74" s="289"/>
      <c r="D74" s="166"/>
      <c r="E74" s="417"/>
      <c r="F74" s="294"/>
      <c r="G74" s="295"/>
      <c r="H74" s="166"/>
      <c r="I74" s="417"/>
      <c r="J74" s="294"/>
      <c r="K74" s="295"/>
      <c r="L74" s="166"/>
      <c r="M74" s="23"/>
      <c r="N74" s="148"/>
    </row>
    <row r="75" spans="1:14" s="3" customFormat="1" x14ac:dyDescent="0.2">
      <c r="A75" s="21" t="s">
        <v>350</v>
      </c>
      <c r="B75" s="234"/>
      <c r="C75" s="145"/>
      <c r="D75" s="166"/>
      <c r="E75" s="27"/>
      <c r="F75" s="234"/>
      <c r="G75" s="145"/>
      <c r="H75" s="166"/>
      <c r="I75" s="27"/>
      <c r="J75" s="287"/>
      <c r="K75" s="44"/>
      <c r="L75" s="254"/>
      <c r="M75" s="27"/>
      <c r="N75" s="148"/>
    </row>
    <row r="76" spans="1:14" s="3" customFormat="1" x14ac:dyDescent="0.2">
      <c r="A76" s="21" t="s">
        <v>349</v>
      </c>
      <c r="B76" s="234"/>
      <c r="C76" s="145"/>
      <c r="D76" s="166"/>
      <c r="E76" s="27"/>
      <c r="F76" s="234"/>
      <c r="G76" s="145"/>
      <c r="H76" s="166"/>
      <c r="I76" s="27"/>
      <c r="J76" s="287"/>
      <c r="K76" s="44"/>
      <c r="L76" s="254"/>
      <c r="M76" s="27"/>
      <c r="N76" s="148"/>
    </row>
    <row r="77" spans="1:14" ht="15.75" x14ac:dyDescent="0.2">
      <c r="A77" s="21" t="s">
        <v>382</v>
      </c>
      <c r="B77" s="234"/>
      <c r="C77" s="234"/>
      <c r="D77" s="166"/>
      <c r="E77" s="27"/>
      <c r="F77" s="234"/>
      <c r="G77" s="145"/>
      <c r="H77" s="166"/>
      <c r="I77" s="27"/>
      <c r="J77" s="287"/>
      <c r="K77" s="44"/>
      <c r="L77" s="254"/>
      <c r="M77" s="27"/>
    </row>
    <row r="78" spans="1:14" x14ac:dyDescent="0.2">
      <c r="A78" s="21" t="s">
        <v>9</v>
      </c>
      <c r="B78" s="234"/>
      <c r="C78" s="145"/>
      <c r="D78" s="166"/>
      <c r="E78" s="27"/>
      <c r="F78" s="234"/>
      <c r="G78" s="145"/>
      <c r="H78" s="166"/>
      <c r="I78" s="27"/>
      <c r="J78" s="287"/>
      <c r="K78" s="44"/>
      <c r="L78" s="254"/>
      <c r="M78" s="27"/>
    </row>
    <row r="79" spans="1:14" x14ac:dyDescent="0.2">
      <c r="A79" s="21" t="s">
        <v>10</v>
      </c>
      <c r="B79" s="292"/>
      <c r="C79" s="293"/>
      <c r="D79" s="166"/>
      <c r="E79" s="27"/>
      <c r="F79" s="292"/>
      <c r="G79" s="293"/>
      <c r="H79" s="166"/>
      <c r="I79" s="27"/>
      <c r="J79" s="287"/>
      <c r="K79" s="44"/>
      <c r="L79" s="254"/>
      <c r="M79" s="27"/>
    </row>
    <row r="80" spans="1:14" ht="15.75" x14ac:dyDescent="0.2">
      <c r="A80" s="296" t="s">
        <v>380</v>
      </c>
      <c r="B80" s="294"/>
      <c r="C80" s="295"/>
      <c r="D80" s="166"/>
      <c r="E80" s="417"/>
      <c r="F80" s="294"/>
      <c r="G80" s="295"/>
      <c r="H80" s="166"/>
      <c r="I80" s="417"/>
      <c r="J80" s="294"/>
      <c r="K80" s="295"/>
      <c r="L80" s="166"/>
      <c r="M80" s="23"/>
    </row>
    <row r="81" spans="1:13" x14ac:dyDescent="0.2">
      <c r="A81" s="296" t="s">
        <v>12</v>
      </c>
      <c r="B81" s="294"/>
      <c r="C81" s="295"/>
      <c r="D81" s="166"/>
      <c r="E81" s="417"/>
      <c r="F81" s="294"/>
      <c r="G81" s="295"/>
      <c r="H81" s="166"/>
      <c r="I81" s="417"/>
      <c r="J81" s="294"/>
      <c r="K81" s="295"/>
      <c r="L81" s="166"/>
      <c r="M81" s="23"/>
    </row>
    <row r="82" spans="1:13" x14ac:dyDescent="0.2">
      <c r="A82" s="296" t="s">
        <v>13</v>
      </c>
      <c r="B82" s="294"/>
      <c r="C82" s="295"/>
      <c r="D82" s="166"/>
      <c r="E82" s="417"/>
      <c r="F82" s="294"/>
      <c r="G82" s="295"/>
      <c r="H82" s="166"/>
      <c r="I82" s="417"/>
      <c r="J82" s="294"/>
      <c r="K82" s="295"/>
      <c r="L82" s="166"/>
      <c r="M82" s="23"/>
    </row>
    <row r="83" spans="1:13" ht="15.75" x14ac:dyDescent="0.2">
      <c r="A83" s="296" t="s">
        <v>381</v>
      </c>
      <c r="B83" s="294"/>
      <c r="C83" s="295"/>
      <c r="D83" s="166"/>
      <c r="E83" s="417"/>
      <c r="F83" s="294"/>
      <c r="G83" s="295"/>
      <c r="H83" s="166"/>
      <c r="I83" s="417"/>
      <c r="J83" s="294"/>
      <c r="K83" s="295"/>
      <c r="L83" s="166"/>
      <c r="M83" s="23"/>
    </row>
    <row r="84" spans="1:13" x14ac:dyDescent="0.2">
      <c r="A84" s="296" t="s">
        <v>12</v>
      </c>
      <c r="B84" s="294"/>
      <c r="C84" s="295"/>
      <c r="D84" s="166"/>
      <c r="E84" s="417"/>
      <c r="F84" s="294"/>
      <c r="G84" s="295"/>
      <c r="H84" s="166"/>
      <c r="I84" s="417"/>
      <c r="J84" s="294"/>
      <c r="K84" s="295"/>
      <c r="L84" s="166"/>
      <c r="M84" s="23"/>
    </row>
    <row r="85" spans="1:13" x14ac:dyDescent="0.2">
      <c r="A85" s="296" t="s">
        <v>13</v>
      </c>
      <c r="B85" s="294"/>
      <c r="C85" s="295"/>
      <c r="D85" s="166"/>
      <c r="E85" s="417"/>
      <c r="F85" s="294"/>
      <c r="G85" s="295"/>
      <c r="H85" s="166"/>
      <c r="I85" s="417"/>
      <c r="J85" s="294"/>
      <c r="K85" s="295"/>
      <c r="L85" s="166"/>
      <c r="M85" s="23"/>
    </row>
    <row r="86" spans="1:13" ht="15.75" x14ac:dyDescent="0.2">
      <c r="A86" s="21" t="s">
        <v>383</v>
      </c>
      <c r="B86" s="234"/>
      <c r="C86" s="145"/>
      <c r="D86" s="166"/>
      <c r="E86" s="27"/>
      <c r="F86" s="234"/>
      <c r="G86" s="145"/>
      <c r="H86" s="166"/>
      <c r="I86" s="27"/>
      <c r="J86" s="287"/>
      <c r="K86" s="44"/>
      <c r="L86" s="254"/>
      <c r="M86" s="27"/>
    </row>
    <row r="87" spans="1:13" ht="15.75" x14ac:dyDescent="0.2">
      <c r="A87" s="13" t="s">
        <v>365</v>
      </c>
      <c r="B87" s="353"/>
      <c r="C87" s="353"/>
      <c r="D87" s="171"/>
      <c r="E87" s="11"/>
      <c r="F87" s="352"/>
      <c r="G87" s="352"/>
      <c r="H87" s="171"/>
      <c r="I87" s="11"/>
      <c r="J87" s="309"/>
      <c r="K87" s="236"/>
      <c r="L87" s="428"/>
      <c r="M87" s="11"/>
    </row>
    <row r="88" spans="1:13" x14ac:dyDescent="0.2">
      <c r="A88" s="21" t="s">
        <v>9</v>
      </c>
      <c r="B88" s="234"/>
      <c r="C88" s="145"/>
      <c r="D88" s="166"/>
      <c r="E88" s="27"/>
      <c r="F88" s="234"/>
      <c r="G88" s="145"/>
      <c r="H88" s="166"/>
      <c r="I88" s="27"/>
      <c r="J88" s="287"/>
      <c r="K88" s="44"/>
      <c r="L88" s="254"/>
      <c r="M88" s="27"/>
    </row>
    <row r="89" spans="1:13" x14ac:dyDescent="0.2">
      <c r="A89" s="21" t="s">
        <v>10</v>
      </c>
      <c r="B89" s="234"/>
      <c r="C89" s="145"/>
      <c r="D89" s="166"/>
      <c r="E89" s="27"/>
      <c r="F89" s="234"/>
      <c r="G89" s="145"/>
      <c r="H89" s="166"/>
      <c r="I89" s="27"/>
      <c r="J89" s="287"/>
      <c r="K89" s="44"/>
      <c r="L89" s="254"/>
      <c r="M89" s="27"/>
    </row>
    <row r="90" spans="1:13" ht="15.75" x14ac:dyDescent="0.2">
      <c r="A90" s="296" t="s">
        <v>380</v>
      </c>
      <c r="B90" s="294"/>
      <c r="C90" s="295"/>
      <c r="D90" s="166"/>
      <c r="E90" s="417"/>
      <c r="F90" s="294"/>
      <c r="G90" s="295"/>
      <c r="H90" s="166"/>
      <c r="I90" s="417"/>
      <c r="J90" s="294"/>
      <c r="K90" s="295"/>
      <c r="L90" s="166"/>
      <c r="M90" s="23"/>
    </row>
    <row r="91" spans="1:13" x14ac:dyDescent="0.2">
      <c r="A91" s="296" t="s">
        <v>12</v>
      </c>
      <c r="B91" s="294"/>
      <c r="C91" s="295"/>
      <c r="D91" s="166"/>
      <c r="E91" s="417"/>
      <c r="F91" s="294"/>
      <c r="G91" s="295"/>
      <c r="H91" s="166"/>
      <c r="I91" s="417"/>
      <c r="J91" s="294"/>
      <c r="K91" s="295"/>
      <c r="L91" s="166"/>
      <c r="M91" s="23"/>
    </row>
    <row r="92" spans="1:13" x14ac:dyDescent="0.2">
      <c r="A92" s="296" t="s">
        <v>13</v>
      </c>
      <c r="B92" s="294"/>
      <c r="C92" s="295"/>
      <c r="D92" s="166"/>
      <c r="E92" s="417"/>
      <c r="F92" s="294"/>
      <c r="G92" s="295"/>
      <c r="H92" s="166"/>
      <c r="I92" s="417"/>
      <c r="J92" s="294"/>
      <c r="K92" s="295"/>
      <c r="L92" s="166"/>
      <c r="M92" s="23"/>
    </row>
    <row r="93" spans="1:13" ht="15.75" x14ac:dyDescent="0.2">
      <c r="A93" s="296" t="s">
        <v>381</v>
      </c>
      <c r="B93" s="294"/>
      <c r="C93" s="295"/>
      <c r="D93" s="166"/>
      <c r="E93" s="417"/>
      <c r="F93" s="294"/>
      <c r="G93" s="295"/>
      <c r="H93" s="166"/>
      <c r="I93" s="417"/>
      <c r="J93" s="294"/>
      <c r="K93" s="295"/>
      <c r="L93" s="166"/>
      <c r="M93" s="23"/>
    </row>
    <row r="94" spans="1:13" x14ac:dyDescent="0.2">
      <c r="A94" s="296" t="s">
        <v>12</v>
      </c>
      <c r="B94" s="294"/>
      <c r="C94" s="295"/>
      <c r="D94" s="166"/>
      <c r="E94" s="417"/>
      <c r="F94" s="294"/>
      <c r="G94" s="295"/>
      <c r="H94" s="166"/>
      <c r="I94" s="417"/>
      <c r="J94" s="294"/>
      <c r="K94" s="295"/>
      <c r="L94" s="166"/>
      <c r="M94" s="23"/>
    </row>
    <row r="95" spans="1:13" x14ac:dyDescent="0.2">
      <c r="A95" s="296" t="s">
        <v>13</v>
      </c>
      <c r="B95" s="294"/>
      <c r="C95" s="295"/>
      <c r="D95" s="166"/>
      <c r="E95" s="417"/>
      <c r="F95" s="294"/>
      <c r="G95" s="295"/>
      <c r="H95" s="166"/>
      <c r="I95" s="417"/>
      <c r="J95" s="294"/>
      <c r="K95" s="295"/>
      <c r="L95" s="166"/>
      <c r="M95" s="23"/>
    </row>
    <row r="96" spans="1:13" x14ac:dyDescent="0.2">
      <c r="A96" s="21" t="s">
        <v>348</v>
      </c>
      <c r="B96" s="234"/>
      <c r="C96" s="145"/>
      <c r="D96" s="166"/>
      <c r="E96" s="27"/>
      <c r="F96" s="234"/>
      <c r="G96" s="145"/>
      <c r="H96" s="166"/>
      <c r="I96" s="27"/>
      <c r="J96" s="287"/>
      <c r="K96" s="44"/>
      <c r="L96" s="254"/>
      <c r="M96" s="27"/>
    </row>
    <row r="97" spans="1:13" x14ac:dyDescent="0.2">
      <c r="A97" s="21" t="s">
        <v>347</v>
      </c>
      <c r="B97" s="234"/>
      <c r="C97" s="145"/>
      <c r="D97" s="166"/>
      <c r="E97" s="27"/>
      <c r="F97" s="234"/>
      <c r="G97" s="145"/>
      <c r="H97" s="166"/>
      <c r="I97" s="27"/>
      <c r="J97" s="287"/>
      <c r="K97" s="44"/>
      <c r="L97" s="254"/>
      <c r="M97" s="27"/>
    </row>
    <row r="98" spans="1:13" ht="15.75" x14ac:dyDescent="0.2">
      <c r="A98" s="21" t="s">
        <v>382</v>
      </c>
      <c r="B98" s="234"/>
      <c r="C98" s="234"/>
      <c r="D98" s="166"/>
      <c r="E98" s="27"/>
      <c r="F98" s="292"/>
      <c r="G98" s="292"/>
      <c r="H98" s="166"/>
      <c r="I98" s="27"/>
      <c r="J98" s="287"/>
      <c r="K98" s="44"/>
      <c r="L98" s="254"/>
      <c r="M98" s="27"/>
    </row>
    <row r="99" spans="1:13" x14ac:dyDescent="0.2">
      <c r="A99" s="21" t="s">
        <v>9</v>
      </c>
      <c r="B99" s="292"/>
      <c r="C99" s="293"/>
      <c r="D99" s="166"/>
      <c r="E99" s="27"/>
      <c r="F99" s="234"/>
      <c r="G99" s="145"/>
      <c r="H99" s="166"/>
      <c r="I99" s="27"/>
      <c r="J99" s="287"/>
      <c r="K99" s="44"/>
      <c r="L99" s="254"/>
      <c r="M99" s="27"/>
    </row>
    <row r="100" spans="1:13" x14ac:dyDescent="0.2">
      <c r="A100" s="21" t="s">
        <v>10</v>
      </c>
      <c r="B100" s="292"/>
      <c r="C100" s="293"/>
      <c r="D100" s="166"/>
      <c r="E100" s="27"/>
      <c r="F100" s="234"/>
      <c r="G100" s="234"/>
      <c r="H100" s="166"/>
      <c r="I100" s="27"/>
      <c r="J100" s="287"/>
      <c r="K100" s="44"/>
      <c r="L100" s="254"/>
      <c r="M100" s="27"/>
    </row>
    <row r="101" spans="1:13" ht="15.75" x14ac:dyDescent="0.2">
      <c r="A101" s="296" t="s">
        <v>380</v>
      </c>
      <c r="B101" s="294"/>
      <c r="C101" s="295"/>
      <c r="D101" s="166"/>
      <c r="E101" s="417"/>
      <c r="F101" s="294"/>
      <c r="G101" s="295"/>
      <c r="H101" s="166"/>
      <c r="I101" s="417"/>
      <c r="J101" s="294"/>
      <c r="K101" s="295"/>
      <c r="L101" s="166"/>
      <c r="M101" s="23"/>
    </row>
    <row r="102" spans="1:13" x14ac:dyDescent="0.2">
      <c r="A102" s="296" t="s">
        <v>12</v>
      </c>
      <c r="B102" s="294"/>
      <c r="C102" s="295"/>
      <c r="D102" s="166"/>
      <c r="E102" s="417"/>
      <c r="F102" s="294"/>
      <c r="G102" s="295"/>
      <c r="H102" s="166"/>
      <c r="I102" s="417"/>
      <c r="J102" s="294"/>
      <c r="K102" s="295"/>
      <c r="L102" s="166"/>
      <c r="M102" s="23"/>
    </row>
    <row r="103" spans="1:13" x14ac:dyDescent="0.2">
      <c r="A103" s="296" t="s">
        <v>13</v>
      </c>
      <c r="B103" s="294"/>
      <c r="C103" s="295"/>
      <c r="D103" s="166"/>
      <c r="E103" s="417"/>
      <c r="F103" s="294"/>
      <c r="G103" s="295"/>
      <c r="H103" s="166"/>
      <c r="I103" s="417"/>
      <c r="J103" s="294"/>
      <c r="K103" s="295"/>
      <c r="L103" s="166"/>
      <c r="M103" s="23"/>
    </row>
    <row r="104" spans="1:13" ht="15.75" x14ac:dyDescent="0.2">
      <c r="A104" s="296" t="s">
        <v>381</v>
      </c>
      <c r="B104" s="294"/>
      <c r="C104" s="295"/>
      <c r="D104" s="166"/>
      <c r="E104" s="417"/>
      <c r="F104" s="294"/>
      <c r="G104" s="295"/>
      <c r="H104" s="166"/>
      <c r="I104" s="417"/>
      <c r="J104" s="294"/>
      <c r="K104" s="295"/>
      <c r="L104" s="166"/>
      <c r="M104" s="23"/>
    </row>
    <row r="105" spans="1:13" x14ac:dyDescent="0.2">
      <c r="A105" s="296" t="s">
        <v>12</v>
      </c>
      <c r="B105" s="294"/>
      <c r="C105" s="295"/>
      <c r="D105" s="166"/>
      <c r="E105" s="417"/>
      <c r="F105" s="294"/>
      <c r="G105" s="295"/>
      <c r="H105" s="166"/>
      <c r="I105" s="417"/>
      <c r="J105" s="294"/>
      <c r="K105" s="295"/>
      <c r="L105" s="166"/>
      <c r="M105" s="23"/>
    </row>
    <row r="106" spans="1:13" x14ac:dyDescent="0.2">
      <c r="A106" s="296" t="s">
        <v>13</v>
      </c>
      <c r="B106" s="294"/>
      <c r="C106" s="295"/>
      <c r="D106" s="166"/>
      <c r="E106" s="417"/>
      <c r="F106" s="294"/>
      <c r="G106" s="295"/>
      <c r="H106" s="166"/>
      <c r="I106" s="417"/>
      <c r="J106" s="294"/>
      <c r="K106" s="295"/>
      <c r="L106" s="166"/>
      <c r="M106" s="23"/>
    </row>
    <row r="107" spans="1:13" ht="15.75" x14ac:dyDescent="0.2">
      <c r="A107" s="21" t="s">
        <v>383</v>
      </c>
      <c r="B107" s="234"/>
      <c r="C107" s="145"/>
      <c r="D107" s="166"/>
      <c r="E107" s="27"/>
      <c r="F107" s="234"/>
      <c r="G107" s="145"/>
      <c r="H107" s="166"/>
      <c r="I107" s="27"/>
      <c r="J107" s="287"/>
      <c r="K107" s="44"/>
      <c r="L107" s="254"/>
      <c r="M107" s="27"/>
    </row>
    <row r="108" spans="1:13" ht="15.75" x14ac:dyDescent="0.2">
      <c r="A108" s="21" t="s">
        <v>384</v>
      </c>
      <c r="B108" s="234"/>
      <c r="C108" s="234"/>
      <c r="D108" s="166"/>
      <c r="E108" s="27"/>
      <c r="F108" s="234"/>
      <c r="G108" s="234"/>
      <c r="H108" s="166"/>
      <c r="I108" s="27"/>
      <c r="J108" s="287"/>
      <c r="K108" s="44"/>
      <c r="L108" s="254"/>
      <c r="M108" s="27"/>
    </row>
    <row r="109" spans="1:13" ht="15.75" x14ac:dyDescent="0.2">
      <c r="A109" s="21" t="s">
        <v>385</v>
      </c>
      <c r="B109" s="234"/>
      <c r="C109" s="234"/>
      <c r="D109" s="166"/>
      <c r="E109" s="27"/>
      <c r="F109" s="234"/>
      <c r="G109" s="234"/>
      <c r="H109" s="166"/>
      <c r="I109" s="27"/>
      <c r="J109" s="287"/>
      <c r="K109" s="44"/>
      <c r="L109" s="254"/>
      <c r="M109" s="27"/>
    </row>
    <row r="110" spans="1:13" ht="15.75" x14ac:dyDescent="0.2">
      <c r="A110" s="21" t="s">
        <v>386</v>
      </c>
      <c r="B110" s="234"/>
      <c r="C110" s="234"/>
      <c r="D110" s="166"/>
      <c r="E110" s="27"/>
      <c r="F110" s="234"/>
      <c r="G110" s="234"/>
      <c r="H110" s="166"/>
      <c r="I110" s="27"/>
      <c r="J110" s="287"/>
      <c r="K110" s="44"/>
      <c r="L110" s="254"/>
      <c r="M110" s="27"/>
    </row>
    <row r="111" spans="1:13" ht="15.75" x14ac:dyDescent="0.2">
      <c r="A111" s="13" t="s">
        <v>366</v>
      </c>
      <c r="B111" s="308"/>
      <c r="C111" s="159"/>
      <c r="D111" s="171"/>
      <c r="E111" s="11"/>
      <c r="F111" s="308"/>
      <c r="G111" s="159"/>
      <c r="H111" s="171"/>
      <c r="I111" s="11"/>
      <c r="J111" s="309"/>
      <c r="K111" s="236"/>
      <c r="L111" s="428"/>
      <c r="M111" s="11"/>
    </row>
    <row r="112" spans="1:13" x14ac:dyDescent="0.2">
      <c r="A112" s="21" t="s">
        <v>9</v>
      </c>
      <c r="B112" s="234"/>
      <c r="C112" s="145"/>
      <c r="D112" s="166"/>
      <c r="E112" s="27"/>
      <c r="F112" s="234"/>
      <c r="G112" s="145"/>
      <c r="H112" s="166"/>
      <c r="I112" s="27"/>
      <c r="J112" s="287"/>
      <c r="K112" s="44"/>
      <c r="L112" s="254"/>
      <c r="M112" s="27"/>
    </row>
    <row r="113" spans="1:14" x14ac:dyDescent="0.2">
      <c r="A113" s="21" t="s">
        <v>10</v>
      </c>
      <c r="B113" s="234"/>
      <c r="C113" s="145"/>
      <c r="D113" s="166"/>
      <c r="E113" s="27"/>
      <c r="F113" s="234"/>
      <c r="G113" s="145"/>
      <c r="H113" s="166"/>
      <c r="I113" s="27"/>
      <c r="J113" s="287"/>
      <c r="K113" s="44"/>
      <c r="L113" s="254"/>
      <c r="M113" s="27"/>
    </row>
    <row r="114" spans="1:14" x14ac:dyDescent="0.2">
      <c r="A114" s="21" t="s">
        <v>26</v>
      </c>
      <c r="B114" s="234"/>
      <c r="C114" s="145"/>
      <c r="D114" s="166"/>
      <c r="E114" s="27"/>
      <c r="F114" s="234"/>
      <c r="G114" s="145"/>
      <c r="H114" s="166"/>
      <c r="I114" s="27"/>
      <c r="J114" s="287"/>
      <c r="K114" s="44"/>
      <c r="L114" s="254"/>
      <c r="M114" s="27"/>
    </row>
    <row r="115" spans="1:14" x14ac:dyDescent="0.2">
      <c r="A115" s="296" t="s">
        <v>15</v>
      </c>
      <c r="B115" s="294"/>
      <c r="C115" s="295"/>
      <c r="D115" s="166"/>
      <c r="E115" s="417"/>
      <c r="F115" s="294"/>
      <c r="G115" s="295"/>
      <c r="H115" s="166"/>
      <c r="I115" s="417"/>
      <c r="J115" s="294"/>
      <c r="K115" s="295"/>
      <c r="L115" s="166"/>
      <c r="M115" s="23"/>
    </row>
    <row r="116" spans="1:14" ht="15.75" x14ac:dyDescent="0.2">
      <c r="A116" s="21" t="s">
        <v>387</v>
      </c>
      <c r="B116" s="234"/>
      <c r="C116" s="234"/>
      <c r="D116" s="166"/>
      <c r="E116" s="27"/>
      <c r="F116" s="234"/>
      <c r="G116" s="234"/>
      <c r="H116" s="166"/>
      <c r="I116" s="27"/>
      <c r="J116" s="287"/>
      <c r="K116" s="44"/>
      <c r="L116" s="254"/>
      <c r="M116" s="27"/>
    </row>
    <row r="117" spans="1:14" ht="15.75" x14ac:dyDescent="0.2">
      <c r="A117" s="21" t="s">
        <v>388</v>
      </c>
      <c r="B117" s="234"/>
      <c r="C117" s="234"/>
      <c r="D117" s="166"/>
      <c r="E117" s="27"/>
      <c r="F117" s="234"/>
      <c r="G117" s="234"/>
      <c r="H117" s="166"/>
      <c r="I117" s="27"/>
      <c r="J117" s="287"/>
      <c r="K117" s="44"/>
      <c r="L117" s="254"/>
      <c r="M117" s="27"/>
    </row>
    <row r="118" spans="1:14" ht="15.75" x14ac:dyDescent="0.2">
      <c r="A118" s="21" t="s">
        <v>386</v>
      </c>
      <c r="B118" s="234"/>
      <c r="C118" s="234"/>
      <c r="D118" s="166"/>
      <c r="E118" s="27"/>
      <c r="F118" s="234"/>
      <c r="G118" s="234"/>
      <c r="H118" s="166"/>
      <c r="I118" s="27"/>
      <c r="J118" s="287"/>
      <c r="K118" s="44"/>
      <c r="L118" s="254"/>
      <c r="M118" s="27"/>
    </row>
    <row r="119" spans="1:14" ht="15.75" x14ac:dyDescent="0.2">
      <c r="A119" s="13" t="s">
        <v>367</v>
      </c>
      <c r="B119" s="308"/>
      <c r="C119" s="159"/>
      <c r="D119" s="171"/>
      <c r="E119" s="11"/>
      <c r="F119" s="308"/>
      <c r="G119" s="159"/>
      <c r="H119" s="171"/>
      <c r="I119" s="11"/>
      <c r="J119" s="309"/>
      <c r="K119" s="236"/>
      <c r="L119" s="428"/>
      <c r="M119" s="11"/>
    </row>
    <row r="120" spans="1:14" x14ac:dyDescent="0.2">
      <c r="A120" s="21" t="s">
        <v>9</v>
      </c>
      <c r="B120" s="234"/>
      <c r="C120" s="145"/>
      <c r="D120" s="166"/>
      <c r="E120" s="27"/>
      <c r="F120" s="234"/>
      <c r="G120" s="145"/>
      <c r="H120" s="166"/>
      <c r="I120" s="27"/>
      <c r="J120" s="287"/>
      <c r="K120" s="44"/>
      <c r="L120" s="254"/>
      <c r="M120" s="27"/>
    </row>
    <row r="121" spans="1:14" x14ac:dyDescent="0.2">
      <c r="A121" s="21" t="s">
        <v>10</v>
      </c>
      <c r="B121" s="234"/>
      <c r="C121" s="145"/>
      <c r="D121" s="166"/>
      <c r="E121" s="27"/>
      <c r="F121" s="234"/>
      <c r="G121" s="145"/>
      <c r="H121" s="166"/>
      <c r="I121" s="27"/>
      <c r="J121" s="287"/>
      <c r="K121" s="44"/>
      <c r="L121" s="254"/>
      <c r="M121" s="27"/>
    </row>
    <row r="122" spans="1:14" x14ac:dyDescent="0.2">
      <c r="A122" s="21" t="s">
        <v>26</v>
      </c>
      <c r="B122" s="234"/>
      <c r="C122" s="145"/>
      <c r="D122" s="166"/>
      <c r="E122" s="27"/>
      <c r="F122" s="234"/>
      <c r="G122" s="145"/>
      <c r="H122" s="166"/>
      <c r="I122" s="27"/>
      <c r="J122" s="287"/>
      <c r="K122" s="44"/>
      <c r="L122" s="254"/>
      <c r="M122" s="27"/>
    </row>
    <row r="123" spans="1:14" x14ac:dyDescent="0.2">
      <c r="A123" s="296" t="s">
        <v>14</v>
      </c>
      <c r="B123" s="294"/>
      <c r="C123" s="295"/>
      <c r="D123" s="166"/>
      <c r="E123" s="417"/>
      <c r="F123" s="294"/>
      <c r="G123" s="295"/>
      <c r="H123" s="166"/>
      <c r="I123" s="417"/>
      <c r="J123" s="294"/>
      <c r="K123" s="295"/>
      <c r="L123" s="166"/>
      <c r="M123" s="23"/>
    </row>
    <row r="124" spans="1:14" ht="15.75" x14ac:dyDescent="0.2">
      <c r="A124" s="21" t="s">
        <v>393</v>
      </c>
      <c r="B124" s="234"/>
      <c r="C124" s="234"/>
      <c r="D124" s="166"/>
      <c r="E124" s="27"/>
      <c r="F124" s="234"/>
      <c r="G124" s="234"/>
      <c r="H124" s="166"/>
      <c r="I124" s="27"/>
      <c r="J124" s="287"/>
      <c r="K124" s="44"/>
      <c r="L124" s="254"/>
      <c r="M124" s="27"/>
    </row>
    <row r="125" spans="1:14" ht="15.75" x14ac:dyDescent="0.2">
      <c r="A125" s="21" t="s">
        <v>385</v>
      </c>
      <c r="B125" s="234"/>
      <c r="C125" s="234"/>
      <c r="D125" s="166"/>
      <c r="E125" s="27"/>
      <c r="F125" s="234"/>
      <c r="G125" s="234"/>
      <c r="H125" s="166"/>
      <c r="I125" s="27"/>
      <c r="J125" s="287"/>
      <c r="K125" s="44"/>
      <c r="L125" s="254"/>
      <c r="M125" s="27"/>
    </row>
    <row r="126" spans="1:14" ht="15.75" x14ac:dyDescent="0.2">
      <c r="A126" s="10" t="s">
        <v>386</v>
      </c>
      <c r="B126" s="45"/>
      <c r="C126" s="45"/>
      <c r="D126" s="167"/>
      <c r="E126" s="418"/>
      <c r="F126" s="45"/>
      <c r="G126" s="45"/>
      <c r="H126" s="167"/>
      <c r="I126" s="22"/>
      <c r="J126" s="288"/>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35"/>
      <c r="C130" s="735"/>
      <c r="D130" s="735"/>
      <c r="E130" s="299"/>
      <c r="F130" s="735"/>
      <c r="G130" s="735"/>
      <c r="H130" s="735"/>
      <c r="I130" s="299"/>
      <c r="J130" s="735"/>
      <c r="K130" s="735"/>
      <c r="L130" s="735"/>
      <c r="M130" s="299"/>
    </row>
    <row r="131" spans="1:14" s="3" customFormat="1" x14ac:dyDescent="0.2">
      <c r="A131" s="144"/>
      <c r="B131" s="733" t="s">
        <v>0</v>
      </c>
      <c r="C131" s="734"/>
      <c r="D131" s="734"/>
      <c r="E131" s="301"/>
      <c r="F131" s="733" t="s">
        <v>1</v>
      </c>
      <c r="G131" s="734"/>
      <c r="H131" s="734"/>
      <c r="I131" s="304"/>
      <c r="J131" s="733" t="s">
        <v>2</v>
      </c>
      <c r="K131" s="734"/>
      <c r="L131" s="734"/>
      <c r="M131" s="304"/>
      <c r="N131" s="148"/>
    </row>
    <row r="132" spans="1:14" s="3" customFormat="1" x14ac:dyDescent="0.2">
      <c r="A132" s="140"/>
      <c r="B132" s="152" t="s">
        <v>421</v>
      </c>
      <c r="C132" s="152" t="s">
        <v>422</v>
      </c>
      <c r="D132" s="245" t="s">
        <v>3</v>
      </c>
      <c r="E132" s="305" t="s">
        <v>29</v>
      </c>
      <c r="F132" s="152" t="s">
        <v>421</v>
      </c>
      <c r="G132" s="152" t="s">
        <v>422</v>
      </c>
      <c r="H132" s="206" t="s">
        <v>3</v>
      </c>
      <c r="I132" s="162" t="s">
        <v>29</v>
      </c>
      <c r="J132" s="152" t="s">
        <v>421</v>
      </c>
      <c r="K132" s="152" t="s">
        <v>422</v>
      </c>
      <c r="L132" s="246" t="s">
        <v>3</v>
      </c>
      <c r="M132" s="162" t="s">
        <v>29</v>
      </c>
      <c r="N132" s="148"/>
    </row>
    <row r="133" spans="1:14" s="3" customFormat="1" x14ac:dyDescent="0.2">
      <c r="A133" s="708"/>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389</v>
      </c>
      <c r="B134" s="236">
        <v>4440448</v>
      </c>
      <c r="C134" s="309">
        <v>2449752</v>
      </c>
      <c r="D134" s="350">
        <f t="shared" ref="D134:D137" si="1">IF(B134=0, "    ---- ", IF(ABS(ROUND(100/B134*C134-100,1))&lt;999,ROUND(100/B134*C134-100,1),IF(ROUND(100/B134*C134-100,1)&gt;999,999,-999)))</f>
        <v>-44.8</v>
      </c>
      <c r="E134" s="11">
        <f>IFERROR(100/'Skjema total MA'!C134*C134,0)</f>
        <v>8.4953575317020231</v>
      </c>
      <c r="F134" s="316"/>
      <c r="G134" s="317"/>
      <c r="H134" s="431"/>
      <c r="I134" s="24"/>
      <c r="J134" s="318">
        <f t="shared" ref="J134:K137" si="2">SUM(B134,F134)</f>
        <v>4440448</v>
      </c>
      <c r="K134" s="318">
        <f t="shared" si="2"/>
        <v>2449752</v>
      </c>
      <c r="L134" s="427">
        <f t="shared" ref="L134:L137" si="3">IF(J134=0, "    ---- ", IF(ABS(ROUND(100/J134*K134-100,1))&lt;999,ROUND(100/J134*K134-100,1),IF(ROUND(100/J134*K134-100,1)&gt;999,999,-999)))</f>
        <v>-44.8</v>
      </c>
      <c r="M134" s="11">
        <f>IFERROR(100/'Skjema total MA'!I134*K134,0)</f>
        <v>8.4765797046137177</v>
      </c>
      <c r="N134" s="148"/>
    </row>
    <row r="135" spans="1:14" s="3" customFormat="1" ht="15.75" x14ac:dyDescent="0.2">
      <c r="A135" s="13" t="s">
        <v>394</v>
      </c>
      <c r="B135" s="236">
        <v>76175866</v>
      </c>
      <c r="C135" s="309">
        <v>80017880</v>
      </c>
      <c r="D135" s="171">
        <f t="shared" si="1"/>
        <v>5</v>
      </c>
      <c r="E135" s="11">
        <f>IFERROR(100/'Skjema total MA'!C135*C135,0)</f>
        <v>13.130527274074533</v>
      </c>
      <c r="F135" s="236"/>
      <c r="G135" s="309"/>
      <c r="H135" s="432"/>
      <c r="I135" s="24"/>
      <c r="J135" s="308">
        <f t="shared" si="2"/>
        <v>76175866</v>
      </c>
      <c r="K135" s="308">
        <f t="shared" si="2"/>
        <v>80017880</v>
      </c>
      <c r="L135" s="428">
        <f t="shared" si="3"/>
        <v>5</v>
      </c>
      <c r="M135" s="11">
        <f>IFERROR(100/'Skjema total MA'!I135*K135,0)</f>
        <v>13.088116417454554</v>
      </c>
      <c r="N135" s="148"/>
    </row>
    <row r="136" spans="1:14" s="3" customFormat="1" ht="15.75" x14ac:dyDescent="0.2">
      <c r="A136" s="13" t="s">
        <v>391</v>
      </c>
      <c r="B136" s="236">
        <v>105872.379</v>
      </c>
      <c r="C136" s="309">
        <v>0</v>
      </c>
      <c r="D136" s="171">
        <f t="shared" si="1"/>
        <v>-100</v>
      </c>
      <c r="E136" s="11">
        <f>IFERROR(100/'Skjema total MA'!C136*C136,0)</f>
        <v>0</v>
      </c>
      <c r="F136" s="236"/>
      <c r="G136" s="309"/>
      <c r="H136" s="432"/>
      <c r="I136" s="24"/>
      <c r="J136" s="308">
        <f t="shared" si="2"/>
        <v>105872.379</v>
      </c>
      <c r="K136" s="308">
        <f t="shared" si="2"/>
        <v>0</v>
      </c>
      <c r="L136" s="428">
        <f t="shared" si="3"/>
        <v>-100</v>
      </c>
      <c r="M136" s="11">
        <f>IFERROR(100/'Skjema total MA'!I136*K136,0)</f>
        <v>0</v>
      </c>
      <c r="N136" s="148"/>
    </row>
    <row r="137" spans="1:14" s="3" customFormat="1" ht="15.75" x14ac:dyDescent="0.2">
      <c r="A137" s="41" t="s">
        <v>392</v>
      </c>
      <c r="B137" s="276">
        <v>0</v>
      </c>
      <c r="C137" s="315">
        <v>41000</v>
      </c>
      <c r="D137" s="169" t="str">
        <f t="shared" si="1"/>
        <v xml:space="preserve">    ---- </v>
      </c>
      <c r="E137" s="9">
        <f>IFERROR(100/'Skjema total MA'!C137*C137,0)</f>
        <v>0.53189377657842396</v>
      </c>
      <c r="F137" s="276"/>
      <c r="G137" s="315"/>
      <c r="H137" s="433"/>
      <c r="I137" s="36"/>
      <c r="J137" s="314">
        <f t="shared" si="2"/>
        <v>0</v>
      </c>
      <c r="K137" s="314">
        <f t="shared" si="2"/>
        <v>41000</v>
      </c>
      <c r="L137" s="429" t="str">
        <f t="shared" si="3"/>
        <v xml:space="preserve">    ---- </v>
      </c>
      <c r="M137" s="36">
        <f>IFERROR(100/'Skjema total MA'!I137*K137,0)</f>
        <v>0.53189377657842396</v>
      </c>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284" priority="132">
      <formula>kvartal &lt; 4</formula>
    </cfRule>
  </conditionalFormatting>
  <conditionalFormatting sqref="A50:A52">
    <cfRule type="expression" dxfId="283" priority="12">
      <formula>kvartal &lt; 4</formula>
    </cfRule>
  </conditionalFormatting>
  <conditionalFormatting sqref="A69:A74">
    <cfRule type="expression" dxfId="282" priority="10">
      <formula>kvartal &lt; 4</formula>
    </cfRule>
  </conditionalFormatting>
  <conditionalFormatting sqref="A80:A85">
    <cfRule type="expression" dxfId="281" priority="9">
      <formula>kvartal &lt; 4</formula>
    </cfRule>
  </conditionalFormatting>
  <conditionalFormatting sqref="A90:A95">
    <cfRule type="expression" dxfId="280" priority="6">
      <formula>kvartal &lt; 4</formula>
    </cfRule>
  </conditionalFormatting>
  <conditionalFormatting sqref="A101:A106">
    <cfRule type="expression" dxfId="279" priority="5">
      <formula>kvartal &lt; 4</formula>
    </cfRule>
  </conditionalFormatting>
  <conditionalFormatting sqref="A115">
    <cfRule type="expression" dxfId="278" priority="4">
      <formula>kvartal &lt; 4</formula>
    </cfRule>
  </conditionalFormatting>
  <conditionalFormatting sqref="A123">
    <cfRule type="expression" dxfId="277" priority="3">
      <formula>kvartal &lt; 4</formula>
    </cfRule>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144"/>
  <sheetViews>
    <sheetView showGridLines="0" zoomScaleNormal="100" workbookViewId="0">
      <selection activeCell="A3" sqref="A3"/>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135</v>
      </c>
      <c r="B1" s="709"/>
      <c r="C1" s="583" t="s">
        <v>364</v>
      </c>
      <c r="D1" s="26"/>
      <c r="E1" s="26"/>
      <c r="F1" s="26"/>
      <c r="G1" s="26"/>
      <c r="H1" s="26"/>
      <c r="I1" s="26"/>
      <c r="J1" s="26"/>
      <c r="K1" s="26"/>
      <c r="L1" s="26"/>
      <c r="M1" s="26"/>
    </row>
    <row r="2" spans="1:14" ht="15.75" x14ac:dyDescent="0.25">
      <c r="A2" s="165" t="s">
        <v>28</v>
      </c>
      <c r="B2" s="732"/>
      <c r="C2" s="732"/>
      <c r="D2" s="732"/>
      <c r="E2" s="580"/>
      <c r="F2" s="732"/>
      <c r="G2" s="732"/>
      <c r="H2" s="732"/>
      <c r="I2" s="580"/>
      <c r="J2" s="732"/>
      <c r="K2" s="732"/>
      <c r="L2" s="732"/>
      <c r="M2" s="580"/>
    </row>
    <row r="3" spans="1:14" ht="15.75" x14ac:dyDescent="0.25">
      <c r="A3" s="163"/>
      <c r="B3" s="580"/>
      <c r="C3" s="580"/>
      <c r="D3" s="580"/>
      <c r="E3" s="580"/>
      <c r="F3" s="580"/>
      <c r="G3" s="580"/>
      <c r="H3" s="580"/>
      <c r="I3" s="580"/>
      <c r="J3" s="580"/>
      <c r="K3" s="580"/>
      <c r="L3" s="580"/>
      <c r="M3" s="580"/>
    </row>
    <row r="4" spans="1:14" x14ac:dyDescent="0.2">
      <c r="A4" s="144"/>
      <c r="B4" s="733" t="s">
        <v>0</v>
      </c>
      <c r="C4" s="734"/>
      <c r="D4" s="734"/>
      <c r="E4" s="578"/>
      <c r="F4" s="733" t="s">
        <v>1</v>
      </c>
      <c r="G4" s="734"/>
      <c r="H4" s="734"/>
      <c r="I4" s="579"/>
      <c r="J4" s="733" t="s">
        <v>2</v>
      </c>
      <c r="K4" s="734"/>
      <c r="L4" s="734"/>
      <c r="M4" s="579"/>
    </row>
    <row r="5" spans="1:14" x14ac:dyDescent="0.2">
      <c r="A5" s="158"/>
      <c r="B5" s="152" t="s">
        <v>421</v>
      </c>
      <c r="C5" s="152" t="s">
        <v>422</v>
      </c>
      <c r="D5" s="245" t="s">
        <v>3</v>
      </c>
      <c r="E5" s="305" t="s">
        <v>29</v>
      </c>
      <c r="F5" s="152" t="s">
        <v>421</v>
      </c>
      <c r="G5" s="152" t="s">
        <v>422</v>
      </c>
      <c r="H5" s="245" t="s">
        <v>3</v>
      </c>
      <c r="I5" s="162" t="s">
        <v>29</v>
      </c>
      <c r="J5" s="152" t="s">
        <v>421</v>
      </c>
      <c r="K5" s="152" t="s">
        <v>422</v>
      </c>
      <c r="L5" s="245" t="s">
        <v>3</v>
      </c>
      <c r="M5" s="162" t="s">
        <v>29</v>
      </c>
    </row>
    <row r="6" spans="1:14" x14ac:dyDescent="0.2">
      <c r="A6" s="707"/>
      <c r="B6" s="156"/>
      <c r="C6" s="156"/>
      <c r="D6" s="246" t="s">
        <v>4</v>
      </c>
      <c r="E6" s="156" t="s">
        <v>30</v>
      </c>
      <c r="F6" s="161"/>
      <c r="G6" s="161"/>
      <c r="H6" s="245" t="s">
        <v>4</v>
      </c>
      <c r="I6" s="156" t="s">
        <v>30</v>
      </c>
      <c r="J6" s="161"/>
      <c r="K6" s="161"/>
      <c r="L6" s="245" t="s">
        <v>4</v>
      </c>
      <c r="M6" s="156" t="s">
        <v>30</v>
      </c>
    </row>
    <row r="7" spans="1:14" ht="15.75" x14ac:dyDescent="0.2">
      <c r="A7" s="14" t="s">
        <v>23</v>
      </c>
      <c r="B7" s="306">
        <v>2112.5284044913501</v>
      </c>
      <c r="C7" s="307">
        <v>2087</v>
      </c>
      <c r="D7" s="350">
        <f>IF(B7=0, "    ---- ", IF(ABS(ROUND(100/B7*C7-100,1))&lt;999,ROUND(100/B7*C7-100,1),IF(ROUND(100/B7*C7-100,1)&gt;999,999,-999)))</f>
        <v>-1.2</v>
      </c>
      <c r="E7" s="11">
        <f>IFERROR(100/'Skjema total MA'!C7*C7,0)</f>
        <v>5.6557314055888416E-2</v>
      </c>
      <c r="F7" s="306"/>
      <c r="G7" s="307"/>
      <c r="H7" s="350"/>
      <c r="I7" s="160"/>
      <c r="J7" s="308">
        <f t="shared" ref="J7:K9" si="0">SUM(B7,F7)</f>
        <v>2112.5284044913501</v>
      </c>
      <c r="K7" s="309">
        <f t="shared" si="0"/>
        <v>2087</v>
      </c>
      <c r="L7" s="427">
        <f>IF(J7=0, "    ---- ", IF(ABS(ROUND(100/J7*K7-100,1))&lt;999,ROUND(100/J7*K7-100,1),IF(ROUND(100/J7*K7-100,1)&gt;999,999,-999)))</f>
        <v>-1.2</v>
      </c>
      <c r="M7" s="11">
        <f>IFERROR(100/'Skjema total MA'!I7*K7,0)</f>
        <v>1.9699877625897887E-2</v>
      </c>
    </row>
    <row r="8" spans="1:14" ht="15.75" x14ac:dyDescent="0.2">
      <c r="A8" s="21" t="s">
        <v>25</v>
      </c>
      <c r="B8" s="281"/>
      <c r="C8" s="282"/>
      <c r="D8" s="166"/>
      <c r="E8" s="27"/>
      <c r="F8" s="285"/>
      <c r="G8" s="286"/>
      <c r="H8" s="166"/>
      <c r="I8" s="175"/>
      <c r="J8" s="234"/>
      <c r="K8" s="287"/>
      <c r="L8" s="166"/>
      <c r="M8" s="27"/>
    </row>
    <row r="9" spans="1:14" ht="15.75" x14ac:dyDescent="0.2">
      <c r="A9" s="21" t="s">
        <v>24</v>
      </c>
      <c r="B9" s="281">
        <v>2112.5284044913501</v>
      </c>
      <c r="C9" s="282">
        <v>2087</v>
      </c>
      <c r="D9" s="166">
        <f t="shared" ref="D9" si="1">IF(B9=0, "    ---- ", IF(ABS(ROUND(100/B9*C9-100,1))&lt;999,ROUND(100/B9*C9-100,1),IF(ROUND(100/B9*C9-100,1)&gt;999,999,-999)))</f>
        <v>-1.2</v>
      </c>
      <c r="E9" s="27">
        <f>IFERROR(100/'Skjema total MA'!C9*C9,0)</f>
        <v>0.27662959615303723</v>
      </c>
      <c r="F9" s="285"/>
      <c r="G9" s="286"/>
      <c r="H9" s="166"/>
      <c r="I9" s="175"/>
      <c r="J9" s="234">
        <f t="shared" si="0"/>
        <v>2112.5284044913501</v>
      </c>
      <c r="K9" s="287">
        <f t="shared" si="0"/>
        <v>2087</v>
      </c>
      <c r="L9" s="166">
        <f t="shared" ref="L9" si="2">IF(J9=0, "    ---- ", IF(ABS(ROUND(100/J9*K9-100,1))&lt;999,ROUND(100/J9*K9-100,1),IF(ROUND(100/J9*K9-100,1)&gt;999,999,-999)))</f>
        <v>-1.2</v>
      </c>
      <c r="M9" s="27">
        <f>IFERROR(100/'Skjema total MA'!I9*K9,0)</f>
        <v>0.27662959615303723</v>
      </c>
    </row>
    <row r="10" spans="1:14" ht="15.75" x14ac:dyDescent="0.2">
      <c r="A10" s="13" t="s">
        <v>365</v>
      </c>
      <c r="B10" s="310"/>
      <c r="C10" s="311"/>
      <c r="D10" s="171"/>
      <c r="E10" s="11"/>
      <c r="F10" s="310"/>
      <c r="G10" s="311"/>
      <c r="H10" s="171"/>
      <c r="I10" s="160"/>
      <c r="J10" s="308"/>
      <c r="K10" s="309"/>
      <c r="L10" s="428"/>
      <c r="M10" s="11"/>
    </row>
    <row r="11" spans="1:14" s="43" customFormat="1" ht="15.75" x14ac:dyDescent="0.2">
      <c r="A11" s="13" t="s">
        <v>366</v>
      </c>
      <c r="B11" s="310"/>
      <c r="C11" s="311"/>
      <c r="D11" s="171"/>
      <c r="E11" s="11"/>
      <c r="F11" s="310"/>
      <c r="G11" s="311"/>
      <c r="H11" s="171"/>
      <c r="I11" s="160"/>
      <c r="J11" s="308"/>
      <c r="K11" s="309"/>
      <c r="L11" s="428"/>
      <c r="M11" s="11"/>
      <c r="N11" s="143"/>
    </row>
    <row r="12" spans="1:14" s="43" customFormat="1" ht="15.75" x14ac:dyDescent="0.2">
      <c r="A12" s="41" t="s">
        <v>367</v>
      </c>
      <c r="B12" s="312"/>
      <c r="C12" s="313"/>
      <c r="D12" s="169"/>
      <c r="E12" s="36"/>
      <c r="F12" s="312"/>
      <c r="G12" s="313"/>
      <c r="H12" s="169"/>
      <c r="I12" s="169"/>
      <c r="J12" s="314"/>
      <c r="K12" s="315"/>
      <c r="L12" s="429"/>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275</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272</v>
      </c>
      <c r="B17" s="157"/>
      <c r="C17" s="157"/>
      <c r="D17" s="151"/>
      <c r="E17" s="151"/>
      <c r="F17" s="157"/>
      <c r="G17" s="157"/>
      <c r="H17" s="157"/>
      <c r="I17" s="157"/>
      <c r="J17" s="157"/>
      <c r="K17" s="157"/>
      <c r="L17" s="157"/>
      <c r="M17" s="157"/>
    </row>
    <row r="18" spans="1:14" ht="15.75" x14ac:dyDescent="0.25">
      <c r="B18" s="735"/>
      <c r="C18" s="735"/>
      <c r="D18" s="735"/>
      <c r="E18" s="580"/>
      <c r="F18" s="735"/>
      <c r="G18" s="735"/>
      <c r="H18" s="735"/>
      <c r="I18" s="580"/>
      <c r="J18" s="735"/>
      <c r="K18" s="735"/>
      <c r="L18" s="735"/>
      <c r="M18" s="580"/>
    </row>
    <row r="19" spans="1:14" x14ac:dyDescent="0.2">
      <c r="A19" s="144"/>
      <c r="B19" s="733" t="s">
        <v>0</v>
      </c>
      <c r="C19" s="734"/>
      <c r="D19" s="734"/>
      <c r="E19" s="578"/>
      <c r="F19" s="733" t="s">
        <v>1</v>
      </c>
      <c r="G19" s="734"/>
      <c r="H19" s="734"/>
      <c r="I19" s="579"/>
      <c r="J19" s="733" t="s">
        <v>2</v>
      </c>
      <c r="K19" s="734"/>
      <c r="L19" s="734"/>
      <c r="M19" s="579"/>
    </row>
    <row r="20" spans="1:14" x14ac:dyDescent="0.2">
      <c r="A20" s="140" t="s">
        <v>5</v>
      </c>
      <c r="B20" s="152" t="s">
        <v>421</v>
      </c>
      <c r="C20" s="152" t="s">
        <v>422</v>
      </c>
      <c r="D20" s="162" t="s">
        <v>3</v>
      </c>
      <c r="E20" s="305" t="s">
        <v>29</v>
      </c>
      <c r="F20" s="152" t="s">
        <v>421</v>
      </c>
      <c r="G20" s="152" t="s">
        <v>422</v>
      </c>
      <c r="H20" s="162" t="s">
        <v>3</v>
      </c>
      <c r="I20" s="162" t="s">
        <v>29</v>
      </c>
      <c r="J20" s="152" t="s">
        <v>421</v>
      </c>
      <c r="K20" s="152" t="s">
        <v>422</v>
      </c>
      <c r="L20" s="162" t="s">
        <v>3</v>
      </c>
      <c r="M20" s="162" t="s">
        <v>29</v>
      </c>
    </row>
    <row r="21" spans="1:14" x14ac:dyDescent="0.2">
      <c r="A21" s="708"/>
      <c r="B21" s="156"/>
      <c r="C21" s="156"/>
      <c r="D21" s="246" t="s">
        <v>4</v>
      </c>
      <c r="E21" s="156" t="s">
        <v>30</v>
      </c>
      <c r="F21" s="161"/>
      <c r="G21" s="161"/>
      <c r="H21" s="245" t="s">
        <v>4</v>
      </c>
      <c r="I21" s="156" t="s">
        <v>30</v>
      </c>
      <c r="J21" s="161"/>
      <c r="K21" s="161"/>
      <c r="L21" s="156" t="s">
        <v>4</v>
      </c>
      <c r="M21" s="156" t="s">
        <v>30</v>
      </c>
    </row>
    <row r="22" spans="1:14" ht="15.75" x14ac:dyDescent="0.2">
      <c r="A22" s="14" t="s">
        <v>23</v>
      </c>
      <c r="B22" s="310"/>
      <c r="C22" s="310"/>
      <c r="D22" s="350"/>
      <c r="E22" s="11"/>
      <c r="F22" s="318"/>
      <c r="G22" s="318"/>
      <c r="H22" s="350"/>
      <c r="I22" s="11"/>
      <c r="J22" s="316"/>
      <c r="K22" s="316"/>
      <c r="L22" s="427"/>
      <c r="M22" s="24"/>
    </row>
    <row r="23" spans="1:14" ht="15.75" x14ac:dyDescent="0.2">
      <c r="A23" s="584" t="s">
        <v>368</v>
      </c>
      <c r="B23" s="281"/>
      <c r="C23" s="281"/>
      <c r="D23" s="166"/>
      <c r="E23" s="11"/>
      <c r="F23" s="290"/>
      <c r="G23" s="290"/>
      <c r="H23" s="166"/>
      <c r="I23" s="417"/>
      <c r="J23" s="290"/>
      <c r="K23" s="290"/>
      <c r="L23" s="166"/>
      <c r="M23" s="23"/>
    </row>
    <row r="24" spans="1:14" ht="15.75" x14ac:dyDescent="0.2">
      <c r="A24" s="584" t="s">
        <v>369</v>
      </c>
      <c r="B24" s="281"/>
      <c r="C24" s="281"/>
      <c r="D24" s="166"/>
      <c r="E24" s="11"/>
      <c r="F24" s="290"/>
      <c r="G24" s="290"/>
      <c r="H24" s="166"/>
      <c r="I24" s="417"/>
      <c r="J24" s="290"/>
      <c r="K24" s="290"/>
      <c r="L24" s="166"/>
      <c r="M24" s="23"/>
    </row>
    <row r="25" spans="1:14" ht="15.75" x14ac:dyDescent="0.2">
      <c r="A25" s="584" t="s">
        <v>370</v>
      </c>
      <c r="B25" s="281"/>
      <c r="C25" s="281"/>
      <c r="D25" s="166"/>
      <c r="E25" s="11"/>
      <c r="F25" s="290"/>
      <c r="G25" s="290"/>
      <c r="H25" s="166"/>
      <c r="I25" s="417"/>
      <c r="J25" s="290"/>
      <c r="K25" s="290"/>
      <c r="L25" s="166"/>
      <c r="M25" s="23"/>
    </row>
    <row r="26" spans="1:14" ht="15.75" x14ac:dyDescent="0.2">
      <c r="A26" s="584" t="s">
        <v>371</v>
      </c>
      <c r="B26" s="281"/>
      <c r="C26" s="281"/>
      <c r="D26" s="166"/>
      <c r="E26" s="11"/>
      <c r="F26" s="290"/>
      <c r="G26" s="290"/>
      <c r="H26" s="166"/>
      <c r="I26" s="417"/>
      <c r="J26" s="290"/>
      <c r="K26" s="290"/>
      <c r="L26" s="166"/>
      <c r="M26" s="23"/>
    </row>
    <row r="27" spans="1:14" x14ac:dyDescent="0.2">
      <c r="A27" s="584" t="s">
        <v>11</v>
      </c>
      <c r="B27" s="281"/>
      <c r="C27" s="281"/>
      <c r="D27" s="166"/>
      <c r="E27" s="11"/>
      <c r="F27" s="290"/>
      <c r="G27" s="290"/>
      <c r="H27" s="166"/>
      <c r="I27" s="417"/>
      <c r="J27" s="290"/>
      <c r="K27" s="290"/>
      <c r="L27" s="166"/>
      <c r="M27" s="23"/>
    </row>
    <row r="28" spans="1:14" ht="15.75" x14ac:dyDescent="0.2">
      <c r="A28" s="49" t="s">
        <v>276</v>
      </c>
      <c r="B28" s="44"/>
      <c r="C28" s="287"/>
      <c r="D28" s="166"/>
      <c r="E28" s="11"/>
      <c r="F28" s="234"/>
      <c r="G28" s="287"/>
      <c r="H28" s="166"/>
      <c r="I28" s="27"/>
      <c r="J28" s="44"/>
      <c r="K28" s="44"/>
      <c r="L28" s="254"/>
      <c r="M28" s="23"/>
    </row>
    <row r="29" spans="1:14" s="3" customFormat="1" ht="15.75" x14ac:dyDescent="0.2">
      <c r="A29" s="13" t="s">
        <v>365</v>
      </c>
      <c r="B29" s="236"/>
      <c r="C29" s="236"/>
      <c r="D29" s="171"/>
      <c r="E29" s="11"/>
      <c r="F29" s="308"/>
      <c r="G29" s="308"/>
      <c r="H29" s="171"/>
      <c r="I29" s="11"/>
      <c r="J29" s="236"/>
      <c r="K29" s="236"/>
      <c r="L29" s="428"/>
      <c r="M29" s="24"/>
      <c r="N29" s="148"/>
    </row>
    <row r="30" spans="1:14" s="3" customFormat="1" ht="15.75" x14ac:dyDescent="0.2">
      <c r="A30" s="584" t="s">
        <v>368</v>
      </c>
      <c r="B30" s="281"/>
      <c r="C30" s="281"/>
      <c r="D30" s="166"/>
      <c r="E30" s="11"/>
      <c r="F30" s="290"/>
      <c r="G30" s="290"/>
      <c r="H30" s="166"/>
      <c r="I30" s="417"/>
      <c r="J30" s="290"/>
      <c r="K30" s="290"/>
      <c r="L30" s="166"/>
      <c r="M30" s="23"/>
      <c r="N30" s="148"/>
    </row>
    <row r="31" spans="1:14" s="3" customFormat="1" ht="15.75" x14ac:dyDescent="0.2">
      <c r="A31" s="584" t="s">
        <v>369</v>
      </c>
      <c r="B31" s="281"/>
      <c r="C31" s="281"/>
      <c r="D31" s="166"/>
      <c r="E31" s="11"/>
      <c r="F31" s="290"/>
      <c r="G31" s="290"/>
      <c r="H31" s="166"/>
      <c r="I31" s="417"/>
      <c r="J31" s="290"/>
      <c r="K31" s="290"/>
      <c r="L31" s="166"/>
      <c r="M31" s="23"/>
      <c r="N31" s="148"/>
    </row>
    <row r="32" spans="1:14" ht="15.75" x14ac:dyDescent="0.2">
      <c r="A32" s="584" t="s">
        <v>370</v>
      </c>
      <c r="B32" s="281"/>
      <c r="C32" s="281"/>
      <c r="D32" s="166"/>
      <c r="E32" s="11"/>
      <c r="F32" s="290"/>
      <c r="G32" s="290"/>
      <c r="H32" s="166"/>
      <c r="I32" s="417"/>
      <c r="J32" s="290"/>
      <c r="K32" s="290"/>
      <c r="L32" s="166"/>
      <c r="M32" s="23"/>
    </row>
    <row r="33" spans="1:14" ht="15.75" x14ac:dyDescent="0.2">
      <c r="A33" s="584" t="s">
        <v>371</v>
      </c>
      <c r="B33" s="281"/>
      <c r="C33" s="281"/>
      <c r="D33" s="166"/>
      <c r="E33" s="11"/>
      <c r="F33" s="290"/>
      <c r="G33" s="290"/>
      <c r="H33" s="166"/>
      <c r="I33" s="417"/>
      <c r="J33" s="290"/>
      <c r="K33" s="290"/>
      <c r="L33" s="166"/>
      <c r="M33" s="23"/>
    </row>
    <row r="34" spans="1:14" ht="15.75" x14ac:dyDescent="0.2">
      <c r="A34" s="13" t="s">
        <v>366</v>
      </c>
      <c r="B34" s="236"/>
      <c r="C34" s="309"/>
      <c r="D34" s="171"/>
      <c r="E34" s="11"/>
      <c r="F34" s="308"/>
      <c r="G34" s="309"/>
      <c r="H34" s="171"/>
      <c r="I34" s="11"/>
      <c r="J34" s="236"/>
      <c r="K34" s="236"/>
      <c r="L34" s="428"/>
      <c r="M34" s="24"/>
    </row>
    <row r="35" spans="1:14" ht="15.75" x14ac:dyDescent="0.2">
      <c r="A35" s="13" t="s">
        <v>367</v>
      </c>
      <c r="B35" s="236"/>
      <c r="C35" s="309"/>
      <c r="D35" s="171"/>
      <c r="E35" s="11"/>
      <c r="F35" s="308"/>
      <c r="G35" s="309"/>
      <c r="H35" s="171"/>
      <c r="I35" s="11"/>
      <c r="J35" s="236"/>
      <c r="K35" s="236"/>
      <c r="L35" s="428"/>
      <c r="M35" s="24"/>
    </row>
    <row r="36" spans="1:14" ht="15.75" x14ac:dyDescent="0.2">
      <c r="A36" s="12" t="s">
        <v>284</v>
      </c>
      <c r="B36" s="236"/>
      <c r="C36" s="309"/>
      <c r="D36" s="171"/>
      <c r="E36" s="11"/>
      <c r="F36" s="319"/>
      <c r="G36" s="320"/>
      <c r="H36" s="171"/>
      <c r="I36" s="434"/>
      <c r="J36" s="236"/>
      <c r="K36" s="236"/>
      <c r="L36" s="428"/>
      <c r="M36" s="24"/>
    </row>
    <row r="37" spans="1:14" ht="15.75" x14ac:dyDescent="0.2">
      <c r="A37" s="12" t="s">
        <v>373</v>
      </c>
      <c r="B37" s="236"/>
      <c r="C37" s="309"/>
      <c r="D37" s="171"/>
      <c r="E37" s="11"/>
      <c r="F37" s="319"/>
      <c r="G37" s="321"/>
      <c r="H37" s="171"/>
      <c r="I37" s="434"/>
      <c r="J37" s="236"/>
      <c r="K37" s="236"/>
      <c r="L37" s="428"/>
      <c r="M37" s="24"/>
    </row>
    <row r="38" spans="1:14" ht="15.75" x14ac:dyDescent="0.2">
      <c r="A38" s="12" t="s">
        <v>374</v>
      </c>
      <c r="B38" s="236"/>
      <c r="C38" s="309"/>
      <c r="D38" s="171"/>
      <c r="E38" s="24"/>
      <c r="F38" s="319"/>
      <c r="G38" s="320"/>
      <c r="H38" s="171"/>
      <c r="I38" s="434"/>
      <c r="J38" s="236"/>
      <c r="K38" s="236"/>
      <c r="L38" s="428"/>
      <c r="M38" s="24"/>
    </row>
    <row r="39" spans="1:14" ht="15.75" x14ac:dyDescent="0.2">
      <c r="A39" s="18" t="s">
        <v>375</v>
      </c>
      <c r="B39" s="276"/>
      <c r="C39" s="315"/>
      <c r="D39" s="169"/>
      <c r="E39" s="36"/>
      <c r="F39" s="322"/>
      <c r="G39" s="323"/>
      <c r="H39" s="169"/>
      <c r="I39" s="36"/>
      <c r="J39" s="236"/>
      <c r="K39" s="236"/>
      <c r="L39" s="429"/>
      <c r="M39" s="36"/>
    </row>
    <row r="40" spans="1:14" ht="15.75" x14ac:dyDescent="0.25">
      <c r="A40" s="47"/>
      <c r="B40" s="253"/>
      <c r="C40" s="253"/>
      <c r="D40" s="736"/>
      <c r="E40" s="736"/>
      <c r="F40" s="736"/>
      <c r="G40" s="736"/>
      <c r="H40" s="736"/>
      <c r="I40" s="736"/>
      <c r="J40" s="736"/>
      <c r="K40" s="736"/>
      <c r="L40" s="736"/>
      <c r="M40" s="582"/>
    </row>
    <row r="41" spans="1:14" x14ac:dyDescent="0.2">
      <c r="A41" s="155"/>
    </row>
    <row r="42" spans="1:14" ht="15.75" x14ac:dyDescent="0.25">
      <c r="A42" s="147" t="s">
        <v>273</v>
      </c>
      <c r="B42" s="732"/>
      <c r="C42" s="732"/>
      <c r="D42" s="732"/>
      <c r="E42" s="580"/>
      <c r="F42" s="737"/>
      <c r="G42" s="737"/>
      <c r="H42" s="737"/>
      <c r="I42" s="582"/>
      <c r="J42" s="737"/>
      <c r="K42" s="737"/>
      <c r="L42" s="737"/>
      <c r="M42" s="582"/>
    </row>
    <row r="43" spans="1:14" ht="15.75" x14ac:dyDescent="0.25">
      <c r="A43" s="163"/>
      <c r="B43" s="581"/>
      <c r="C43" s="581"/>
      <c r="D43" s="581"/>
      <c r="E43" s="581"/>
      <c r="F43" s="582"/>
      <c r="G43" s="582"/>
      <c r="H43" s="582"/>
      <c r="I43" s="582"/>
      <c r="J43" s="582"/>
      <c r="K43" s="582"/>
      <c r="L43" s="582"/>
      <c r="M43" s="582"/>
    </row>
    <row r="44" spans="1:14" ht="15.75" x14ac:dyDescent="0.25">
      <c r="A44" s="247"/>
      <c r="B44" s="733" t="s">
        <v>0</v>
      </c>
      <c r="C44" s="734"/>
      <c r="D44" s="734"/>
      <c r="E44" s="243"/>
      <c r="F44" s="582"/>
      <c r="G44" s="582"/>
      <c r="H44" s="582"/>
      <c r="I44" s="582"/>
      <c r="J44" s="582"/>
      <c r="K44" s="582"/>
      <c r="L44" s="582"/>
      <c r="M44" s="582"/>
    </row>
    <row r="45" spans="1:14" s="3" customFormat="1" x14ac:dyDescent="0.2">
      <c r="A45" s="140"/>
      <c r="B45" s="152" t="s">
        <v>421</v>
      </c>
      <c r="C45" s="152" t="s">
        <v>422</v>
      </c>
      <c r="D45" s="162" t="s">
        <v>3</v>
      </c>
      <c r="E45" s="162" t="s">
        <v>29</v>
      </c>
      <c r="F45" s="174"/>
      <c r="G45" s="174"/>
      <c r="H45" s="173"/>
      <c r="I45" s="173"/>
      <c r="J45" s="174"/>
      <c r="K45" s="174"/>
      <c r="L45" s="173"/>
      <c r="M45" s="173"/>
      <c r="N45" s="148"/>
    </row>
    <row r="46" spans="1:14" s="3" customFormat="1" x14ac:dyDescent="0.2">
      <c r="A46" s="708"/>
      <c r="B46" s="244"/>
      <c r="C46" s="244"/>
      <c r="D46" s="245" t="s">
        <v>4</v>
      </c>
      <c r="E46" s="156" t="s">
        <v>30</v>
      </c>
      <c r="F46" s="173"/>
      <c r="G46" s="173"/>
      <c r="H46" s="173"/>
      <c r="I46" s="173"/>
      <c r="J46" s="173"/>
      <c r="K46" s="173"/>
      <c r="L46" s="173"/>
      <c r="M46" s="173"/>
      <c r="N46" s="148"/>
    </row>
    <row r="47" spans="1:14" s="3" customFormat="1" ht="15.75" x14ac:dyDescent="0.2">
      <c r="A47" s="14" t="s">
        <v>23</v>
      </c>
      <c r="B47" s="310">
        <v>296480.35550791997</v>
      </c>
      <c r="C47" s="311">
        <v>284962.49045636802</v>
      </c>
      <c r="D47" s="427">
        <f t="shared" ref="D47:D48" si="3">IF(B47=0, "    ---- ", IF(ABS(ROUND(100/B47*C47-100,1))&lt;999,ROUND(100/B47*C47-100,1),IF(ROUND(100/B47*C47-100,1)&gt;999,999,-999)))</f>
        <v>-3.9</v>
      </c>
      <c r="E47" s="11">
        <f>IFERROR(100/'Skjema total MA'!C47*C47,0)</f>
        <v>6.7429433215076893</v>
      </c>
      <c r="F47" s="145"/>
      <c r="G47" s="33"/>
      <c r="H47" s="159"/>
      <c r="I47" s="159"/>
      <c r="J47" s="37"/>
      <c r="K47" s="37"/>
      <c r="L47" s="159"/>
      <c r="M47" s="159"/>
      <c r="N47" s="148"/>
    </row>
    <row r="48" spans="1:14" s="3" customFormat="1" ht="15.75" x14ac:dyDescent="0.2">
      <c r="A48" s="38" t="s">
        <v>376</v>
      </c>
      <c r="B48" s="281">
        <v>296480.35550791997</v>
      </c>
      <c r="C48" s="282">
        <v>284962.49045636802</v>
      </c>
      <c r="D48" s="254">
        <f t="shared" si="3"/>
        <v>-3.9</v>
      </c>
      <c r="E48" s="27">
        <f>IFERROR(100/'Skjema total MA'!C48*C48,0)</f>
        <v>11.978877967241033</v>
      </c>
      <c r="F48" s="145"/>
      <c r="G48" s="33"/>
      <c r="H48" s="145"/>
      <c r="I48" s="145"/>
      <c r="J48" s="33"/>
      <c r="K48" s="33"/>
      <c r="L48" s="159"/>
      <c r="M48" s="159"/>
      <c r="N48" s="148"/>
    </row>
    <row r="49" spans="1:14" s="3" customFormat="1" ht="15.75" x14ac:dyDescent="0.2">
      <c r="A49" s="38" t="s">
        <v>377</v>
      </c>
      <c r="B49" s="44"/>
      <c r="C49" s="287"/>
      <c r="D49" s="254"/>
      <c r="E49" s="27"/>
      <c r="F49" s="145"/>
      <c r="G49" s="33"/>
      <c r="H49" s="145"/>
      <c r="I49" s="145"/>
      <c r="J49" s="37"/>
      <c r="K49" s="37"/>
      <c r="L49" s="159"/>
      <c r="M49" s="159"/>
      <c r="N49" s="148"/>
    </row>
    <row r="50" spans="1:14" s="3" customFormat="1" x14ac:dyDescent="0.2">
      <c r="A50" s="296" t="s">
        <v>6</v>
      </c>
      <c r="B50" s="290"/>
      <c r="C50" s="291"/>
      <c r="D50" s="254"/>
      <c r="E50" s="23"/>
      <c r="F50" s="145"/>
      <c r="G50" s="33"/>
      <c r="H50" s="145"/>
      <c r="I50" s="145"/>
      <c r="J50" s="33"/>
      <c r="K50" s="33"/>
      <c r="L50" s="159"/>
      <c r="M50" s="159"/>
      <c r="N50" s="148"/>
    </row>
    <row r="51" spans="1:14" s="3" customFormat="1" x14ac:dyDescent="0.2">
      <c r="A51" s="296" t="s">
        <v>7</v>
      </c>
      <c r="B51" s="290"/>
      <c r="C51" s="291"/>
      <c r="D51" s="254"/>
      <c r="E51" s="23"/>
      <c r="F51" s="145"/>
      <c r="G51" s="33"/>
      <c r="H51" s="145"/>
      <c r="I51" s="145"/>
      <c r="J51" s="33"/>
      <c r="K51" s="33"/>
      <c r="L51" s="159"/>
      <c r="M51" s="159"/>
      <c r="N51" s="148"/>
    </row>
    <row r="52" spans="1:14" s="3" customFormat="1" x14ac:dyDescent="0.2">
      <c r="A52" s="296" t="s">
        <v>8</v>
      </c>
      <c r="B52" s="290"/>
      <c r="C52" s="291"/>
      <c r="D52" s="254"/>
      <c r="E52" s="23"/>
      <c r="F52" s="145"/>
      <c r="G52" s="33"/>
      <c r="H52" s="145"/>
      <c r="I52" s="145"/>
      <c r="J52" s="33"/>
      <c r="K52" s="33"/>
      <c r="L52" s="159"/>
      <c r="M52" s="159"/>
      <c r="N52" s="148"/>
    </row>
    <row r="53" spans="1:14" s="3" customFormat="1" ht="15.75" x14ac:dyDescent="0.2">
      <c r="A53" s="39" t="s">
        <v>378</v>
      </c>
      <c r="B53" s="310"/>
      <c r="C53" s="311"/>
      <c r="D53" s="428"/>
      <c r="E53" s="11"/>
      <c r="F53" s="145"/>
      <c r="G53" s="33"/>
      <c r="H53" s="145"/>
      <c r="I53" s="145"/>
      <c r="J53" s="33"/>
      <c r="K53" s="33"/>
      <c r="L53" s="159"/>
      <c r="M53" s="159"/>
      <c r="N53" s="148"/>
    </row>
    <row r="54" spans="1:14" s="3" customFormat="1" ht="15.75" x14ac:dyDescent="0.2">
      <c r="A54" s="38" t="s">
        <v>376</v>
      </c>
      <c r="B54" s="281"/>
      <c r="C54" s="282"/>
      <c r="D54" s="254"/>
      <c r="E54" s="27"/>
      <c r="F54" s="145"/>
      <c r="G54" s="33"/>
      <c r="H54" s="145"/>
      <c r="I54" s="145"/>
      <c r="J54" s="33"/>
      <c r="K54" s="33"/>
      <c r="L54" s="159"/>
      <c r="M54" s="159"/>
      <c r="N54" s="148"/>
    </row>
    <row r="55" spans="1:14" s="3" customFormat="1" ht="15.75" x14ac:dyDescent="0.2">
      <c r="A55" s="38" t="s">
        <v>377</v>
      </c>
      <c r="B55" s="281"/>
      <c r="C55" s="282"/>
      <c r="D55" s="254"/>
      <c r="E55" s="27"/>
      <c r="F55" s="145"/>
      <c r="G55" s="33"/>
      <c r="H55" s="145"/>
      <c r="I55" s="145"/>
      <c r="J55" s="33"/>
      <c r="K55" s="33"/>
      <c r="L55" s="159"/>
      <c r="M55" s="159"/>
      <c r="N55" s="148"/>
    </row>
    <row r="56" spans="1:14" s="3" customFormat="1" ht="15.75" x14ac:dyDescent="0.2">
      <c r="A56" s="39" t="s">
        <v>379</v>
      </c>
      <c r="B56" s="310"/>
      <c r="C56" s="311"/>
      <c r="D56" s="428"/>
      <c r="E56" s="11"/>
      <c r="F56" s="145"/>
      <c r="G56" s="33"/>
      <c r="H56" s="145"/>
      <c r="I56" s="145"/>
      <c r="J56" s="33"/>
      <c r="K56" s="33"/>
      <c r="L56" s="159"/>
      <c r="M56" s="159"/>
      <c r="N56" s="148"/>
    </row>
    <row r="57" spans="1:14" s="3" customFormat="1" ht="15.75" x14ac:dyDescent="0.2">
      <c r="A57" s="38" t="s">
        <v>376</v>
      </c>
      <c r="B57" s="281"/>
      <c r="C57" s="282"/>
      <c r="D57" s="254"/>
      <c r="E57" s="27"/>
      <c r="F57" s="145"/>
      <c r="G57" s="33"/>
      <c r="H57" s="145"/>
      <c r="I57" s="145"/>
      <c r="J57" s="33"/>
      <c r="K57" s="33"/>
      <c r="L57" s="159"/>
      <c r="M57" s="159"/>
      <c r="N57" s="148"/>
    </row>
    <row r="58" spans="1:14" s="3" customFormat="1" ht="15.75" x14ac:dyDescent="0.2">
      <c r="A58" s="46" t="s">
        <v>377</v>
      </c>
      <c r="B58" s="283"/>
      <c r="C58" s="284"/>
      <c r="D58" s="255"/>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274</v>
      </c>
      <c r="C61" s="26"/>
      <c r="D61" s="26"/>
      <c r="E61" s="26"/>
      <c r="F61" s="26"/>
      <c r="G61" s="26"/>
      <c r="H61" s="26"/>
      <c r="I61" s="26"/>
      <c r="J61" s="26"/>
      <c r="K61" s="26"/>
      <c r="L61" s="26"/>
      <c r="M61" s="26"/>
    </row>
    <row r="62" spans="1:14" ht="15.75" x14ac:dyDescent="0.25">
      <c r="B62" s="735"/>
      <c r="C62" s="735"/>
      <c r="D62" s="735"/>
      <c r="E62" s="580"/>
      <c r="F62" s="735"/>
      <c r="G62" s="735"/>
      <c r="H62" s="735"/>
      <c r="I62" s="580"/>
      <c r="J62" s="735"/>
      <c r="K62" s="735"/>
      <c r="L62" s="735"/>
      <c r="M62" s="580"/>
    </row>
    <row r="63" spans="1:14" x14ac:dyDescent="0.2">
      <c r="A63" s="144"/>
      <c r="B63" s="733" t="s">
        <v>0</v>
      </c>
      <c r="C63" s="734"/>
      <c r="D63" s="738"/>
      <c r="E63" s="577"/>
      <c r="F63" s="734" t="s">
        <v>1</v>
      </c>
      <c r="G63" s="734"/>
      <c r="H63" s="734"/>
      <c r="I63" s="579"/>
      <c r="J63" s="733" t="s">
        <v>2</v>
      </c>
      <c r="K63" s="734"/>
      <c r="L63" s="734"/>
      <c r="M63" s="579"/>
    </row>
    <row r="64" spans="1:14" x14ac:dyDescent="0.2">
      <c r="A64" s="140"/>
      <c r="B64" s="152" t="s">
        <v>421</v>
      </c>
      <c r="C64" s="152" t="s">
        <v>422</v>
      </c>
      <c r="D64" s="245" t="s">
        <v>3</v>
      </c>
      <c r="E64" s="305" t="s">
        <v>29</v>
      </c>
      <c r="F64" s="152" t="s">
        <v>421</v>
      </c>
      <c r="G64" s="152" t="s">
        <v>422</v>
      </c>
      <c r="H64" s="245" t="s">
        <v>3</v>
      </c>
      <c r="I64" s="305" t="s">
        <v>29</v>
      </c>
      <c r="J64" s="152" t="s">
        <v>421</v>
      </c>
      <c r="K64" s="152" t="s">
        <v>422</v>
      </c>
      <c r="L64" s="245" t="s">
        <v>3</v>
      </c>
      <c r="M64" s="162" t="s">
        <v>29</v>
      </c>
    </row>
    <row r="65" spans="1:14" x14ac:dyDescent="0.2">
      <c r="A65" s="708"/>
      <c r="B65" s="156"/>
      <c r="C65" s="156"/>
      <c r="D65" s="246" t="s">
        <v>4</v>
      </c>
      <c r="E65" s="156" t="s">
        <v>30</v>
      </c>
      <c r="F65" s="161"/>
      <c r="G65" s="161"/>
      <c r="H65" s="245" t="s">
        <v>4</v>
      </c>
      <c r="I65" s="156" t="s">
        <v>30</v>
      </c>
      <c r="J65" s="161"/>
      <c r="K65" s="206"/>
      <c r="L65" s="156" t="s">
        <v>4</v>
      </c>
      <c r="M65" s="156" t="s">
        <v>30</v>
      </c>
    </row>
    <row r="66" spans="1:14" ht="15.75" x14ac:dyDescent="0.2">
      <c r="A66" s="14" t="s">
        <v>23</v>
      </c>
      <c r="B66" s="353"/>
      <c r="C66" s="353"/>
      <c r="D66" s="350"/>
      <c r="E66" s="11"/>
      <c r="F66" s="352"/>
      <c r="G66" s="352"/>
      <c r="H66" s="350"/>
      <c r="I66" s="11"/>
      <c r="J66" s="309"/>
      <c r="K66" s="316"/>
      <c r="L66" s="428"/>
      <c r="M66" s="11"/>
    </row>
    <row r="67" spans="1:14" x14ac:dyDescent="0.2">
      <c r="A67" s="419" t="s">
        <v>9</v>
      </c>
      <c r="B67" s="44"/>
      <c r="C67" s="145"/>
      <c r="D67" s="166"/>
      <c r="E67" s="27"/>
      <c r="F67" s="234"/>
      <c r="G67" s="145"/>
      <c r="H67" s="166"/>
      <c r="I67" s="27"/>
      <c r="J67" s="287"/>
      <c r="K67" s="44"/>
      <c r="L67" s="254"/>
      <c r="M67" s="27"/>
    </row>
    <row r="68" spans="1:14" x14ac:dyDescent="0.2">
      <c r="A68" s="21" t="s">
        <v>10</v>
      </c>
      <c r="B68" s="292"/>
      <c r="C68" s="293"/>
      <c r="D68" s="166"/>
      <c r="E68" s="27"/>
      <c r="F68" s="292"/>
      <c r="G68" s="293"/>
      <c r="H68" s="166"/>
      <c r="I68" s="27"/>
      <c r="J68" s="287"/>
      <c r="K68" s="44"/>
      <c r="L68" s="254"/>
      <c r="M68" s="27"/>
    </row>
    <row r="69" spans="1:14" ht="15.75" x14ac:dyDescent="0.2">
      <c r="A69" s="296" t="s">
        <v>380</v>
      </c>
      <c r="B69" s="294"/>
      <c r="C69" s="295"/>
      <c r="D69" s="166"/>
      <c r="E69" s="417"/>
      <c r="F69" s="294"/>
      <c r="G69" s="295"/>
      <c r="H69" s="166"/>
      <c r="I69" s="417"/>
      <c r="J69" s="294"/>
      <c r="K69" s="295"/>
      <c r="L69" s="166"/>
      <c r="M69" s="23"/>
    </row>
    <row r="70" spans="1:14" x14ac:dyDescent="0.2">
      <c r="A70" s="296" t="s">
        <v>12</v>
      </c>
      <c r="B70" s="294"/>
      <c r="C70" s="295"/>
      <c r="D70" s="166"/>
      <c r="E70" s="417"/>
      <c r="F70" s="294"/>
      <c r="G70" s="295"/>
      <c r="H70" s="166"/>
      <c r="I70" s="417"/>
      <c r="J70" s="294"/>
      <c r="K70" s="295"/>
      <c r="L70" s="166"/>
      <c r="M70" s="23"/>
    </row>
    <row r="71" spans="1:14" x14ac:dyDescent="0.2">
      <c r="A71" s="296" t="s">
        <v>13</v>
      </c>
      <c r="B71" s="235"/>
      <c r="C71" s="289"/>
      <c r="D71" s="166"/>
      <c r="E71" s="417"/>
      <c r="F71" s="294"/>
      <c r="G71" s="295"/>
      <c r="H71" s="166"/>
      <c r="I71" s="417"/>
      <c r="J71" s="294"/>
      <c r="K71" s="295"/>
      <c r="L71" s="166"/>
      <c r="M71" s="23"/>
    </row>
    <row r="72" spans="1:14" ht="15.75" x14ac:dyDescent="0.2">
      <c r="A72" s="296" t="s">
        <v>381</v>
      </c>
      <c r="B72" s="294"/>
      <c r="C72" s="295"/>
      <c r="D72" s="166"/>
      <c r="E72" s="417"/>
      <c r="F72" s="294"/>
      <c r="G72" s="295"/>
      <c r="H72" s="166"/>
      <c r="I72" s="417"/>
      <c r="J72" s="294"/>
      <c r="K72" s="295"/>
      <c r="L72" s="166"/>
      <c r="M72" s="23"/>
    </row>
    <row r="73" spans="1:14" x14ac:dyDescent="0.2">
      <c r="A73" s="296" t="s">
        <v>12</v>
      </c>
      <c r="B73" s="235"/>
      <c r="C73" s="289"/>
      <c r="D73" s="166"/>
      <c r="E73" s="417"/>
      <c r="F73" s="294"/>
      <c r="G73" s="295"/>
      <c r="H73" s="166"/>
      <c r="I73" s="417"/>
      <c r="J73" s="294"/>
      <c r="K73" s="295"/>
      <c r="L73" s="166"/>
      <c r="M73" s="23"/>
    </row>
    <row r="74" spans="1:14" s="3" customFormat="1" x14ac:dyDescent="0.2">
      <c r="A74" s="296" t="s">
        <v>13</v>
      </c>
      <c r="B74" s="235"/>
      <c r="C74" s="289"/>
      <c r="D74" s="166"/>
      <c r="E74" s="417"/>
      <c r="F74" s="294"/>
      <c r="G74" s="295"/>
      <c r="H74" s="166"/>
      <c r="I74" s="417"/>
      <c r="J74" s="294"/>
      <c r="K74" s="295"/>
      <c r="L74" s="166"/>
      <c r="M74" s="23"/>
      <c r="N74" s="148"/>
    </row>
    <row r="75" spans="1:14" s="3" customFormat="1" x14ac:dyDescent="0.2">
      <c r="A75" s="21" t="s">
        <v>350</v>
      </c>
      <c r="B75" s="234"/>
      <c r="C75" s="145"/>
      <c r="D75" s="166"/>
      <c r="E75" s="27"/>
      <c r="F75" s="234"/>
      <c r="G75" s="145"/>
      <c r="H75" s="166"/>
      <c r="I75" s="27"/>
      <c r="J75" s="287"/>
      <c r="K75" s="44"/>
      <c r="L75" s="254"/>
      <c r="M75" s="27"/>
      <c r="N75" s="148"/>
    </row>
    <row r="76" spans="1:14" s="3" customFormat="1" x14ac:dyDescent="0.2">
      <c r="A76" s="21" t="s">
        <v>349</v>
      </c>
      <c r="B76" s="234"/>
      <c r="C76" s="145"/>
      <c r="D76" s="166"/>
      <c r="E76" s="27"/>
      <c r="F76" s="234"/>
      <c r="G76" s="145"/>
      <c r="H76" s="166"/>
      <c r="I76" s="27"/>
      <c r="J76" s="287"/>
      <c r="K76" s="44"/>
      <c r="L76" s="254"/>
      <c r="M76" s="27"/>
      <c r="N76" s="148"/>
    </row>
    <row r="77" spans="1:14" ht="15.75" x14ac:dyDescent="0.2">
      <c r="A77" s="21" t="s">
        <v>382</v>
      </c>
      <c r="B77" s="234"/>
      <c r="C77" s="234"/>
      <c r="D77" s="166"/>
      <c r="E77" s="27"/>
      <c r="F77" s="234"/>
      <c r="G77" s="145"/>
      <c r="H77" s="166"/>
      <c r="I77" s="27"/>
      <c r="J77" s="287"/>
      <c r="K77" s="44"/>
      <c r="L77" s="254"/>
      <c r="M77" s="27"/>
    </row>
    <row r="78" spans="1:14" x14ac:dyDescent="0.2">
      <c r="A78" s="21" t="s">
        <v>9</v>
      </c>
      <c r="B78" s="234"/>
      <c r="C78" s="145"/>
      <c r="D78" s="166"/>
      <c r="E78" s="27"/>
      <c r="F78" s="234"/>
      <c r="G78" s="145"/>
      <c r="H78" s="166"/>
      <c r="I78" s="27"/>
      <c r="J78" s="287"/>
      <c r="K78" s="44"/>
      <c r="L78" s="254"/>
      <c r="M78" s="27"/>
    </row>
    <row r="79" spans="1:14" x14ac:dyDescent="0.2">
      <c r="A79" s="21" t="s">
        <v>10</v>
      </c>
      <c r="B79" s="292"/>
      <c r="C79" s="293"/>
      <c r="D79" s="166"/>
      <c r="E79" s="27"/>
      <c r="F79" s="292"/>
      <c r="G79" s="293"/>
      <c r="H79" s="166"/>
      <c r="I79" s="27"/>
      <c r="J79" s="287"/>
      <c r="K79" s="44"/>
      <c r="L79" s="254"/>
      <c r="M79" s="27"/>
    </row>
    <row r="80" spans="1:14" ht="15.75" x14ac:dyDescent="0.2">
      <c r="A80" s="296" t="s">
        <v>380</v>
      </c>
      <c r="B80" s="294"/>
      <c r="C80" s="295"/>
      <c r="D80" s="166"/>
      <c r="E80" s="417"/>
      <c r="F80" s="294"/>
      <c r="G80" s="295"/>
      <c r="H80" s="166"/>
      <c r="I80" s="417"/>
      <c r="J80" s="294"/>
      <c r="K80" s="295"/>
      <c r="L80" s="166"/>
      <c r="M80" s="23"/>
    </row>
    <row r="81" spans="1:13" x14ac:dyDescent="0.2">
      <c r="A81" s="296" t="s">
        <v>12</v>
      </c>
      <c r="B81" s="294"/>
      <c r="C81" s="295"/>
      <c r="D81" s="166"/>
      <c r="E81" s="417"/>
      <c r="F81" s="294"/>
      <c r="G81" s="295"/>
      <c r="H81" s="166"/>
      <c r="I81" s="417"/>
      <c r="J81" s="294"/>
      <c r="K81" s="295"/>
      <c r="L81" s="166"/>
      <c r="M81" s="23"/>
    </row>
    <row r="82" spans="1:13" x14ac:dyDescent="0.2">
      <c r="A82" s="296" t="s">
        <v>13</v>
      </c>
      <c r="B82" s="294"/>
      <c r="C82" s="295"/>
      <c r="D82" s="166"/>
      <c r="E82" s="417"/>
      <c r="F82" s="294"/>
      <c r="G82" s="295"/>
      <c r="H82" s="166"/>
      <c r="I82" s="417"/>
      <c r="J82" s="294"/>
      <c r="K82" s="295"/>
      <c r="L82" s="166"/>
      <c r="M82" s="23"/>
    </row>
    <row r="83" spans="1:13" ht="15.75" x14ac:dyDescent="0.2">
      <c r="A83" s="296" t="s">
        <v>381</v>
      </c>
      <c r="B83" s="294"/>
      <c r="C83" s="295"/>
      <c r="D83" s="166"/>
      <c r="E83" s="417"/>
      <c r="F83" s="294"/>
      <c r="G83" s="295"/>
      <c r="H83" s="166"/>
      <c r="I83" s="417"/>
      <c r="J83" s="294"/>
      <c r="K83" s="295"/>
      <c r="L83" s="166"/>
      <c r="M83" s="23"/>
    </row>
    <row r="84" spans="1:13" x14ac:dyDescent="0.2">
      <c r="A84" s="296" t="s">
        <v>12</v>
      </c>
      <c r="B84" s="294"/>
      <c r="C84" s="295"/>
      <c r="D84" s="166"/>
      <c r="E84" s="417"/>
      <c r="F84" s="294"/>
      <c r="G84" s="295"/>
      <c r="H84" s="166"/>
      <c r="I84" s="417"/>
      <c r="J84" s="294"/>
      <c r="K84" s="295"/>
      <c r="L84" s="166"/>
      <c r="M84" s="23"/>
    </row>
    <row r="85" spans="1:13" x14ac:dyDescent="0.2">
      <c r="A85" s="296" t="s">
        <v>13</v>
      </c>
      <c r="B85" s="294"/>
      <c r="C85" s="295"/>
      <c r="D85" s="166"/>
      <c r="E85" s="417"/>
      <c r="F85" s="294"/>
      <c r="G85" s="295"/>
      <c r="H85" s="166"/>
      <c r="I85" s="417"/>
      <c r="J85" s="294"/>
      <c r="K85" s="295"/>
      <c r="L85" s="166"/>
      <c r="M85" s="23"/>
    </row>
    <row r="86" spans="1:13" ht="15.75" x14ac:dyDescent="0.2">
      <c r="A86" s="21" t="s">
        <v>383</v>
      </c>
      <c r="B86" s="234"/>
      <c r="C86" s="145"/>
      <c r="D86" s="166"/>
      <c r="E86" s="27"/>
      <c r="F86" s="234"/>
      <c r="G86" s="145"/>
      <c r="H86" s="166"/>
      <c r="I86" s="27"/>
      <c r="J86" s="287"/>
      <c r="K86" s="44"/>
      <c r="L86" s="254"/>
      <c r="M86" s="27"/>
    </row>
    <row r="87" spans="1:13" ht="15.75" x14ac:dyDescent="0.2">
      <c r="A87" s="13" t="s">
        <v>365</v>
      </c>
      <c r="B87" s="353"/>
      <c r="C87" s="353"/>
      <c r="D87" s="171"/>
      <c r="E87" s="11"/>
      <c r="F87" s="352"/>
      <c r="G87" s="352"/>
      <c r="H87" s="171"/>
      <c r="I87" s="11"/>
      <c r="J87" s="309"/>
      <c r="K87" s="236"/>
      <c r="L87" s="428"/>
      <c r="M87" s="11"/>
    </row>
    <row r="88" spans="1:13" x14ac:dyDescent="0.2">
      <c r="A88" s="21" t="s">
        <v>9</v>
      </c>
      <c r="B88" s="234"/>
      <c r="C88" s="145"/>
      <c r="D88" s="166"/>
      <c r="E88" s="27"/>
      <c r="F88" s="234"/>
      <c r="G88" s="145"/>
      <c r="H88" s="166"/>
      <c r="I88" s="27"/>
      <c r="J88" s="287"/>
      <c r="K88" s="44"/>
      <c r="L88" s="254"/>
      <c r="M88" s="27"/>
    </row>
    <row r="89" spans="1:13" x14ac:dyDescent="0.2">
      <c r="A89" s="21" t="s">
        <v>10</v>
      </c>
      <c r="B89" s="234"/>
      <c r="C89" s="145"/>
      <c r="D89" s="166"/>
      <c r="E89" s="27"/>
      <c r="F89" s="234"/>
      <c r="G89" s="145"/>
      <c r="H89" s="166"/>
      <c r="I89" s="27"/>
      <c r="J89" s="287"/>
      <c r="K89" s="44"/>
      <c r="L89" s="254"/>
      <c r="M89" s="27"/>
    </row>
    <row r="90" spans="1:13" ht="15.75" x14ac:dyDescent="0.2">
      <c r="A90" s="296" t="s">
        <v>380</v>
      </c>
      <c r="B90" s="294"/>
      <c r="C90" s="295"/>
      <c r="D90" s="166"/>
      <c r="E90" s="417"/>
      <c r="F90" s="294"/>
      <c r="G90" s="295"/>
      <c r="H90" s="166"/>
      <c r="I90" s="417"/>
      <c r="J90" s="294"/>
      <c r="K90" s="295"/>
      <c r="L90" s="166"/>
      <c r="M90" s="23"/>
    </row>
    <row r="91" spans="1:13" x14ac:dyDescent="0.2">
      <c r="A91" s="296" t="s">
        <v>12</v>
      </c>
      <c r="B91" s="294"/>
      <c r="C91" s="295"/>
      <c r="D91" s="166"/>
      <c r="E91" s="417"/>
      <c r="F91" s="294"/>
      <c r="G91" s="295"/>
      <c r="H91" s="166"/>
      <c r="I91" s="417"/>
      <c r="J91" s="294"/>
      <c r="K91" s="295"/>
      <c r="L91" s="166"/>
      <c r="M91" s="23"/>
    </row>
    <row r="92" spans="1:13" x14ac:dyDescent="0.2">
      <c r="A92" s="296" t="s">
        <v>13</v>
      </c>
      <c r="B92" s="294"/>
      <c r="C92" s="295"/>
      <c r="D92" s="166"/>
      <c r="E92" s="417"/>
      <c r="F92" s="294"/>
      <c r="G92" s="295"/>
      <c r="H92" s="166"/>
      <c r="I92" s="417"/>
      <c r="J92" s="294"/>
      <c r="K92" s="295"/>
      <c r="L92" s="166"/>
      <c r="M92" s="23"/>
    </row>
    <row r="93" spans="1:13" ht="15.75" x14ac:dyDescent="0.2">
      <c r="A93" s="296" t="s">
        <v>381</v>
      </c>
      <c r="B93" s="294"/>
      <c r="C93" s="295"/>
      <c r="D93" s="166"/>
      <c r="E93" s="417"/>
      <c r="F93" s="294"/>
      <c r="G93" s="295"/>
      <c r="H93" s="166"/>
      <c r="I93" s="417"/>
      <c r="J93" s="294"/>
      <c r="K93" s="295"/>
      <c r="L93" s="166"/>
      <c r="M93" s="23"/>
    </row>
    <row r="94" spans="1:13" x14ac:dyDescent="0.2">
      <c r="A94" s="296" t="s">
        <v>12</v>
      </c>
      <c r="B94" s="294"/>
      <c r="C94" s="295"/>
      <c r="D94" s="166"/>
      <c r="E94" s="417"/>
      <c r="F94" s="294"/>
      <c r="G94" s="295"/>
      <c r="H94" s="166"/>
      <c r="I94" s="417"/>
      <c r="J94" s="294"/>
      <c r="K94" s="295"/>
      <c r="L94" s="166"/>
      <c r="M94" s="23"/>
    </row>
    <row r="95" spans="1:13" x14ac:dyDescent="0.2">
      <c r="A95" s="296" t="s">
        <v>13</v>
      </c>
      <c r="B95" s="294"/>
      <c r="C95" s="295"/>
      <c r="D95" s="166"/>
      <c r="E95" s="417"/>
      <c r="F95" s="294"/>
      <c r="G95" s="295"/>
      <c r="H95" s="166"/>
      <c r="I95" s="417"/>
      <c r="J95" s="294"/>
      <c r="K95" s="295"/>
      <c r="L95" s="166"/>
      <c r="M95" s="23"/>
    </row>
    <row r="96" spans="1:13" x14ac:dyDescent="0.2">
      <c r="A96" s="21" t="s">
        <v>348</v>
      </c>
      <c r="B96" s="234"/>
      <c r="C96" s="145"/>
      <c r="D96" s="166"/>
      <c r="E96" s="27"/>
      <c r="F96" s="234"/>
      <c r="G96" s="145"/>
      <c r="H96" s="166"/>
      <c r="I96" s="27"/>
      <c r="J96" s="287"/>
      <c r="K96" s="44"/>
      <c r="L96" s="254"/>
      <c r="M96" s="27"/>
    </row>
    <row r="97" spans="1:13" x14ac:dyDescent="0.2">
      <c r="A97" s="21" t="s">
        <v>347</v>
      </c>
      <c r="B97" s="234"/>
      <c r="C97" s="145"/>
      <c r="D97" s="166"/>
      <c r="E97" s="27"/>
      <c r="F97" s="234"/>
      <c r="G97" s="145"/>
      <c r="H97" s="166"/>
      <c r="I97" s="27"/>
      <c r="J97" s="287"/>
      <c r="K97" s="44"/>
      <c r="L97" s="254"/>
      <c r="M97" s="27"/>
    </row>
    <row r="98" spans="1:13" ht="15.75" x14ac:dyDescent="0.2">
      <c r="A98" s="21" t="s">
        <v>382</v>
      </c>
      <c r="B98" s="234"/>
      <c r="C98" s="234"/>
      <c r="D98" s="166"/>
      <c r="E98" s="27"/>
      <c r="F98" s="292"/>
      <c r="G98" s="292"/>
      <c r="H98" s="166"/>
      <c r="I98" s="27"/>
      <c r="J98" s="287"/>
      <c r="K98" s="44"/>
      <c r="L98" s="254"/>
      <c r="M98" s="27"/>
    </row>
    <row r="99" spans="1:13" x14ac:dyDescent="0.2">
      <c r="A99" s="21" t="s">
        <v>9</v>
      </c>
      <c r="B99" s="292"/>
      <c r="C99" s="293"/>
      <c r="D99" s="166"/>
      <c r="E99" s="27"/>
      <c r="F99" s="234"/>
      <c r="G99" s="145"/>
      <c r="H99" s="166"/>
      <c r="I99" s="27"/>
      <c r="J99" s="287"/>
      <c r="K99" s="44"/>
      <c r="L99" s="254"/>
      <c r="M99" s="27"/>
    </row>
    <row r="100" spans="1:13" x14ac:dyDescent="0.2">
      <c r="A100" s="21" t="s">
        <v>10</v>
      </c>
      <c r="B100" s="292"/>
      <c r="C100" s="293"/>
      <c r="D100" s="166"/>
      <c r="E100" s="27"/>
      <c r="F100" s="234"/>
      <c r="G100" s="234"/>
      <c r="H100" s="166"/>
      <c r="I100" s="27"/>
      <c r="J100" s="287"/>
      <c r="K100" s="44"/>
      <c r="L100" s="254"/>
      <c r="M100" s="27"/>
    </row>
    <row r="101" spans="1:13" ht="15.75" x14ac:dyDescent="0.2">
      <c r="A101" s="296" t="s">
        <v>380</v>
      </c>
      <c r="B101" s="294"/>
      <c r="C101" s="295"/>
      <c r="D101" s="166"/>
      <c r="E101" s="417"/>
      <c r="F101" s="294"/>
      <c r="G101" s="295"/>
      <c r="H101" s="166"/>
      <c r="I101" s="417"/>
      <c r="J101" s="294"/>
      <c r="K101" s="295"/>
      <c r="L101" s="166"/>
      <c r="M101" s="23"/>
    </row>
    <row r="102" spans="1:13" x14ac:dyDescent="0.2">
      <c r="A102" s="296" t="s">
        <v>12</v>
      </c>
      <c r="B102" s="294"/>
      <c r="C102" s="295"/>
      <c r="D102" s="166"/>
      <c r="E102" s="417"/>
      <c r="F102" s="294"/>
      <c r="G102" s="295"/>
      <c r="H102" s="166"/>
      <c r="I102" s="417"/>
      <c r="J102" s="294"/>
      <c r="K102" s="295"/>
      <c r="L102" s="166"/>
      <c r="M102" s="23"/>
    </row>
    <row r="103" spans="1:13" x14ac:dyDescent="0.2">
      <c r="A103" s="296" t="s">
        <v>13</v>
      </c>
      <c r="B103" s="294"/>
      <c r="C103" s="295"/>
      <c r="D103" s="166"/>
      <c r="E103" s="417"/>
      <c r="F103" s="294"/>
      <c r="G103" s="295"/>
      <c r="H103" s="166"/>
      <c r="I103" s="417"/>
      <c r="J103" s="294"/>
      <c r="K103" s="295"/>
      <c r="L103" s="166"/>
      <c r="M103" s="23"/>
    </row>
    <row r="104" spans="1:13" ht="15.75" x14ac:dyDescent="0.2">
      <c r="A104" s="296" t="s">
        <v>381</v>
      </c>
      <c r="B104" s="294"/>
      <c r="C104" s="295"/>
      <c r="D104" s="166"/>
      <c r="E104" s="417"/>
      <c r="F104" s="294"/>
      <c r="G104" s="295"/>
      <c r="H104" s="166"/>
      <c r="I104" s="417"/>
      <c r="J104" s="294"/>
      <c r="K104" s="295"/>
      <c r="L104" s="166"/>
      <c r="M104" s="23"/>
    </row>
    <row r="105" spans="1:13" x14ac:dyDescent="0.2">
      <c r="A105" s="296" t="s">
        <v>12</v>
      </c>
      <c r="B105" s="294"/>
      <c r="C105" s="295"/>
      <c r="D105" s="166"/>
      <c r="E105" s="417"/>
      <c r="F105" s="294"/>
      <c r="G105" s="295"/>
      <c r="H105" s="166"/>
      <c r="I105" s="417"/>
      <c r="J105" s="294"/>
      <c r="K105" s="295"/>
      <c r="L105" s="166"/>
      <c r="M105" s="23"/>
    </row>
    <row r="106" spans="1:13" x14ac:dyDescent="0.2">
      <c r="A106" s="296" t="s">
        <v>13</v>
      </c>
      <c r="B106" s="294"/>
      <c r="C106" s="295"/>
      <c r="D106" s="166"/>
      <c r="E106" s="417"/>
      <c r="F106" s="294"/>
      <c r="G106" s="295"/>
      <c r="H106" s="166"/>
      <c r="I106" s="417"/>
      <c r="J106" s="294"/>
      <c r="K106" s="295"/>
      <c r="L106" s="166"/>
      <c r="M106" s="23"/>
    </row>
    <row r="107" spans="1:13" ht="15.75" x14ac:dyDescent="0.2">
      <c r="A107" s="21" t="s">
        <v>383</v>
      </c>
      <c r="B107" s="234"/>
      <c r="C107" s="145"/>
      <c r="D107" s="166"/>
      <c r="E107" s="27"/>
      <c r="F107" s="234"/>
      <c r="G107" s="145"/>
      <c r="H107" s="166"/>
      <c r="I107" s="27"/>
      <c r="J107" s="287"/>
      <c r="K107" s="44"/>
      <c r="L107" s="254"/>
      <c r="M107" s="27"/>
    </row>
    <row r="108" spans="1:13" ht="15.75" x14ac:dyDescent="0.2">
      <c r="A108" s="21" t="s">
        <v>384</v>
      </c>
      <c r="B108" s="234"/>
      <c r="C108" s="234"/>
      <c r="D108" s="166"/>
      <c r="E108" s="27"/>
      <c r="F108" s="234"/>
      <c r="G108" s="234"/>
      <c r="H108" s="166"/>
      <c r="I108" s="27"/>
      <c r="J108" s="287"/>
      <c r="K108" s="44"/>
      <c r="L108" s="254"/>
      <c r="M108" s="27"/>
    </row>
    <row r="109" spans="1:13" ht="15.75" x14ac:dyDescent="0.2">
      <c r="A109" s="21" t="s">
        <v>385</v>
      </c>
      <c r="B109" s="234"/>
      <c r="C109" s="234"/>
      <c r="D109" s="166"/>
      <c r="E109" s="27"/>
      <c r="F109" s="234"/>
      <c r="G109" s="234"/>
      <c r="H109" s="166"/>
      <c r="I109" s="27"/>
      <c r="J109" s="287"/>
      <c r="K109" s="44"/>
      <c r="L109" s="254"/>
      <c r="M109" s="27"/>
    </row>
    <row r="110" spans="1:13" ht="15.75" x14ac:dyDescent="0.2">
      <c r="A110" s="21" t="s">
        <v>386</v>
      </c>
      <c r="B110" s="234"/>
      <c r="C110" s="234"/>
      <c r="D110" s="166"/>
      <c r="E110" s="27"/>
      <c r="F110" s="234"/>
      <c r="G110" s="234"/>
      <c r="H110" s="166"/>
      <c r="I110" s="27"/>
      <c r="J110" s="287"/>
      <c r="K110" s="44"/>
      <c r="L110" s="254"/>
      <c r="M110" s="27"/>
    </row>
    <row r="111" spans="1:13" ht="15.75" x14ac:dyDescent="0.2">
      <c r="A111" s="13" t="s">
        <v>366</v>
      </c>
      <c r="B111" s="308"/>
      <c r="C111" s="159"/>
      <c r="D111" s="171"/>
      <c r="E111" s="11"/>
      <c r="F111" s="308"/>
      <c r="G111" s="159"/>
      <c r="H111" s="171"/>
      <c r="I111" s="11"/>
      <c r="J111" s="309"/>
      <c r="K111" s="236"/>
      <c r="L111" s="428"/>
      <c r="M111" s="11"/>
    </row>
    <row r="112" spans="1:13" x14ac:dyDescent="0.2">
      <c r="A112" s="21" t="s">
        <v>9</v>
      </c>
      <c r="B112" s="234"/>
      <c r="C112" s="145"/>
      <c r="D112" s="166"/>
      <c r="E112" s="27"/>
      <c r="F112" s="234"/>
      <c r="G112" s="145"/>
      <c r="H112" s="166"/>
      <c r="I112" s="27"/>
      <c r="J112" s="287"/>
      <c r="K112" s="44"/>
      <c r="L112" s="254"/>
      <c r="M112" s="27"/>
    </row>
    <row r="113" spans="1:14" x14ac:dyDescent="0.2">
      <c r="A113" s="21" t="s">
        <v>10</v>
      </c>
      <c r="B113" s="234"/>
      <c r="C113" s="145"/>
      <c r="D113" s="166"/>
      <c r="E113" s="27"/>
      <c r="F113" s="234"/>
      <c r="G113" s="145"/>
      <c r="H113" s="166"/>
      <c r="I113" s="27"/>
      <c r="J113" s="287"/>
      <c r="K113" s="44"/>
      <c r="L113" s="254"/>
      <c r="M113" s="27"/>
    </row>
    <row r="114" spans="1:14" x14ac:dyDescent="0.2">
      <c r="A114" s="21" t="s">
        <v>26</v>
      </c>
      <c r="B114" s="234"/>
      <c r="C114" s="145"/>
      <c r="D114" s="166"/>
      <c r="E114" s="27"/>
      <c r="F114" s="234"/>
      <c r="G114" s="145"/>
      <c r="H114" s="166"/>
      <c r="I114" s="27"/>
      <c r="J114" s="287"/>
      <c r="K114" s="44"/>
      <c r="L114" s="254"/>
      <c r="M114" s="27"/>
    </row>
    <row r="115" spans="1:14" x14ac:dyDescent="0.2">
      <c r="A115" s="296" t="s">
        <v>15</v>
      </c>
      <c r="B115" s="294"/>
      <c r="C115" s="295"/>
      <c r="D115" s="166"/>
      <c r="E115" s="417"/>
      <c r="F115" s="294"/>
      <c r="G115" s="295"/>
      <c r="H115" s="166"/>
      <c r="I115" s="417"/>
      <c r="J115" s="294"/>
      <c r="K115" s="295"/>
      <c r="L115" s="166"/>
      <c r="M115" s="23"/>
    </row>
    <row r="116" spans="1:14" ht="15.75" x14ac:dyDescent="0.2">
      <c r="A116" s="21" t="s">
        <v>387</v>
      </c>
      <c r="B116" s="234"/>
      <c r="C116" s="234"/>
      <c r="D116" s="166"/>
      <c r="E116" s="27"/>
      <c r="F116" s="234"/>
      <c r="G116" s="234"/>
      <c r="H116" s="166"/>
      <c r="I116" s="27"/>
      <c r="J116" s="287"/>
      <c r="K116" s="44"/>
      <c r="L116" s="254"/>
      <c r="M116" s="27"/>
    </row>
    <row r="117" spans="1:14" ht="15.75" x14ac:dyDescent="0.2">
      <c r="A117" s="21" t="s">
        <v>388</v>
      </c>
      <c r="B117" s="234"/>
      <c r="C117" s="234"/>
      <c r="D117" s="166"/>
      <c r="E117" s="27"/>
      <c r="F117" s="234"/>
      <c r="G117" s="234"/>
      <c r="H117" s="166"/>
      <c r="I117" s="27"/>
      <c r="J117" s="287"/>
      <c r="K117" s="44"/>
      <c r="L117" s="254"/>
      <c r="M117" s="27"/>
    </row>
    <row r="118" spans="1:14" ht="15.75" x14ac:dyDescent="0.2">
      <c r="A118" s="21" t="s">
        <v>386</v>
      </c>
      <c r="B118" s="234"/>
      <c r="C118" s="234"/>
      <c r="D118" s="166"/>
      <c r="E118" s="27"/>
      <c r="F118" s="234"/>
      <c r="G118" s="234"/>
      <c r="H118" s="166"/>
      <c r="I118" s="27"/>
      <c r="J118" s="287"/>
      <c r="K118" s="44"/>
      <c r="L118" s="254"/>
      <c r="M118" s="27"/>
    </row>
    <row r="119" spans="1:14" ht="15.75" x14ac:dyDescent="0.2">
      <c r="A119" s="13" t="s">
        <v>367</v>
      </c>
      <c r="B119" s="308"/>
      <c r="C119" s="159"/>
      <c r="D119" s="171"/>
      <c r="E119" s="11"/>
      <c r="F119" s="308"/>
      <c r="G119" s="159"/>
      <c r="H119" s="171"/>
      <c r="I119" s="11"/>
      <c r="J119" s="309"/>
      <c r="K119" s="236"/>
      <c r="L119" s="428"/>
      <c r="M119" s="11"/>
    </row>
    <row r="120" spans="1:14" x14ac:dyDescent="0.2">
      <c r="A120" s="21" t="s">
        <v>9</v>
      </c>
      <c r="B120" s="234"/>
      <c r="C120" s="145"/>
      <c r="D120" s="166"/>
      <c r="E120" s="27"/>
      <c r="F120" s="234"/>
      <c r="G120" s="145"/>
      <c r="H120" s="166"/>
      <c r="I120" s="27"/>
      <c r="J120" s="287"/>
      <c r="K120" s="44"/>
      <c r="L120" s="254"/>
      <c r="M120" s="27"/>
    </row>
    <row r="121" spans="1:14" x14ac:dyDescent="0.2">
      <c r="A121" s="21" t="s">
        <v>10</v>
      </c>
      <c r="B121" s="234"/>
      <c r="C121" s="145"/>
      <c r="D121" s="166"/>
      <c r="E121" s="27"/>
      <c r="F121" s="234"/>
      <c r="G121" s="145"/>
      <c r="H121" s="166"/>
      <c r="I121" s="27"/>
      <c r="J121" s="287"/>
      <c r="K121" s="44"/>
      <c r="L121" s="254"/>
      <c r="M121" s="27"/>
    </row>
    <row r="122" spans="1:14" x14ac:dyDescent="0.2">
      <c r="A122" s="21" t="s">
        <v>26</v>
      </c>
      <c r="B122" s="234"/>
      <c r="C122" s="145"/>
      <c r="D122" s="166"/>
      <c r="E122" s="27"/>
      <c r="F122" s="234"/>
      <c r="G122" s="145"/>
      <c r="H122" s="166"/>
      <c r="I122" s="27"/>
      <c r="J122" s="287"/>
      <c r="K122" s="44"/>
      <c r="L122" s="254"/>
      <c r="M122" s="27"/>
    </row>
    <row r="123" spans="1:14" x14ac:dyDescent="0.2">
      <c r="A123" s="296" t="s">
        <v>14</v>
      </c>
      <c r="B123" s="294"/>
      <c r="C123" s="295"/>
      <c r="D123" s="166"/>
      <c r="E123" s="417"/>
      <c r="F123" s="294"/>
      <c r="G123" s="295"/>
      <c r="H123" s="166"/>
      <c r="I123" s="417"/>
      <c r="J123" s="294"/>
      <c r="K123" s="295"/>
      <c r="L123" s="166"/>
      <c r="M123" s="23"/>
    </row>
    <row r="124" spans="1:14" ht="15.75" x14ac:dyDescent="0.2">
      <c r="A124" s="21" t="s">
        <v>393</v>
      </c>
      <c r="B124" s="234"/>
      <c r="C124" s="234"/>
      <c r="D124" s="166"/>
      <c r="E124" s="27"/>
      <c r="F124" s="234"/>
      <c r="G124" s="234"/>
      <c r="H124" s="166"/>
      <c r="I124" s="27"/>
      <c r="J124" s="287"/>
      <c r="K124" s="44"/>
      <c r="L124" s="254"/>
      <c r="M124" s="27"/>
    </row>
    <row r="125" spans="1:14" ht="15.75" x14ac:dyDescent="0.2">
      <c r="A125" s="21" t="s">
        <v>385</v>
      </c>
      <c r="B125" s="234"/>
      <c r="C125" s="234"/>
      <c r="D125" s="166"/>
      <c r="E125" s="27"/>
      <c r="F125" s="234"/>
      <c r="G125" s="234"/>
      <c r="H125" s="166"/>
      <c r="I125" s="27"/>
      <c r="J125" s="287"/>
      <c r="K125" s="44"/>
      <c r="L125" s="254"/>
      <c r="M125" s="27"/>
    </row>
    <row r="126" spans="1:14" ht="15.75" x14ac:dyDescent="0.2">
      <c r="A126" s="10" t="s">
        <v>386</v>
      </c>
      <c r="B126" s="45"/>
      <c r="C126" s="45"/>
      <c r="D126" s="167"/>
      <c r="E126" s="418"/>
      <c r="F126" s="45"/>
      <c r="G126" s="45"/>
      <c r="H126" s="167"/>
      <c r="I126" s="22"/>
      <c r="J126" s="288"/>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35"/>
      <c r="C130" s="735"/>
      <c r="D130" s="735"/>
      <c r="E130" s="580"/>
      <c r="F130" s="735"/>
      <c r="G130" s="735"/>
      <c r="H130" s="735"/>
      <c r="I130" s="580"/>
      <c r="J130" s="735"/>
      <c r="K130" s="735"/>
      <c r="L130" s="735"/>
      <c r="M130" s="580"/>
    </row>
    <row r="131" spans="1:14" s="3" customFormat="1" x14ac:dyDescent="0.2">
      <c r="A131" s="144"/>
      <c r="B131" s="733" t="s">
        <v>0</v>
      </c>
      <c r="C131" s="734"/>
      <c r="D131" s="734"/>
      <c r="E131" s="578"/>
      <c r="F131" s="733" t="s">
        <v>1</v>
      </c>
      <c r="G131" s="734"/>
      <c r="H131" s="734"/>
      <c r="I131" s="579"/>
      <c r="J131" s="733" t="s">
        <v>2</v>
      </c>
      <c r="K131" s="734"/>
      <c r="L131" s="734"/>
      <c r="M131" s="579"/>
      <c r="N131" s="148"/>
    </row>
    <row r="132" spans="1:14" s="3" customFormat="1" x14ac:dyDescent="0.2">
      <c r="A132" s="140"/>
      <c r="B132" s="152" t="s">
        <v>421</v>
      </c>
      <c r="C132" s="152" t="s">
        <v>422</v>
      </c>
      <c r="D132" s="245" t="s">
        <v>3</v>
      </c>
      <c r="E132" s="305" t="s">
        <v>29</v>
      </c>
      <c r="F132" s="152" t="s">
        <v>421</v>
      </c>
      <c r="G132" s="152" t="s">
        <v>422</v>
      </c>
      <c r="H132" s="206" t="s">
        <v>3</v>
      </c>
      <c r="I132" s="162" t="s">
        <v>29</v>
      </c>
      <c r="J132" s="152" t="s">
        <v>421</v>
      </c>
      <c r="K132" s="152" t="s">
        <v>422</v>
      </c>
      <c r="L132" s="246" t="s">
        <v>3</v>
      </c>
      <c r="M132" s="162" t="s">
        <v>29</v>
      </c>
      <c r="N132" s="148"/>
    </row>
    <row r="133" spans="1:14" s="3" customFormat="1" x14ac:dyDescent="0.2">
      <c r="A133" s="708"/>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389</v>
      </c>
      <c r="B134" s="236"/>
      <c r="C134" s="309"/>
      <c r="D134" s="350"/>
      <c r="E134" s="11"/>
      <c r="F134" s="316"/>
      <c r="G134" s="317"/>
      <c r="H134" s="431"/>
      <c r="I134" s="24"/>
      <c r="J134" s="318"/>
      <c r="K134" s="318"/>
      <c r="L134" s="427"/>
      <c r="M134" s="11"/>
      <c r="N134" s="148"/>
    </row>
    <row r="135" spans="1:14" s="3" customFormat="1" ht="15.75" x14ac:dyDescent="0.2">
      <c r="A135" s="13" t="s">
        <v>394</v>
      </c>
      <c r="B135" s="236"/>
      <c r="C135" s="309"/>
      <c r="D135" s="171"/>
      <c r="E135" s="11"/>
      <c r="F135" s="236"/>
      <c r="G135" s="309"/>
      <c r="H135" s="432"/>
      <c r="I135" s="24"/>
      <c r="J135" s="308"/>
      <c r="K135" s="308"/>
      <c r="L135" s="428"/>
      <c r="M135" s="11"/>
      <c r="N135" s="148"/>
    </row>
    <row r="136" spans="1:14" s="3" customFormat="1" ht="15.75" x14ac:dyDescent="0.2">
      <c r="A136" s="13" t="s">
        <v>391</v>
      </c>
      <c r="B136" s="236"/>
      <c r="C136" s="309"/>
      <c r="D136" s="171"/>
      <c r="E136" s="11"/>
      <c r="F136" s="236"/>
      <c r="G136" s="309"/>
      <c r="H136" s="432"/>
      <c r="I136" s="24"/>
      <c r="J136" s="308"/>
      <c r="K136" s="308"/>
      <c r="L136" s="428"/>
      <c r="M136" s="11"/>
      <c r="N136" s="148"/>
    </row>
    <row r="137" spans="1:14" s="3" customFormat="1" ht="15.75" x14ac:dyDescent="0.2">
      <c r="A137" s="41" t="s">
        <v>392</v>
      </c>
      <c r="B137" s="276"/>
      <c r="C137" s="315"/>
      <c r="D137" s="169"/>
      <c r="E137" s="9"/>
      <c r="F137" s="276"/>
      <c r="G137" s="315"/>
      <c r="H137" s="433"/>
      <c r="I137" s="36"/>
      <c r="J137" s="314"/>
      <c r="K137" s="314"/>
      <c r="L137" s="429"/>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2:D2"/>
    <mergeCell ref="F2:H2"/>
    <mergeCell ref="J2:L2"/>
    <mergeCell ref="B4:D4"/>
    <mergeCell ref="F4:H4"/>
    <mergeCell ref="J4:L4"/>
    <mergeCell ref="B18:D18"/>
    <mergeCell ref="F18:H18"/>
    <mergeCell ref="J18:L18"/>
    <mergeCell ref="B19:D19"/>
    <mergeCell ref="F19:H19"/>
    <mergeCell ref="J19:L19"/>
    <mergeCell ref="D40:F40"/>
    <mergeCell ref="G40:I40"/>
    <mergeCell ref="J40:L40"/>
    <mergeCell ref="B42:D42"/>
    <mergeCell ref="F42:H42"/>
    <mergeCell ref="J42:L42"/>
    <mergeCell ref="B44:D44"/>
    <mergeCell ref="B62:D62"/>
    <mergeCell ref="F62:H62"/>
    <mergeCell ref="J62:L62"/>
    <mergeCell ref="B63:D63"/>
    <mergeCell ref="F63:H63"/>
    <mergeCell ref="J63:L63"/>
    <mergeCell ref="B130:D130"/>
    <mergeCell ref="F130:H130"/>
    <mergeCell ref="J130:L130"/>
    <mergeCell ref="B131:D131"/>
    <mergeCell ref="F131:H131"/>
    <mergeCell ref="J131:L131"/>
  </mergeCells>
  <conditionalFormatting sqref="B50:C52">
    <cfRule type="expression" dxfId="276" priority="82">
      <formula>kvartal &lt; 4</formula>
    </cfRule>
  </conditionalFormatting>
  <conditionalFormatting sqref="A50:A52">
    <cfRule type="expression" dxfId="275" priority="8">
      <formula>kvartal &lt; 4</formula>
    </cfRule>
  </conditionalFormatting>
  <conditionalFormatting sqref="A69:A74">
    <cfRule type="expression" dxfId="274" priority="7">
      <formula>kvartal &lt; 4</formula>
    </cfRule>
  </conditionalFormatting>
  <conditionalFormatting sqref="A80:A85">
    <cfRule type="expression" dxfId="273" priority="6">
      <formula>kvartal &lt; 4</formula>
    </cfRule>
  </conditionalFormatting>
  <conditionalFormatting sqref="A90:A95">
    <cfRule type="expression" dxfId="272" priority="5">
      <formula>kvartal &lt; 4</formula>
    </cfRule>
  </conditionalFormatting>
  <conditionalFormatting sqref="A101:A106">
    <cfRule type="expression" dxfId="271" priority="4">
      <formula>kvartal &lt; 4</formula>
    </cfRule>
  </conditionalFormatting>
  <conditionalFormatting sqref="A115">
    <cfRule type="expression" dxfId="270" priority="3">
      <formula>kvartal &lt; 4</formula>
    </cfRule>
  </conditionalFormatting>
  <conditionalFormatting sqref="A123">
    <cfRule type="expression" dxfId="269" priority="2">
      <formula>kvartal &lt; 4</formula>
    </cfRule>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27"/>
  <dimension ref="A1:N144"/>
  <sheetViews>
    <sheetView showGridLines="0" zoomScaleNormal="100" workbookViewId="0">
      <selection activeCell="A3" sqref="A3"/>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135</v>
      </c>
      <c r="B1" s="709"/>
      <c r="C1" s="248" t="s">
        <v>71</v>
      </c>
      <c r="D1" s="26"/>
      <c r="E1" s="26"/>
      <c r="F1" s="26"/>
      <c r="G1" s="26"/>
      <c r="H1" s="26"/>
      <c r="I1" s="26"/>
      <c r="J1" s="26"/>
      <c r="K1" s="26"/>
      <c r="L1" s="26"/>
      <c r="M1" s="26"/>
    </row>
    <row r="2" spans="1:14" ht="15.75" x14ac:dyDescent="0.25">
      <c r="A2" s="165" t="s">
        <v>28</v>
      </c>
      <c r="B2" s="732"/>
      <c r="C2" s="732"/>
      <c r="D2" s="732"/>
      <c r="E2" s="299"/>
      <c r="F2" s="732"/>
      <c r="G2" s="732"/>
      <c r="H2" s="732"/>
      <c r="I2" s="299"/>
      <c r="J2" s="732"/>
      <c r="K2" s="732"/>
      <c r="L2" s="732"/>
      <c r="M2" s="299"/>
    </row>
    <row r="3" spans="1:14" ht="15.75" x14ac:dyDescent="0.25">
      <c r="A3" s="163"/>
      <c r="B3" s="299"/>
      <c r="C3" s="299"/>
      <c r="D3" s="299"/>
      <c r="E3" s="299"/>
      <c r="F3" s="299"/>
      <c r="G3" s="299"/>
      <c r="H3" s="299"/>
      <c r="I3" s="299"/>
      <c r="J3" s="299"/>
      <c r="K3" s="299"/>
      <c r="L3" s="299"/>
      <c r="M3" s="299"/>
    </row>
    <row r="4" spans="1:14" x14ac:dyDescent="0.2">
      <c r="A4" s="144"/>
      <c r="B4" s="733" t="s">
        <v>0</v>
      </c>
      <c r="C4" s="734"/>
      <c r="D4" s="734"/>
      <c r="E4" s="301"/>
      <c r="F4" s="733" t="s">
        <v>1</v>
      </c>
      <c r="G4" s="734"/>
      <c r="H4" s="734"/>
      <c r="I4" s="304"/>
      <c r="J4" s="733" t="s">
        <v>2</v>
      </c>
      <c r="K4" s="734"/>
      <c r="L4" s="734"/>
      <c r="M4" s="304"/>
    </row>
    <row r="5" spans="1:14" x14ac:dyDescent="0.2">
      <c r="A5" s="158"/>
      <c r="B5" s="152" t="s">
        <v>421</v>
      </c>
      <c r="C5" s="152" t="s">
        <v>422</v>
      </c>
      <c r="D5" s="245" t="s">
        <v>3</v>
      </c>
      <c r="E5" s="305" t="s">
        <v>29</v>
      </c>
      <c r="F5" s="152" t="s">
        <v>421</v>
      </c>
      <c r="G5" s="152" t="s">
        <v>422</v>
      </c>
      <c r="H5" s="245" t="s">
        <v>3</v>
      </c>
      <c r="I5" s="162" t="s">
        <v>29</v>
      </c>
      <c r="J5" s="152" t="s">
        <v>421</v>
      </c>
      <c r="K5" s="152" t="s">
        <v>422</v>
      </c>
      <c r="L5" s="245" t="s">
        <v>3</v>
      </c>
      <c r="M5" s="162" t="s">
        <v>29</v>
      </c>
    </row>
    <row r="6" spans="1:14" x14ac:dyDescent="0.2">
      <c r="A6" s="707"/>
      <c r="B6" s="156"/>
      <c r="C6" s="156"/>
      <c r="D6" s="246" t="s">
        <v>4</v>
      </c>
      <c r="E6" s="156" t="s">
        <v>30</v>
      </c>
      <c r="F6" s="161"/>
      <c r="G6" s="161"/>
      <c r="H6" s="245" t="s">
        <v>4</v>
      </c>
      <c r="I6" s="156" t="s">
        <v>30</v>
      </c>
      <c r="J6" s="161"/>
      <c r="K6" s="161"/>
      <c r="L6" s="245" t="s">
        <v>4</v>
      </c>
      <c r="M6" s="156" t="s">
        <v>30</v>
      </c>
    </row>
    <row r="7" spans="1:14" ht="15.75" x14ac:dyDescent="0.2">
      <c r="A7" s="14" t="s">
        <v>23</v>
      </c>
      <c r="B7" s="306"/>
      <c r="C7" s="307"/>
      <c r="D7" s="350"/>
      <c r="E7" s="11"/>
      <c r="F7" s="306">
        <v>68645.916549999994</v>
      </c>
      <c r="G7" s="307">
        <v>62930.651330000001</v>
      </c>
      <c r="H7" s="350">
        <f>IF(F7=0, "    ---- ", IF(ABS(ROUND(100/F7*G7-100,1))&lt;999,ROUND(100/F7*G7-100,1),IF(ROUND(100/F7*G7-100,1)&gt;999,999,-999)))</f>
        <v>-8.3000000000000007</v>
      </c>
      <c r="I7" s="160">
        <f>IFERROR(100/'Skjema total MA'!F7*G7,0)</f>
        <v>0.91152158480523948</v>
      </c>
      <c r="J7" s="308">
        <f t="shared" ref="J7:K12" si="0">SUM(B7,F7)</f>
        <v>68645.916549999994</v>
      </c>
      <c r="K7" s="309">
        <f t="shared" si="0"/>
        <v>62930.651330000001</v>
      </c>
      <c r="L7" s="427">
        <f>IF(J7=0, "    ---- ", IF(ABS(ROUND(100/J7*K7-100,1))&lt;999,ROUND(100/J7*K7-100,1),IF(ROUND(100/J7*K7-100,1)&gt;999,999,-999)))</f>
        <v>-8.3000000000000007</v>
      </c>
      <c r="M7" s="11">
        <f>IFERROR(100/'Skjema total MA'!I7*K7,0)</f>
        <v>0.59402306186825504</v>
      </c>
    </row>
    <row r="8" spans="1:14" ht="15.75" x14ac:dyDescent="0.2">
      <c r="A8" s="21" t="s">
        <v>25</v>
      </c>
      <c r="B8" s="281"/>
      <c r="C8" s="282"/>
      <c r="D8" s="166"/>
      <c r="E8" s="27"/>
      <c r="F8" s="285"/>
      <c r="G8" s="286"/>
      <c r="H8" s="166"/>
      <c r="I8" s="175"/>
      <c r="J8" s="234"/>
      <c r="K8" s="287"/>
      <c r="L8" s="166"/>
      <c r="M8" s="27"/>
    </row>
    <row r="9" spans="1:14" ht="15.75" x14ac:dyDescent="0.2">
      <c r="A9" s="21" t="s">
        <v>24</v>
      </c>
      <c r="B9" s="281"/>
      <c r="C9" s="282"/>
      <c r="D9" s="166"/>
      <c r="E9" s="27"/>
      <c r="F9" s="285"/>
      <c r="G9" s="286"/>
      <c r="H9" s="166"/>
      <c r="I9" s="175"/>
      <c r="J9" s="234"/>
      <c r="K9" s="287"/>
      <c r="L9" s="166"/>
      <c r="M9" s="27"/>
    </row>
    <row r="10" spans="1:14" ht="15.75" x14ac:dyDescent="0.2">
      <c r="A10" s="13" t="s">
        <v>365</v>
      </c>
      <c r="B10" s="310"/>
      <c r="C10" s="311"/>
      <c r="D10" s="171"/>
      <c r="E10" s="11"/>
      <c r="F10" s="310">
        <v>887180.73270000005</v>
      </c>
      <c r="G10" s="311">
        <v>996344.74719000002</v>
      </c>
      <c r="H10" s="171">
        <f t="shared" ref="H10:H12" si="1">IF(F10=0, "    ---- ", IF(ABS(ROUND(100/F10*G10-100,1))&lt;999,ROUND(100/F10*G10-100,1),IF(ROUND(100/F10*G10-100,1)&gt;999,999,-999)))</f>
        <v>12.3</v>
      </c>
      <c r="I10" s="160">
        <f>IFERROR(100/'Skjema total MA'!F10*G10,0)</f>
        <v>1.7986206283554205</v>
      </c>
      <c r="J10" s="308">
        <f t="shared" si="0"/>
        <v>887180.73270000005</v>
      </c>
      <c r="K10" s="309">
        <f t="shared" si="0"/>
        <v>996344.74719000002</v>
      </c>
      <c r="L10" s="428">
        <f t="shared" ref="L10:L12" si="2">IF(J10=0, "    ---- ", IF(ABS(ROUND(100/J10*K10-100,1))&lt;999,ROUND(100/J10*K10-100,1),IF(ROUND(100/J10*K10-100,1)&gt;999,999,-999)))</f>
        <v>12.3</v>
      </c>
      <c r="M10" s="11">
        <f>IFERROR(100/'Skjema total MA'!I10*K10,0)</f>
        <v>1.3569549467570632</v>
      </c>
    </row>
    <row r="11" spans="1:14" s="43" customFormat="1" ht="15.75" x14ac:dyDescent="0.2">
      <c r="A11" s="13" t="s">
        <v>366</v>
      </c>
      <c r="B11" s="310"/>
      <c r="C11" s="311"/>
      <c r="D11" s="171"/>
      <c r="E11" s="11"/>
      <c r="F11" s="310">
        <v>13631.232</v>
      </c>
      <c r="G11" s="311">
        <v>8087.3649999999998</v>
      </c>
      <c r="H11" s="171">
        <f t="shared" si="1"/>
        <v>-40.700000000000003</v>
      </c>
      <c r="I11" s="160">
        <f>IFERROR(100/'Skjema total MA'!F11*G11,0)</f>
        <v>3.1215885055268084</v>
      </c>
      <c r="J11" s="308">
        <f t="shared" si="0"/>
        <v>13631.232</v>
      </c>
      <c r="K11" s="309">
        <f t="shared" si="0"/>
        <v>8087.3649999999998</v>
      </c>
      <c r="L11" s="428">
        <f t="shared" si="2"/>
        <v>-40.700000000000003</v>
      </c>
      <c r="M11" s="11">
        <f>IFERROR(100/'Skjema total MA'!I11*K11,0)</f>
        <v>2.7978587883164456</v>
      </c>
      <c r="N11" s="143"/>
    </row>
    <row r="12" spans="1:14" s="43" customFormat="1" ht="15.75" x14ac:dyDescent="0.2">
      <c r="A12" s="41" t="s">
        <v>367</v>
      </c>
      <c r="B12" s="312"/>
      <c r="C12" s="313"/>
      <c r="D12" s="169"/>
      <c r="E12" s="36"/>
      <c r="F12" s="312">
        <v>1874.90922</v>
      </c>
      <c r="G12" s="313">
        <v>270.10388</v>
      </c>
      <c r="H12" s="169">
        <f t="shared" si="1"/>
        <v>-85.6</v>
      </c>
      <c r="I12" s="169">
        <f>IFERROR(100/'Skjema total MA'!F12*G12,0)</f>
        <v>0.13734725289170671</v>
      </c>
      <c r="J12" s="314">
        <f t="shared" si="0"/>
        <v>1874.90922</v>
      </c>
      <c r="K12" s="315">
        <f t="shared" si="0"/>
        <v>270.10388</v>
      </c>
      <c r="L12" s="429">
        <f t="shared" si="2"/>
        <v>-85.6</v>
      </c>
      <c r="M12" s="36">
        <f>IFERROR(100/'Skjema total MA'!I12*K12,0)</f>
        <v>0.13569196501492273</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275</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272</v>
      </c>
      <c r="B17" s="157"/>
      <c r="C17" s="157"/>
      <c r="D17" s="151"/>
      <c r="E17" s="151"/>
      <c r="F17" s="157"/>
      <c r="G17" s="157"/>
      <c r="H17" s="157"/>
      <c r="I17" s="157"/>
      <c r="J17" s="157"/>
      <c r="K17" s="157"/>
      <c r="L17" s="157"/>
      <c r="M17" s="157"/>
    </row>
    <row r="18" spans="1:14" ht="15.75" x14ac:dyDescent="0.25">
      <c r="B18" s="735"/>
      <c r="C18" s="735"/>
      <c r="D18" s="735"/>
      <c r="E18" s="299"/>
      <c r="F18" s="735"/>
      <c r="G18" s="735"/>
      <c r="H18" s="735"/>
      <c r="I18" s="299"/>
      <c r="J18" s="735"/>
      <c r="K18" s="735"/>
      <c r="L18" s="735"/>
      <c r="M18" s="299"/>
    </row>
    <row r="19" spans="1:14" x14ac:dyDescent="0.2">
      <c r="A19" s="144"/>
      <c r="B19" s="733" t="s">
        <v>0</v>
      </c>
      <c r="C19" s="734"/>
      <c r="D19" s="734"/>
      <c r="E19" s="301"/>
      <c r="F19" s="733" t="s">
        <v>1</v>
      </c>
      <c r="G19" s="734"/>
      <c r="H19" s="734"/>
      <c r="I19" s="304"/>
      <c r="J19" s="733" t="s">
        <v>2</v>
      </c>
      <c r="K19" s="734"/>
      <c r="L19" s="734"/>
      <c r="M19" s="304"/>
    </row>
    <row r="20" spans="1:14" x14ac:dyDescent="0.2">
      <c r="A20" s="140" t="s">
        <v>5</v>
      </c>
      <c r="B20" s="152" t="s">
        <v>421</v>
      </c>
      <c r="C20" s="152" t="s">
        <v>422</v>
      </c>
      <c r="D20" s="162" t="s">
        <v>3</v>
      </c>
      <c r="E20" s="305" t="s">
        <v>29</v>
      </c>
      <c r="F20" s="152" t="s">
        <v>421</v>
      </c>
      <c r="G20" s="152" t="s">
        <v>422</v>
      </c>
      <c r="H20" s="162" t="s">
        <v>3</v>
      </c>
      <c r="I20" s="162" t="s">
        <v>29</v>
      </c>
      <c r="J20" s="152" t="s">
        <v>421</v>
      </c>
      <c r="K20" s="152" t="s">
        <v>422</v>
      </c>
      <c r="L20" s="162" t="s">
        <v>3</v>
      </c>
      <c r="M20" s="162" t="s">
        <v>29</v>
      </c>
    </row>
    <row r="21" spans="1:14" x14ac:dyDescent="0.2">
      <c r="A21" s="708"/>
      <c r="B21" s="156"/>
      <c r="C21" s="156"/>
      <c r="D21" s="246" t="s">
        <v>4</v>
      </c>
      <c r="E21" s="156" t="s">
        <v>30</v>
      </c>
      <c r="F21" s="161"/>
      <c r="G21" s="161"/>
      <c r="H21" s="245" t="s">
        <v>4</v>
      </c>
      <c r="I21" s="156" t="s">
        <v>30</v>
      </c>
      <c r="J21" s="161"/>
      <c r="K21" s="161"/>
      <c r="L21" s="156" t="s">
        <v>4</v>
      </c>
      <c r="M21" s="156" t="s">
        <v>30</v>
      </c>
    </row>
    <row r="22" spans="1:14" ht="15.75" x14ac:dyDescent="0.2">
      <c r="A22" s="14" t="s">
        <v>23</v>
      </c>
      <c r="B22" s="310"/>
      <c r="C22" s="310"/>
      <c r="D22" s="350"/>
      <c r="E22" s="11"/>
      <c r="F22" s="318">
        <v>29245.956999999999</v>
      </c>
      <c r="G22" s="318">
        <v>31933.415919999999</v>
      </c>
      <c r="H22" s="350">
        <f t="shared" ref="H22:H35" si="3">IF(F22=0, "    ---- ", IF(ABS(ROUND(100/F22*G22-100,1))&lt;999,ROUND(100/F22*G22-100,1),IF(ROUND(100/F22*G22-100,1)&gt;999,999,-999)))</f>
        <v>9.1999999999999993</v>
      </c>
      <c r="I22" s="11">
        <f>IFERROR(100/'Skjema total MA'!F22*G22,0)</f>
        <v>3.4571891557361738</v>
      </c>
      <c r="J22" s="316">
        <f t="shared" ref="J22:K35" si="4">SUM(B22,F22)</f>
        <v>29245.956999999999</v>
      </c>
      <c r="K22" s="316">
        <f t="shared" si="4"/>
        <v>31933.415919999999</v>
      </c>
      <c r="L22" s="427">
        <f t="shared" ref="L22:L35" si="5">IF(J22=0, "    ---- ", IF(ABS(ROUND(100/J22*K22-100,1))&lt;999,ROUND(100/J22*K22-100,1),IF(ROUND(100/J22*K22-100,1)&gt;999,999,-999)))</f>
        <v>9.1999999999999993</v>
      </c>
      <c r="M22" s="24">
        <f>IFERROR(100/'Skjema total MA'!I22*K22,0)</f>
        <v>1.4116087384969704</v>
      </c>
    </row>
    <row r="23" spans="1:14" ht="15.75" x14ac:dyDescent="0.2">
      <c r="A23" s="584" t="s">
        <v>368</v>
      </c>
      <c r="B23" s="281"/>
      <c r="C23" s="281"/>
      <c r="D23" s="166"/>
      <c r="E23" s="11"/>
      <c r="F23" s="290">
        <v>238.22920999999999</v>
      </c>
      <c r="G23" s="290">
        <v>242.42591999999999</v>
      </c>
      <c r="H23" s="166">
        <f t="shared" si="3"/>
        <v>1.8</v>
      </c>
      <c r="I23" s="417">
        <f>IFERROR(100/'Skjema total MA'!F23*G23,0)</f>
        <v>0.20312302299726345</v>
      </c>
      <c r="J23" s="290">
        <f t="shared" ref="J23:J26" si="6">SUM(B23,F23)</f>
        <v>238.22920999999999</v>
      </c>
      <c r="K23" s="290">
        <f t="shared" ref="K23:K26" si="7">SUM(C23,G23)</f>
        <v>242.42591999999999</v>
      </c>
      <c r="L23" s="166">
        <f t="shared" si="5"/>
        <v>1.8</v>
      </c>
      <c r="M23" s="23">
        <f>IFERROR(100/'Skjema total MA'!I23*K23,0)</f>
        <v>3.9051186724856628E-2</v>
      </c>
    </row>
    <row r="24" spans="1:14" ht="15.75" x14ac:dyDescent="0.2">
      <c r="A24" s="584" t="s">
        <v>369</v>
      </c>
      <c r="B24" s="281"/>
      <c r="C24" s="281"/>
      <c r="D24" s="166"/>
      <c r="E24" s="11"/>
      <c r="F24" s="290"/>
      <c r="G24" s="290"/>
      <c r="H24" s="166"/>
      <c r="I24" s="417"/>
      <c r="J24" s="290"/>
      <c r="K24" s="290"/>
      <c r="L24" s="166"/>
      <c r="M24" s="23"/>
    </row>
    <row r="25" spans="1:14" ht="15.75" x14ac:dyDescent="0.2">
      <c r="A25" s="584" t="s">
        <v>370</v>
      </c>
      <c r="B25" s="281"/>
      <c r="C25" s="281"/>
      <c r="D25" s="166"/>
      <c r="E25" s="11"/>
      <c r="F25" s="290"/>
      <c r="G25" s="290"/>
      <c r="H25" s="166"/>
      <c r="I25" s="417"/>
      <c r="J25" s="290"/>
      <c r="K25" s="290"/>
      <c r="L25" s="166"/>
      <c r="M25" s="23"/>
    </row>
    <row r="26" spans="1:14" ht="15.75" x14ac:dyDescent="0.2">
      <c r="A26" s="584" t="s">
        <v>371</v>
      </c>
      <c r="B26" s="281"/>
      <c r="C26" s="281"/>
      <c r="D26" s="166"/>
      <c r="E26" s="11"/>
      <c r="F26" s="290">
        <v>29007.727790000001</v>
      </c>
      <c r="G26" s="290">
        <v>31690.99</v>
      </c>
      <c r="H26" s="166">
        <f t="shared" si="3"/>
        <v>9.3000000000000007</v>
      </c>
      <c r="I26" s="417">
        <f>IFERROR(100/'Skjema total MA'!F26*G26,0)</f>
        <v>4.0359039105135341</v>
      </c>
      <c r="J26" s="290">
        <f t="shared" si="6"/>
        <v>29007.727790000001</v>
      </c>
      <c r="K26" s="290">
        <f t="shared" si="7"/>
        <v>31690.99</v>
      </c>
      <c r="L26" s="166">
        <f t="shared" si="5"/>
        <v>9.3000000000000007</v>
      </c>
      <c r="M26" s="23">
        <f>IFERROR(100/'Skjema total MA'!I26*K26,0)</f>
        <v>4.0359039105135341</v>
      </c>
    </row>
    <row r="27" spans="1:14" x14ac:dyDescent="0.2">
      <c r="A27" s="584" t="s">
        <v>11</v>
      </c>
      <c r="B27" s="281"/>
      <c r="C27" s="281"/>
      <c r="D27" s="166"/>
      <c r="E27" s="11"/>
      <c r="F27" s="290"/>
      <c r="G27" s="290"/>
      <c r="H27" s="166"/>
      <c r="I27" s="417"/>
      <c r="J27" s="290"/>
      <c r="K27" s="290"/>
      <c r="L27" s="166"/>
      <c r="M27" s="23"/>
    </row>
    <row r="28" spans="1:14" ht="15.75" x14ac:dyDescent="0.2">
      <c r="A28" s="49" t="s">
        <v>276</v>
      </c>
      <c r="B28" s="44"/>
      <c r="C28" s="287"/>
      <c r="D28" s="166"/>
      <c r="E28" s="11"/>
      <c r="F28" s="234"/>
      <c r="G28" s="287"/>
      <c r="H28" s="166"/>
      <c r="I28" s="27"/>
      <c r="J28" s="44"/>
      <c r="K28" s="44"/>
      <c r="L28" s="254"/>
      <c r="M28" s="23"/>
    </row>
    <row r="29" spans="1:14" s="3" customFormat="1" ht="15.75" x14ac:dyDescent="0.2">
      <c r="A29" s="13" t="s">
        <v>365</v>
      </c>
      <c r="B29" s="236"/>
      <c r="C29" s="236"/>
      <c r="D29" s="171"/>
      <c r="E29" s="11"/>
      <c r="F29" s="308">
        <v>888766.05273999996</v>
      </c>
      <c r="G29" s="308">
        <v>951435.19487000001</v>
      </c>
      <c r="H29" s="171">
        <f t="shared" si="3"/>
        <v>7.1</v>
      </c>
      <c r="I29" s="11">
        <f>IFERROR(100/'Skjema total MA'!F29*G29,0)</f>
        <v>4.1603698987027977</v>
      </c>
      <c r="J29" s="236">
        <f t="shared" si="4"/>
        <v>888766.05273999996</v>
      </c>
      <c r="K29" s="236">
        <f t="shared" si="4"/>
        <v>951435.19487000001</v>
      </c>
      <c r="L29" s="428">
        <f t="shared" si="5"/>
        <v>7.1</v>
      </c>
      <c r="M29" s="24">
        <f>IFERROR(100/'Skjema total MA'!I29*K29,0)</f>
        <v>1.3822218406212214</v>
      </c>
      <c r="N29" s="148"/>
    </row>
    <row r="30" spans="1:14" s="3" customFormat="1" ht="15.75" x14ac:dyDescent="0.2">
      <c r="A30" s="584" t="s">
        <v>368</v>
      </c>
      <c r="B30" s="281"/>
      <c r="C30" s="281"/>
      <c r="D30" s="166"/>
      <c r="E30" s="11"/>
      <c r="F30" s="290">
        <v>120063.83826999999</v>
      </c>
      <c r="G30" s="290">
        <v>118094.42926</v>
      </c>
      <c r="H30" s="166">
        <f t="shared" si="3"/>
        <v>-1.6</v>
      </c>
      <c r="I30" s="417">
        <f>IFERROR(100/'Skjema total MA'!F30*G30,0)</f>
        <v>2.6613255750412872</v>
      </c>
      <c r="J30" s="290">
        <f t="shared" ref="J30:J33" si="8">SUM(B30,F30)</f>
        <v>120063.83826999999</v>
      </c>
      <c r="K30" s="290">
        <f t="shared" ref="K30:K33" si="9">SUM(C30,G30)</f>
        <v>118094.42926</v>
      </c>
      <c r="L30" s="166">
        <f t="shared" si="5"/>
        <v>-1.6</v>
      </c>
      <c r="M30" s="23">
        <f>IFERROR(100/'Skjema total MA'!I30*K30,0)</f>
        <v>0.65051713209446027</v>
      </c>
      <c r="N30" s="148"/>
    </row>
    <row r="31" spans="1:14" s="3" customFormat="1" ht="15.75" x14ac:dyDescent="0.2">
      <c r="A31" s="584" t="s">
        <v>369</v>
      </c>
      <c r="B31" s="281"/>
      <c r="C31" s="281"/>
      <c r="D31" s="166"/>
      <c r="E31" s="11"/>
      <c r="F31" s="290">
        <v>646576.62974999996</v>
      </c>
      <c r="G31" s="290">
        <v>632508.88422000001</v>
      </c>
      <c r="H31" s="166">
        <f t="shared" si="3"/>
        <v>-2.2000000000000002</v>
      </c>
      <c r="I31" s="417">
        <f>IFERROR(100/'Skjema total MA'!F31*G31,0)</f>
        <v>6.8350023321639393</v>
      </c>
      <c r="J31" s="290">
        <f t="shared" si="8"/>
        <v>646576.62974999996</v>
      </c>
      <c r="K31" s="290">
        <f t="shared" si="9"/>
        <v>632508.88422000001</v>
      </c>
      <c r="L31" s="166">
        <f t="shared" si="5"/>
        <v>-2.2000000000000002</v>
      </c>
      <c r="M31" s="23">
        <f>IFERROR(100/'Skjema total MA'!I31*K31,0)</f>
        <v>1.9123506768053213</v>
      </c>
      <c r="N31" s="148"/>
    </row>
    <row r="32" spans="1:14" ht="15.75" x14ac:dyDescent="0.2">
      <c r="A32" s="584" t="s">
        <v>370</v>
      </c>
      <c r="B32" s="281"/>
      <c r="C32" s="281"/>
      <c r="D32" s="166"/>
      <c r="E32" s="11"/>
      <c r="F32" s="290"/>
      <c r="G32" s="290"/>
      <c r="H32" s="166"/>
      <c r="I32" s="417"/>
      <c r="J32" s="290"/>
      <c r="K32" s="290"/>
      <c r="L32" s="166"/>
      <c r="M32" s="23"/>
    </row>
    <row r="33" spans="1:14" ht="15.75" x14ac:dyDescent="0.2">
      <c r="A33" s="584" t="s">
        <v>371</v>
      </c>
      <c r="B33" s="281"/>
      <c r="C33" s="281"/>
      <c r="D33" s="166"/>
      <c r="E33" s="11"/>
      <c r="F33" s="290">
        <v>122125.58472</v>
      </c>
      <c r="G33" s="290">
        <v>200831.88139</v>
      </c>
      <c r="H33" s="166">
        <f t="shared" si="3"/>
        <v>64.400000000000006</v>
      </c>
      <c r="I33" s="417">
        <f>IFERROR(100/'Skjema total MA'!F34*G33,0)</f>
        <v>1844.5128902051799</v>
      </c>
      <c r="J33" s="290">
        <f t="shared" si="8"/>
        <v>122125.58472</v>
      </c>
      <c r="K33" s="290">
        <f t="shared" si="9"/>
        <v>200831.88139</v>
      </c>
      <c r="L33" s="166">
        <f t="shared" si="5"/>
        <v>64.400000000000006</v>
      </c>
      <c r="M33" s="23">
        <f>IFERROR(100/'Skjema total MA'!I34*K33,0)</f>
        <v>799.80360845681878</v>
      </c>
    </row>
    <row r="34" spans="1:14" ht="15.75" x14ac:dyDescent="0.2">
      <c r="A34" s="13" t="s">
        <v>366</v>
      </c>
      <c r="B34" s="236"/>
      <c r="C34" s="309"/>
      <c r="D34" s="171"/>
      <c r="E34" s="11"/>
      <c r="F34" s="308">
        <v>6268.1859999999997</v>
      </c>
      <c r="G34" s="309">
        <v>4501.4870000000001</v>
      </c>
      <c r="H34" s="171">
        <f t="shared" si="3"/>
        <v>-28.2</v>
      </c>
      <c r="I34" s="11">
        <f>IFERROR(100/'Skjema total MA'!F34*G34,0)</f>
        <v>41.343290413473554</v>
      </c>
      <c r="J34" s="236">
        <f t="shared" si="4"/>
        <v>6268.1859999999997</v>
      </c>
      <c r="K34" s="236">
        <f t="shared" si="4"/>
        <v>4501.4870000000001</v>
      </c>
      <c r="L34" s="428">
        <f t="shared" si="5"/>
        <v>-28.2</v>
      </c>
      <c r="M34" s="24">
        <f>IFERROR(100/'Skjema total MA'!I34*K34,0)</f>
        <v>17.926962198944622</v>
      </c>
    </row>
    <row r="35" spans="1:14" ht="15.75" x14ac:dyDescent="0.2">
      <c r="A35" s="13" t="s">
        <v>367</v>
      </c>
      <c r="B35" s="236"/>
      <c r="C35" s="309"/>
      <c r="D35" s="171"/>
      <c r="E35" s="11"/>
      <c r="F35" s="308">
        <v>4990.9125599999998</v>
      </c>
      <c r="G35" s="309">
        <v>6422.8374100000001</v>
      </c>
      <c r="H35" s="171">
        <f t="shared" si="3"/>
        <v>28.7</v>
      </c>
      <c r="I35" s="11">
        <f>IFERROR(100/'Skjema total MA'!F35*G35,0)</f>
        <v>5.5492155610015992</v>
      </c>
      <c r="J35" s="236">
        <f t="shared" si="4"/>
        <v>4990.9125599999998</v>
      </c>
      <c r="K35" s="236">
        <f t="shared" si="4"/>
        <v>6422.8374100000001</v>
      </c>
      <c r="L35" s="428">
        <f t="shared" si="5"/>
        <v>28.7</v>
      </c>
      <c r="M35" s="24">
        <f>IFERROR(100/'Skjema total MA'!I35*K35,0)</f>
        <v>16.582931684565001</v>
      </c>
    </row>
    <row r="36" spans="1:14" ht="15.75" x14ac:dyDescent="0.2">
      <c r="A36" s="12" t="s">
        <v>284</v>
      </c>
      <c r="B36" s="236"/>
      <c r="C36" s="309"/>
      <c r="D36" s="171"/>
      <c r="E36" s="11"/>
      <c r="F36" s="319"/>
      <c r="G36" s="320"/>
      <c r="H36" s="171"/>
      <c r="I36" s="434"/>
      <c r="J36" s="236"/>
      <c r="K36" s="236"/>
      <c r="L36" s="428"/>
      <c r="M36" s="24"/>
    </row>
    <row r="37" spans="1:14" ht="15.75" x14ac:dyDescent="0.2">
      <c r="A37" s="12" t="s">
        <v>373</v>
      </c>
      <c r="B37" s="236"/>
      <c r="C37" s="309"/>
      <c r="D37" s="171"/>
      <c r="E37" s="11"/>
      <c r="F37" s="319"/>
      <c r="G37" s="321"/>
      <c r="H37" s="171"/>
      <c r="I37" s="434"/>
      <c r="J37" s="236"/>
      <c r="K37" s="236"/>
      <c r="L37" s="428"/>
      <c r="M37" s="24"/>
    </row>
    <row r="38" spans="1:14" ht="15.75" x14ac:dyDescent="0.2">
      <c r="A38" s="12" t="s">
        <v>374</v>
      </c>
      <c r="B38" s="236"/>
      <c r="C38" s="309"/>
      <c r="D38" s="171"/>
      <c r="E38" s="24"/>
      <c r="F38" s="319"/>
      <c r="G38" s="320"/>
      <c r="H38" s="171"/>
      <c r="I38" s="434"/>
      <c r="J38" s="236"/>
      <c r="K38" s="236"/>
      <c r="L38" s="428"/>
      <c r="M38" s="24"/>
    </row>
    <row r="39" spans="1:14" ht="15.75" x14ac:dyDescent="0.2">
      <c r="A39" s="18" t="s">
        <v>375</v>
      </c>
      <c r="B39" s="276"/>
      <c r="C39" s="315"/>
      <c r="D39" s="169"/>
      <c r="E39" s="36"/>
      <c r="F39" s="322"/>
      <c r="G39" s="323"/>
      <c r="H39" s="169"/>
      <c r="I39" s="36"/>
      <c r="J39" s="236"/>
      <c r="K39" s="236"/>
      <c r="L39" s="429"/>
      <c r="M39" s="36"/>
    </row>
    <row r="40" spans="1:14" ht="15.75" x14ac:dyDescent="0.25">
      <c r="A40" s="47"/>
      <c r="B40" s="253"/>
      <c r="C40" s="253"/>
      <c r="D40" s="736"/>
      <c r="E40" s="736"/>
      <c r="F40" s="736"/>
      <c r="G40" s="736"/>
      <c r="H40" s="736"/>
      <c r="I40" s="736"/>
      <c r="J40" s="736"/>
      <c r="K40" s="736"/>
      <c r="L40" s="736"/>
      <c r="M40" s="302"/>
    </row>
    <row r="41" spans="1:14" x14ac:dyDescent="0.2">
      <c r="A41" s="155"/>
    </row>
    <row r="42" spans="1:14" ht="15.75" x14ac:dyDescent="0.25">
      <c r="A42" s="147" t="s">
        <v>273</v>
      </c>
      <c r="B42" s="732"/>
      <c r="C42" s="732"/>
      <c r="D42" s="732"/>
      <c r="E42" s="299"/>
      <c r="F42" s="737"/>
      <c r="G42" s="737"/>
      <c r="H42" s="737"/>
      <c r="I42" s="302"/>
      <c r="J42" s="737"/>
      <c r="K42" s="737"/>
      <c r="L42" s="737"/>
      <c r="M42" s="302"/>
    </row>
    <row r="43" spans="1:14" ht="15.75" x14ac:dyDescent="0.25">
      <c r="A43" s="163"/>
      <c r="B43" s="303"/>
      <c r="C43" s="303"/>
      <c r="D43" s="303"/>
      <c r="E43" s="303"/>
      <c r="F43" s="302"/>
      <c r="G43" s="302"/>
      <c r="H43" s="302"/>
      <c r="I43" s="302"/>
      <c r="J43" s="302"/>
      <c r="K43" s="302"/>
      <c r="L43" s="302"/>
      <c r="M43" s="302"/>
    </row>
    <row r="44" spans="1:14" ht="15.75" x14ac:dyDescent="0.25">
      <c r="A44" s="247"/>
      <c r="B44" s="733" t="s">
        <v>0</v>
      </c>
      <c r="C44" s="734"/>
      <c r="D44" s="734"/>
      <c r="E44" s="243"/>
      <c r="F44" s="302"/>
      <c r="G44" s="302"/>
      <c r="H44" s="302"/>
      <c r="I44" s="302"/>
      <c r="J44" s="302"/>
      <c r="K44" s="302"/>
      <c r="L44" s="302"/>
      <c r="M44" s="302"/>
    </row>
    <row r="45" spans="1:14" s="3" customFormat="1" x14ac:dyDescent="0.2">
      <c r="A45" s="140"/>
      <c r="B45" s="152" t="s">
        <v>421</v>
      </c>
      <c r="C45" s="152" t="s">
        <v>422</v>
      </c>
      <c r="D45" s="162" t="s">
        <v>3</v>
      </c>
      <c r="E45" s="162" t="s">
        <v>29</v>
      </c>
      <c r="F45" s="174"/>
      <c r="G45" s="174"/>
      <c r="H45" s="173"/>
      <c r="I45" s="173"/>
      <c r="J45" s="174"/>
      <c r="K45" s="174"/>
      <c r="L45" s="173"/>
      <c r="M45" s="173"/>
      <c r="N45" s="148"/>
    </row>
    <row r="46" spans="1:14" s="3" customFormat="1" x14ac:dyDescent="0.2">
      <c r="A46" s="708"/>
      <c r="B46" s="244"/>
      <c r="C46" s="244"/>
      <c r="D46" s="245" t="s">
        <v>4</v>
      </c>
      <c r="E46" s="156" t="s">
        <v>30</v>
      </c>
      <c r="F46" s="173"/>
      <c r="G46" s="173"/>
      <c r="H46" s="173"/>
      <c r="I46" s="173"/>
      <c r="J46" s="173"/>
      <c r="K46" s="173"/>
      <c r="L46" s="173"/>
      <c r="M46" s="173"/>
      <c r="N46" s="148"/>
    </row>
    <row r="47" spans="1:14" s="3" customFormat="1" ht="15.75" x14ac:dyDescent="0.2">
      <c r="A47" s="14" t="s">
        <v>23</v>
      </c>
      <c r="B47" s="310"/>
      <c r="C47" s="311"/>
      <c r="D47" s="427"/>
      <c r="E47" s="11"/>
      <c r="F47" s="145"/>
      <c r="G47" s="33"/>
      <c r="H47" s="159"/>
      <c r="I47" s="159"/>
      <c r="J47" s="37"/>
      <c r="K47" s="37"/>
      <c r="L47" s="159"/>
      <c r="M47" s="159"/>
      <c r="N47" s="148"/>
    </row>
    <row r="48" spans="1:14" s="3" customFormat="1" ht="15.75" x14ac:dyDescent="0.2">
      <c r="A48" s="38" t="s">
        <v>376</v>
      </c>
      <c r="B48" s="281"/>
      <c r="C48" s="282"/>
      <c r="D48" s="254"/>
      <c r="E48" s="27"/>
      <c r="F48" s="145"/>
      <c r="G48" s="33"/>
      <c r="H48" s="145"/>
      <c r="I48" s="145"/>
      <c r="J48" s="33"/>
      <c r="K48" s="33"/>
      <c r="L48" s="159"/>
      <c r="M48" s="159"/>
      <c r="N48" s="148"/>
    </row>
    <row r="49" spans="1:14" s="3" customFormat="1" ht="15.75" x14ac:dyDescent="0.2">
      <c r="A49" s="38" t="s">
        <v>377</v>
      </c>
      <c r="B49" s="44"/>
      <c r="C49" s="287"/>
      <c r="D49" s="254"/>
      <c r="E49" s="27"/>
      <c r="F49" s="145"/>
      <c r="G49" s="33"/>
      <c r="H49" s="145"/>
      <c r="I49" s="145"/>
      <c r="J49" s="37"/>
      <c r="K49" s="37"/>
      <c r="L49" s="159"/>
      <c r="M49" s="159"/>
      <c r="N49" s="148"/>
    </row>
    <row r="50" spans="1:14" s="3" customFormat="1" x14ac:dyDescent="0.2">
      <c r="A50" s="296" t="s">
        <v>6</v>
      </c>
      <c r="B50" s="290"/>
      <c r="C50" s="291"/>
      <c r="D50" s="254"/>
      <c r="E50" s="23"/>
      <c r="F50" s="145"/>
      <c r="G50" s="33"/>
      <c r="H50" s="145"/>
      <c r="I50" s="145"/>
      <c r="J50" s="33"/>
      <c r="K50" s="33"/>
      <c r="L50" s="159"/>
      <c r="M50" s="159"/>
      <c r="N50" s="148"/>
    </row>
    <row r="51" spans="1:14" s="3" customFormat="1" x14ac:dyDescent="0.2">
      <c r="A51" s="296" t="s">
        <v>7</v>
      </c>
      <c r="B51" s="290"/>
      <c r="C51" s="291"/>
      <c r="D51" s="254"/>
      <c r="E51" s="23"/>
      <c r="F51" s="145"/>
      <c r="G51" s="33"/>
      <c r="H51" s="145"/>
      <c r="I51" s="145"/>
      <c r="J51" s="33"/>
      <c r="K51" s="33"/>
      <c r="L51" s="159"/>
      <c r="M51" s="159"/>
      <c r="N51" s="148"/>
    </row>
    <row r="52" spans="1:14" s="3" customFormat="1" x14ac:dyDescent="0.2">
      <c r="A52" s="296" t="s">
        <v>8</v>
      </c>
      <c r="B52" s="290"/>
      <c r="C52" s="291"/>
      <c r="D52" s="254"/>
      <c r="E52" s="23"/>
      <c r="F52" s="145"/>
      <c r="G52" s="33"/>
      <c r="H52" s="145"/>
      <c r="I52" s="145"/>
      <c r="J52" s="33"/>
      <c r="K52" s="33"/>
      <c r="L52" s="159"/>
      <c r="M52" s="159"/>
      <c r="N52" s="148"/>
    </row>
    <row r="53" spans="1:14" s="3" customFormat="1" ht="15.75" x14ac:dyDescent="0.2">
      <c r="A53" s="39" t="s">
        <v>378</v>
      </c>
      <c r="B53" s="310"/>
      <c r="C53" s="311"/>
      <c r="D53" s="428"/>
      <c r="E53" s="11"/>
      <c r="F53" s="145"/>
      <c r="G53" s="33"/>
      <c r="H53" s="145"/>
      <c r="I53" s="145"/>
      <c r="J53" s="33"/>
      <c r="K53" s="33"/>
      <c r="L53" s="159"/>
      <c r="M53" s="159"/>
      <c r="N53" s="148"/>
    </row>
    <row r="54" spans="1:14" s="3" customFormat="1" ht="15.75" x14ac:dyDescent="0.2">
      <c r="A54" s="38" t="s">
        <v>376</v>
      </c>
      <c r="B54" s="281"/>
      <c r="C54" s="282"/>
      <c r="D54" s="254"/>
      <c r="E54" s="27"/>
      <c r="F54" s="145"/>
      <c r="G54" s="33"/>
      <c r="H54" s="145"/>
      <c r="I54" s="145"/>
      <c r="J54" s="33"/>
      <c r="K54" s="33"/>
      <c r="L54" s="159"/>
      <c r="M54" s="159"/>
      <c r="N54" s="148"/>
    </row>
    <row r="55" spans="1:14" s="3" customFormat="1" ht="15.75" x14ac:dyDescent="0.2">
      <c r="A55" s="38" t="s">
        <v>377</v>
      </c>
      <c r="B55" s="281"/>
      <c r="C55" s="282"/>
      <c r="D55" s="254"/>
      <c r="E55" s="27"/>
      <c r="F55" s="145"/>
      <c r="G55" s="33"/>
      <c r="H55" s="145"/>
      <c r="I55" s="145"/>
      <c r="J55" s="33"/>
      <c r="K55" s="33"/>
      <c r="L55" s="159"/>
      <c r="M55" s="159"/>
      <c r="N55" s="148"/>
    </row>
    <row r="56" spans="1:14" s="3" customFormat="1" ht="15.75" x14ac:dyDescent="0.2">
      <c r="A56" s="39" t="s">
        <v>379</v>
      </c>
      <c r="B56" s="310"/>
      <c r="C56" s="311"/>
      <c r="D56" s="428"/>
      <c r="E56" s="11"/>
      <c r="F56" s="145"/>
      <c r="G56" s="33"/>
      <c r="H56" s="145"/>
      <c r="I56" s="145"/>
      <c r="J56" s="33"/>
      <c r="K56" s="33"/>
      <c r="L56" s="159"/>
      <c r="M56" s="159"/>
      <c r="N56" s="148"/>
    </row>
    <row r="57" spans="1:14" s="3" customFormat="1" ht="15.75" x14ac:dyDescent="0.2">
      <c r="A57" s="38" t="s">
        <v>376</v>
      </c>
      <c r="B57" s="281"/>
      <c r="C57" s="282"/>
      <c r="D57" s="254"/>
      <c r="E57" s="27"/>
      <c r="F57" s="145"/>
      <c r="G57" s="33"/>
      <c r="H57" s="145"/>
      <c r="I57" s="145"/>
      <c r="J57" s="33"/>
      <c r="K57" s="33"/>
      <c r="L57" s="159"/>
      <c r="M57" s="159"/>
      <c r="N57" s="148"/>
    </row>
    <row r="58" spans="1:14" s="3" customFormat="1" ht="15.75" x14ac:dyDescent="0.2">
      <c r="A58" s="46" t="s">
        <v>377</v>
      </c>
      <c r="B58" s="283"/>
      <c r="C58" s="284"/>
      <c r="D58" s="255"/>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274</v>
      </c>
      <c r="C61" s="26"/>
      <c r="D61" s="26"/>
      <c r="E61" s="26"/>
      <c r="F61" s="26"/>
      <c r="G61" s="26"/>
      <c r="H61" s="26"/>
      <c r="I61" s="26"/>
      <c r="J61" s="26"/>
      <c r="K61" s="26"/>
      <c r="L61" s="26"/>
      <c r="M61" s="26"/>
    </row>
    <row r="62" spans="1:14" ht="15.75" x14ac:dyDescent="0.25">
      <c r="B62" s="735"/>
      <c r="C62" s="735"/>
      <c r="D62" s="735"/>
      <c r="E62" s="299"/>
      <c r="F62" s="735"/>
      <c r="G62" s="735"/>
      <c r="H62" s="735"/>
      <c r="I62" s="299"/>
      <c r="J62" s="735"/>
      <c r="K62" s="735"/>
      <c r="L62" s="735"/>
      <c r="M62" s="299"/>
    </row>
    <row r="63" spans="1:14" x14ac:dyDescent="0.2">
      <c r="A63" s="144"/>
      <c r="B63" s="733" t="s">
        <v>0</v>
      </c>
      <c r="C63" s="734"/>
      <c r="D63" s="738"/>
      <c r="E63" s="300"/>
      <c r="F63" s="734" t="s">
        <v>1</v>
      </c>
      <c r="G63" s="734"/>
      <c r="H63" s="734"/>
      <c r="I63" s="304"/>
      <c r="J63" s="733" t="s">
        <v>2</v>
      </c>
      <c r="K63" s="734"/>
      <c r="L63" s="734"/>
      <c r="M63" s="304"/>
    </row>
    <row r="64" spans="1:14" x14ac:dyDescent="0.2">
      <c r="A64" s="140"/>
      <c r="B64" s="152" t="s">
        <v>421</v>
      </c>
      <c r="C64" s="152" t="s">
        <v>422</v>
      </c>
      <c r="D64" s="245" t="s">
        <v>3</v>
      </c>
      <c r="E64" s="305" t="s">
        <v>29</v>
      </c>
      <c r="F64" s="152" t="s">
        <v>421</v>
      </c>
      <c r="G64" s="152" t="s">
        <v>422</v>
      </c>
      <c r="H64" s="245" t="s">
        <v>3</v>
      </c>
      <c r="I64" s="305" t="s">
        <v>29</v>
      </c>
      <c r="J64" s="152" t="s">
        <v>421</v>
      </c>
      <c r="K64" s="152" t="s">
        <v>422</v>
      </c>
      <c r="L64" s="245" t="s">
        <v>3</v>
      </c>
      <c r="M64" s="162" t="s">
        <v>29</v>
      </c>
    </row>
    <row r="65" spans="1:14" x14ac:dyDescent="0.2">
      <c r="A65" s="708"/>
      <c r="B65" s="156"/>
      <c r="C65" s="156"/>
      <c r="D65" s="246" t="s">
        <v>4</v>
      </c>
      <c r="E65" s="156" t="s">
        <v>30</v>
      </c>
      <c r="F65" s="161"/>
      <c r="G65" s="161"/>
      <c r="H65" s="245" t="s">
        <v>4</v>
      </c>
      <c r="I65" s="156" t="s">
        <v>30</v>
      </c>
      <c r="J65" s="161"/>
      <c r="K65" s="206"/>
      <c r="L65" s="156" t="s">
        <v>4</v>
      </c>
      <c r="M65" s="156" t="s">
        <v>30</v>
      </c>
    </row>
    <row r="66" spans="1:14" ht="15.75" x14ac:dyDescent="0.2">
      <c r="A66" s="14" t="s">
        <v>23</v>
      </c>
      <c r="B66" s="353"/>
      <c r="C66" s="353"/>
      <c r="D66" s="350"/>
      <c r="E66" s="11"/>
      <c r="F66" s="352">
        <v>-51.444560000000003</v>
      </c>
      <c r="G66" s="352">
        <v>57.569459999999999</v>
      </c>
      <c r="H66" s="350">
        <f t="shared" ref="H66:H111" si="10">IF(F66=0, "    ---- ", IF(ABS(ROUND(100/F66*G66-100,1))&lt;999,ROUND(100/F66*G66-100,1),IF(ROUND(100/F66*G66-100,1)&gt;999,999,-999)))</f>
        <v>-211.9</v>
      </c>
      <c r="I66" s="11">
        <f>IFERROR(100/'Skjema total MA'!F66*G66,0)</f>
        <v>2.2128113881577689E-4</v>
      </c>
      <c r="J66" s="309">
        <f t="shared" ref="J66:K86" si="11">SUM(B66,F66)</f>
        <v>-51.444560000000003</v>
      </c>
      <c r="K66" s="316">
        <f t="shared" si="11"/>
        <v>57.569459999999999</v>
      </c>
      <c r="L66" s="428">
        <f t="shared" ref="L66:L111" si="12">IF(J66=0, "    ---- ", IF(ABS(ROUND(100/J66*K66-100,1))&lt;999,ROUND(100/J66*K66-100,1),IF(ROUND(100/J66*K66-100,1)&gt;999,999,-999)))</f>
        <v>-211.9</v>
      </c>
      <c r="M66" s="11">
        <f>IFERROR(100/'Skjema total MA'!I66*K66,0)</f>
        <v>1.8023639628161862E-4</v>
      </c>
    </row>
    <row r="67" spans="1:14" x14ac:dyDescent="0.2">
      <c r="A67" s="419" t="s">
        <v>9</v>
      </c>
      <c r="B67" s="44"/>
      <c r="C67" s="145"/>
      <c r="D67" s="166"/>
      <c r="E67" s="27"/>
      <c r="F67" s="234"/>
      <c r="G67" s="145"/>
      <c r="H67" s="166"/>
      <c r="I67" s="27"/>
      <c r="J67" s="287"/>
      <c r="K67" s="44"/>
      <c r="L67" s="254"/>
      <c r="M67" s="27"/>
    </row>
    <row r="68" spans="1:14" x14ac:dyDescent="0.2">
      <c r="A68" s="21" t="s">
        <v>10</v>
      </c>
      <c r="B68" s="292"/>
      <c r="C68" s="293"/>
      <c r="D68" s="166"/>
      <c r="E68" s="27"/>
      <c r="F68" s="292">
        <v>-51.444560000000003</v>
      </c>
      <c r="G68" s="293">
        <v>57.569459999999999</v>
      </c>
      <c r="H68" s="166">
        <f t="shared" si="10"/>
        <v>-211.9</v>
      </c>
      <c r="I68" s="27">
        <f>IFERROR(100/'Skjema total MA'!F68*G68,0)</f>
        <v>2.3039379783452131E-4</v>
      </c>
      <c r="J68" s="287">
        <f t="shared" si="11"/>
        <v>-51.444560000000003</v>
      </c>
      <c r="K68" s="44">
        <f t="shared" si="11"/>
        <v>57.569459999999999</v>
      </c>
      <c r="L68" s="254">
        <f t="shared" si="12"/>
        <v>-211.9</v>
      </c>
      <c r="M68" s="27">
        <f>IFERROR(100/'Skjema total MA'!I68*K68,0)</f>
        <v>2.2930719897788914E-4</v>
      </c>
    </row>
    <row r="69" spans="1:14" ht="15.75" x14ac:dyDescent="0.2">
      <c r="A69" s="296" t="s">
        <v>380</v>
      </c>
      <c r="B69" s="294"/>
      <c r="C69" s="295"/>
      <c r="D69" s="166"/>
      <c r="E69" s="417"/>
      <c r="F69" s="294"/>
      <c r="G69" s="295"/>
      <c r="H69" s="166"/>
      <c r="I69" s="417"/>
      <c r="J69" s="294"/>
      <c r="K69" s="295"/>
      <c r="L69" s="166"/>
      <c r="M69" s="23"/>
    </row>
    <row r="70" spans="1:14" x14ac:dyDescent="0.2">
      <c r="A70" s="296" t="s">
        <v>12</v>
      </c>
      <c r="B70" s="294"/>
      <c r="C70" s="295"/>
      <c r="D70" s="166"/>
      <c r="E70" s="417"/>
      <c r="F70" s="294"/>
      <c r="G70" s="295"/>
      <c r="H70" s="166"/>
      <c r="I70" s="417"/>
      <c r="J70" s="294"/>
      <c r="K70" s="295"/>
      <c r="L70" s="166"/>
      <c r="M70" s="23"/>
    </row>
    <row r="71" spans="1:14" x14ac:dyDescent="0.2">
      <c r="A71" s="296" t="s">
        <v>13</v>
      </c>
      <c r="B71" s="235"/>
      <c r="C71" s="289"/>
      <c r="D71" s="166"/>
      <c r="E71" s="417"/>
      <c r="F71" s="294"/>
      <c r="G71" s="295"/>
      <c r="H71" s="166"/>
      <c r="I71" s="417"/>
      <c r="J71" s="294"/>
      <c r="K71" s="295"/>
      <c r="L71" s="166"/>
      <c r="M71" s="23"/>
    </row>
    <row r="72" spans="1:14" ht="15.75" x14ac:dyDescent="0.2">
      <c r="A72" s="296" t="s">
        <v>381</v>
      </c>
      <c r="B72" s="294"/>
      <c r="C72" s="295"/>
      <c r="D72" s="166"/>
      <c r="E72" s="417"/>
      <c r="F72" s="294"/>
      <c r="G72" s="295"/>
      <c r="H72" s="166"/>
      <c r="I72" s="417"/>
      <c r="J72" s="294"/>
      <c r="K72" s="295"/>
      <c r="L72" s="166"/>
      <c r="M72" s="23"/>
    </row>
    <row r="73" spans="1:14" x14ac:dyDescent="0.2">
      <c r="A73" s="296" t="s">
        <v>12</v>
      </c>
      <c r="B73" s="235"/>
      <c r="C73" s="289"/>
      <c r="D73" s="166"/>
      <c r="E73" s="417"/>
      <c r="F73" s="294"/>
      <c r="G73" s="295"/>
      <c r="H73" s="166"/>
      <c r="I73" s="417"/>
      <c r="J73" s="294"/>
      <c r="K73" s="295"/>
      <c r="L73" s="166"/>
      <c r="M73" s="23"/>
    </row>
    <row r="74" spans="1:14" s="3" customFormat="1" x14ac:dyDescent="0.2">
      <c r="A74" s="296" t="s">
        <v>13</v>
      </c>
      <c r="B74" s="235"/>
      <c r="C74" s="289"/>
      <c r="D74" s="166"/>
      <c r="E74" s="417"/>
      <c r="F74" s="294"/>
      <c r="G74" s="295"/>
      <c r="H74" s="166"/>
      <c r="I74" s="417"/>
      <c r="J74" s="294"/>
      <c r="K74" s="295"/>
      <c r="L74" s="166"/>
      <c r="M74" s="23"/>
      <c r="N74" s="148"/>
    </row>
    <row r="75" spans="1:14" s="3" customFormat="1" x14ac:dyDescent="0.2">
      <c r="A75" s="21" t="s">
        <v>350</v>
      </c>
      <c r="B75" s="234"/>
      <c r="C75" s="145"/>
      <c r="D75" s="166"/>
      <c r="E75" s="27"/>
      <c r="F75" s="234"/>
      <c r="G75" s="145"/>
      <c r="H75" s="166"/>
      <c r="I75" s="27"/>
      <c r="J75" s="287"/>
      <c r="K75" s="44"/>
      <c r="L75" s="254"/>
      <c r="M75" s="27"/>
      <c r="N75" s="148"/>
    </row>
    <row r="76" spans="1:14" s="3" customFormat="1" x14ac:dyDescent="0.2">
      <c r="A76" s="21" t="s">
        <v>349</v>
      </c>
      <c r="B76" s="234"/>
      <c r="C76" s="145"/>
      <c r="D76" s="166"/>
      <c r="E76" s="27"/>
      <c r="F76" s="234"/>
      <c r="G76" s="145"/>
      <c r="H76" s="166"/>
      <c r="I76" s="27"/>
      <c r="J76" s="287"/>
      <c r="K76" s="44"/>
      <c r="L76" s="254"/>
      <c r="M76" s="27"/>
      <c r="N76" s="148"/>
    </row>
    <row r="77" spans="1:14" ht="15.75" x14ac:dyDescent="0.2">
      <c r="A77" s="21" t="s">
        <v>382</v>
      </c>
      <c r="B77" s="234"/>
      <c r="C77" s="234"/>
      <c r="D77" s="166"/>
      <c r="E77" s="27"/>
      <c r="F77" s="234"/>
      <c r="G77" s="145"/>
      <c r="H77" s="166"/>
      <c r="I77" s="27"/>
      <c r="J77" s="287"/>
      <c r="K77" s="44"/>
      <c r="L77" s="254"/>
      <c r="M77" s="27"/>
    </row>
    <row r="78" spans="1:14" x14ac:dyDescent="0.2">
      <c r="A78" s="21" t="s">
        <v>9</v>
      </c>
      <c r="B78" s="234"/>
      <c r="C78" s="145"/>
      <c r="D78" s="166"/>
      <c r="E78" s="27"/>
      <c r="F78" s="234"/>
      <c r="G78" s="145"/>
      <c r="H78" s="166"/>
      <c r="I78" s="27"/>
      <c r="J78" s="287"/>
      <c r="K78" s="44"/>
      <c r="L78" s="254"/>
      <c r="M78" s="27"/>
    </row>
    <row r="79" spans="1:14" x14ac:dyDescent="0.2">
      <c r="A79" s="21" t="s">
        <v>10</v>
      </c>
      <c r="B79" s="292"/>
      <c r="C79" s="293"/>
      <c r="D79" s="166"/>
      <c r="E79" s="27"/>
      <c r="F79" s="292"/>
      <c r="G79" s="293"/>
      <c r="H79" s="166"/>
      <c r="I79" s="27"/>
      <c r="J79" s="287"/>
      <c r="K79" s="44"/>
      <c r="L79" s="254"/>
      <c r="M79" s="27"/>
    </row>
    <row r="80" spans="1:14" ht="15.75" x14ac:dyDescent="0.2">
      <c r="A80" s="296" t="s">
        <v>380</v>
      </c>
      <c r="B80" s="294"/>
      <c r="C80" s="295"/>
      <c r="D80" s="166"/>
      <c r="E80" s="417"/>
      <c r="F80" s="294"/>
      <c r="G80" s="295"/>
      <c r="H80" s="166"/>
      <c r="I80" s="417"/>
      <c r="J80" s="294"/>
      <c r="K80" s="295"/>
      <c r="L80" s="166"/>
      <c r="M80" s="23"/>
    </row>
    <row r="81" spans="1:13" x14ac:dyDescent="0.2">
      <c r="A81" s="296" t="s">
        <v>12</v>
      </c>
      <c r="B81" s="294"/>
      <c r="C81" s="295"/>
      <c r="D81" s="166"/>
      <c r="E81" s="417"/>
      <c r="F81" s="294"/>
      <c r="G81" s="295"/>
      <c r="H81" s="166"/>
      <c r="I81" s="417"/>
      <c r="J81" s="294"/>
      <c r="K81" s="295"/>
      <c r="L81" s="166"/>
      <c r="M81" s="23"/>
    </row>
    <row r="82" spans="1:13" x14ac:dyDescent="0.2">
      <c r="A82" s="296" t="s">
        <v>13</v>
      </c>
      <c r="B82" s="294"/>
      <c r="C82" s="295"/>
      <c r="D82" s="166"/>
      <c r="E82" s="417"/>
      <c r="F82" s="294"/>
      <c r="G82" s="295"/>
      <c r="H82" s="166"/>
      <c r="I82" s="417"/>
      <c r="J82" s="294"/>
      <c r="K82" s="295"/>
      <c r="L82" s="166"/>
      <c r="M82" s="23"/>
    </row>
    <row r="83" spans="1:13" ht="15.75" x14ac:dyDescent="0.2">
      <c r="A83" s="296" t="s">
        <v>381</v>
      </c>
      <c r="B83" s="294"/>
      <c r="C83" s="295"/>
      <c r="D83" s="166"/>
      <c r="E83" s="417"/>
      <c r="F83" s="294"/>
      <c r="G83" s="295"/>
      <c r="H83" s="166"/>
      <c r="I83" s="417"/>
      <c r="J83" s="294"/>
      <c r="K83" s="295"/>
      <c r="L83" s="166"/>
      <c r="M83" s="23"/>
    </row>
    <row r="84" spans="1:13" x14ac:dyDescent="0.2">
      <c r="A84" s="296" t="s">
        <v>12</v>
      </c>
      <c r="B84" s="294"/>
      <c r="C84" s="295"/>
      <c r="D84" s="166"/>
      <c r="E84" s="417"/>
      <c r="F84" s="294"/>
      <c r="G84" s="295"/>
      <c r="H84" s="166"/>
      <c r="I84" s="417"/>
      <c r="J84" s="294"/>
      <c r="K84" s="295"/>
      <c r="L84" s="166"/>
      <c r="M84" s="23"/>
    </row>
    <row r="85" spans="1:13" x14ac:dyDescent="0.2">
      <c r="A85" s="296" t="s">
        <v>13</v>
      </c>
      <c r="B85" s="294"/>
      <c r="C85" s="295"/>
      <c r="D85" s="166"/>
      <c r="E85" s="417"/>
      <c r="F85" s="294"/>
      <c r="G85" s="295"/>
      <c r="H85" s="166"/>
      <c r="I85" s="417"/>
      <c r="J85" s="294"/>
      <c r="K85" s="295"/>
      <c r="L85" s="166"/>
      <c r="M85" s="23"/>
    </row>
    <row r="86" spans="1:13" ht="15.75" x14ac:dyDescent="0.2">
      <c r="A86" s="21" t="s">
        <v>383</v>
      </c>
      <c r="B86" s="234"/>
      <c r="C86" s="145"/>
      <c r="D86" s="166"/>
      <c r="E86" s="27"/>
      <c r="F86" s="234">
        <v>-51.444560000000003</v>
      </c>
      <c r="G86" s="145">
        <v>57.569459999999999</v>
      </c>
      <c r="H86" s="166">
        <f t="shared" si="10"/>
        <v>-211.9</v>
      </c>
      <c r="I86" s="27">
        <f>IFERROR(100/'Skjema total MA'!F86*G86,0)</f>
        <v>0.50526103400747402</v>
      </c>
      <c r="J86" s="287">
        <f t="shared" si="11"/>
        <v>-51.444560000000003</v>
      </c>
      <c r="K86" s="44">
        <f t="shared" si="11"/>
        <v>57.569459999999999</v>
      </c>
      <c r="L86" s="254">
        <f t="shared" si="12"/>
        <v>-211.9</v>
      </c>
      <c r="M86" s="27">
        <f>IFERROR(100/'Skjema total MA'!I86*K86,0)</f>
        <v>3.8524660042061648E-2</v>
      </c>
    </row>
    <row r="87" spans="1:13" ht="15.75" x14ac:dyDescent="0.2">
      <c r="A87" s="13" t="s">
        <v>365</v>
      </c>
      <c r="B87" s="353"/>
      <c r="C87" s="353"/>
      <c r="D87" s="171"/>
      <c r="E87" s="11"/>
      <c r="F87" s="352">
        <v>601697.13809999998</v>
      </c>
      <c r="G87" s="352">
        <v>754478.43851000001</v>
      </c>
      <c r="H87" s="171">
        <f t="shared" si="10"/>
        <v>25.4</v>
      </c>
      <c r="I87" s="11">
        <f>IFERROR(100/'Skjema total MA'!F87*G87,0)</f>
        <v>0.22303651323727103</v>
      </c>
      <c r="J87" s="309">
        <f t="shared" ref="J87:K111" si="13">SUM(B87,F87)</f>
        <v>601697.13809999998</v>
      </c>
      <c r="K87" s="236">
        <f t="shared" si="13"/>
        <v>754478.43851000001</v>
      </c>
      <c r="L87" s="428">
        <f t="shared" si="12"/>
        <v>25.4</v>
      </c>
      <c r="M87" s="11">
        <f>IFERROR(100/'Skjema total MA'!I87*K87,0)</f>
        <v>0.10311244425151096</v>
      </c>
    </row>
    <row r="88" spans="1:13" x14ac:dyDescent="0.2">
      <c r="A88" s="21" t="s">
        <v>9</v>
      </c>
      <c r="B88" s="234"/>
      <c r="C88" s="145"/>
      <c r="D88" s="166"/>
      <c r="E88" s="27"/>
      <c r="F88" s="234"/>
      <c r="G88" s="145"/>
      <c r="H88" s="166"/>
      <c r="I88" s="27"/>
      <c r="J88" s="287"/>
      <c r="K88" s="44"/>
      <c r="L88" s="254"/>
      <c r="M88" s="27"/>
    </row>
    <row r="89" spans="1:13" x14ac:dyDescent="0.2">
      <c r="A89" s="21" t="s">
        <v>10</v>
      </c>
      <c r="B89" s="234"/>
      <c r="C89" s="145"/>
      <c r="D89" s="166"/>
      <c r="E89" s="27"/>
      <c r="F89" s="234">
        <v>601697.13809999998</v>
      </c>
      <c r="G89" s="145">
        <v>754478.43851000001</v>
      </c>
      <c r="H89" s="166">
        <f t="shared" si="10"/>
        <v>25.4</v>
      </c>
      <c r="I89" s="27">
        <f>IFERROR(100/'Skjema total MA'!F89*G89,0)</f>
        <v>0.22474551144342714</v>
      </c>
      <c r="J89" s="287">
        <f t="shared" si="13"/>
        <v>601697.13809999998</v>
      </c>
      <c r="K89" s="44">
        <f t="shared" si="13"/>
        <v>754478.43851000001</v>
      </c>
      <c r="L89" s="254">
        <f t="shared" si="12"/>
        <v>25.4</v>
      </c>
      <c r="M89" s="27">
        <f>IFERROR(100/'Skjema total MA'!I89*K89,0)</f>
        <v>0.22264439624837706</v>
      </c>
    </row>
    <row r="90" spans="1:13" ht="15.75" x14ac:dyDescent="0.2">
      <c r="A90" s="296" t="s">
        <v>380</v>
      </c>
      <c r="B90" s="294"/>
      <c r="C90" s="295"/>
      <c r="D90" s="166"/>
      <c r="E90" s="417"/>
      <c r="F90" s="294"/>
      <c r="G90" s="295"/>
      <c r="H90" s="166"/>
      <c r="I90" s="417"/>
      <c r="J90" s="294"/>
      <c r="K90" s="295"/>
      <c r="L90" s="166"/>
      <c r="M90" s="23"/>
    </row>
    <row r="91" spans="1:13" x14ac:dyDescent="0.2">
      <c r="A91" s="296" t="s">
        <v>12</v>
      </c>
      <c r="B91" s="294"/>
      <c r="C91" s="295"/>
      <c r="D91" s="166"/>
      <c r="E91" s="417"/>
      <c r="F91" s="294"/>
      <c r="G91" s="295"/>
      <c r="H91" s="166"/>
      <c r="I91" s="417"/>
      <c r="J91" s="294"/>
      <c r="K91" s="295"/>
      <c r="L91" s="166"/>
      <c r="M91" s="23"/>
    </row>
    <row r="92" spans="1:13" x14ac:dyDescent="0.2">
      <c r="A92" s="296" t="s">
        <v>13</v>
      </c>
      <c r="B92" s="294"/>
      <c r="C92" s="295"/>
      <c r="D92" s="166"/>
      <c r="E92" s="417"/>
      <c r="F92" s="294"/>
      <c r="G92" s="295"/>
      <c r="H92" s="166"/>
      <c r="I92" s="417"/>
      <c r="J92" s="294"/>
      <c r="K92" s="295"/>
      <c r="L92" s="166"/>
      <c r="M92" s="23"/>
    </row>
    <row r="93" spans="1:13" ht="15.75" x14ac:dyDescent="0.2">
      <c r="A93" s="296" t="s">
        <v>381</v>
      </c>
      <c r="B93" s="294"/>
      <c r="C93" s="295"/>
      <c r="D93" s="166"/>
      <c r="E93" s="417"/>
      <c r="F93" s="294"/>
      <c r="G93" s="295"/>
      <c r="H93" s="166"/>
      <c r="I93" s="417"/>
      <c r="J93" s="294"/>
      <c r="K93" s="295"/>
      <c r="L93" s="166"/>
      <c r="M93" s="23"/>
    </row>
    <row r="94" spans="1:13" x14ac:dyDescent="0.2">
      <c r="A94" s="296" t="s">
        <v>12</v>
      </c>
      <c r="B94" s="294"/>
      <c r="C94" s="295"/>
      <c r="D94" s="166"/>
      <c r="E94" s="417"/>
      <c r="F94" s="294"/>
      <c r="G94" s="295"/>
      <c r="H94" s="166"/>
      <c r="I94" s="417"/>
      <c r="J94" s="294"/>
      <c r="K94" s="295"/>
      <c r="L94" s="166"/>
      <c r="M94" s="23"/>
    </row>
    <row r="95" spans="1:13" x14ac:dyDescent="0.2">
      <c r="A95" s="296" t="s">
        <v>13</v>
      </c>
      <c r="B95" s="294"/>
      <c r="C95" s="295"/>
      <c r="D95" s="166"/>
      <c r="E95" s="417"/>
      <c r="F95" s="294"/>
      <c r="G95" s="295"/>
      <c r="H95" s="166"/>
      <c r="I95" s="417"/>
      <c r="J95" s="294"/>
      <c r="K95" s="295"/>
      <c r="L95" s="166"/>
      <c r="M95" s="23"/>
    </row>
    <row r="96" spans="1:13" x14ac:dyDescent="0.2">
      <c r="A96" s="21" t="s">
        <v>348</v>
      </c>
      <c r="B96" s="234"/>
      <c r="C96" s="145"/>
      <c r="D96" s="166"/>
      <c r="E96" s="27"/>
      <c r="F96" s="234"/>
      <c r="G96" s="145"/>
      <c r="H96" s="166"/>
      <c r="I96" s="27"/>
      <c r="J96" s="287"/>
      <c r="K96" s="44"/>
      <c r="L96" s="254"/>
      <c r="M96" s="27"/>
    </row>
    <row r="97" spans="1:13" x14ac:dyDescent="0.2">
      <c r="A97" s="21" t="s">
        <v>347</v>
      </c>
      <c r="B97" s="234"/>
      <c r="C97" s="145"/>
      <c r="D97" s="166"/>
      <c r="E97" s="27"/>
      <c r="F97" s="234"/>
      <c r="G97" s="145"/>
      <c r="H97" s="166"/>
      <c r="I97" s="27"/>
      <c r="J97" s="287"/>
      <c r="K97" s="44"/>
      <c r="L97" s="254"/>
      <c r="M97" s="27"/>
    </row>
    <row r="98" spans="1:13" ht="15.75" x14ac:dyDescent="0.2">
      <c r="A98" s="21" t="s">
        <v>382</v>
      </c>
      <c r="B98" s="234"/>
      <c r="C98" s="234"/>
      <c r="D98" s="166"/>
      <c r="E98" s="27"/>
      <c r="F98" s="292"/>
      <c r="G98" s="292"/>
      <c r="H98" s="166"/>
      <c r="I98" s="27"/>
      <c r="J98" s="287"/>
      <c r="K98" s="44"/>
      <c r="L98" s="254"/>
      <c r="M98" s="27"/>
    </row>
    <row r="99" spans="1:13" x14ac:dyDescent="0.2">
      <c r="A99" s="21" t="s">
        <v>9</v>
      </c>
      <c r="B99" s="292"/>
      <c r="C99" s="293"/>
      <c r="D99" s="166"/>
      <c r="E99" s="27"/>
      <c r="F99" s="234"/>
      <c r="G99" s="145"/>
      <c r="H99" s="166"/>
      <c r="I99" s="27"/>
      <c r="J99" s="287"/>
      <c r="K99" s="44"/>
      <c r="L99" s="254"/>
      <c r="M99" s="27"/>
    </row>
    <row r="100" spans="1:13" x14ac:dyDescent="0.2">
      <c r="A100" s="21" t="s">
        <v>10</v>
      </c>
      <c r="B100" s="292"/>
      <c r="C100" s="293"/>
      <c r="D100" s="166"/>
      <c r="E100" s="27"/>
      <c r="F100" s="234"/>
      <c r="G100" s="234"/>
      <c r="H100" s="166"/>
      <c r="I100" s="27"/>
      <c r="J100" s="287"/>
      <c r="K100" s="44"/>
      <c r="L100" s="254"/>
      <c r="M100" s="27"/>
    </row>
    <row r="101" spans="1:13" ht="15.75" x14ac:dyDescent="0.2">
      <c r="A101" s="296" t="s">
        <v>380</v>
      </c>
      <c r="B101" s="294"/>
      <c r="C101" s="295"/>
      <c r="D101" s="166"/>
      <c r="E101" s="417"/>
      <c r="F101" s="294"/>
      <c r="G101" s="295"/>
      <c r="H101" s="166"/>
      <c r="I101" s="417"/>
      <c r="J101" s="294"/>
      <c r="K101" s="295"/>
      <c r="L101" s="166"/>
      <c r="M101" s="23"/>
    </row>
    <row r="102" spans="1:13" x14ac:dyDescent="0.2">
      <c r="A102" s="296" t="s">
        <v>12</v>
      </c>
      <c r="B102" s="294"/>
      <c r="C102" s="295"/>
      <c r="D102" s="166"/>
      <c r="E102" s="417"/>
      <c r="F102" s="294"/>
      <c r="G102" s="295"/>
      <c r="H102" s="166"/>
      <c r="I102" s="417"/>
      <c r="J102" s="294"/>
      <c r="K102" s="295"/>
      <c r="L102" s="166"/>
      <c r="M102" s="23"/>
    </row>
    <row r="103" spans="1:13" x14ac:dyDescent="0.2">
      <c r="A103" s="296" t="s">
        <v>13</v>
      </c>
      <c r="B103" s="294"/>
      <c r="C103" s="295"/>
      <c r="D103" s="166"/>
      <c r="E103" s="417"/>
      <c r="F103" s="294"/>
      <c r="G103" s="295"/>
      <c r="H103" s="166"/>
      <c r="I103" s="417"/>
      <c r="J103" s="294"/>
      <c r="K103" s="295"/>
      <c r="L103" s="166"/>
      <c r="M103" s="23"/>
    </row>
    <row r="104" spans="1:13" ht="15.75" x14ac:dyDescent="0.2">
      <c r="A104" s="296" t="s">
        <v>381</v>
      </c>
      <c r="B104" s="294"/>
      <c r="C104" s="295"/>
      <c r="D104" s="166"/>
      <c r="E104" s="417"/>
      <c r="F104" s="294"/>
      <c r="G104" s="295"/>
      <c r="H104" s="166"/>
      <c r="I104" s="417"/>
      <c r="J104" s="294"/>
      <c r="K104" s="295"/>
      <c r="L104" s="166"/>
      <c r="M104" s="23"/>
    </row>
    <row r="105" spans="1:13" x14ac:dyDescent="0.2">
      <c r="A105" s="296" t="s">
        <v>12</v>
      </c>
      <c r="B105" s="294"/>
      <c r="C105" s="295"/>
      <c r="D105" s="166"/>
      <c r="E105" s="417"/>
      <c r="F105" s="294"/>
      <c r="G105" s="295"/>
      <c r="H105" s="166"/>
      <c r="I105" s="417"/>
      <c r="J105" s="294"/>
      <c r="K105" s="295"/>
      <c r="L105" s="166"/>
      <c r="M105" s="23"/>
    </row>
    <row r="106" spans="1:13" x14ac:dyDescent="0.2">
      <c r="A106" s="296" t="s">
        <v>13</v>
      </c>
      <c r="B106" s="294"/>
      <c r="C106" s="295"/>
      <c r="D106" s="166"/>
      <c r="E106" s="417"/>
      <c r="F106" s="294"/>
      <c r="G106" s="295"/>
      <c r="H106" s="166"/>
      <c r="I106" s="417"/>
      <c r="J106" s="294"/>
      <c r="K106" s="295"/>
      <c r="L106" s="166"/>
      <c r="M106" s="23"/>
    </row>
    <row r="107" spans="1:13" ht="15.75" x14ac:dyDescent="0.2">
      <c r="A107" s="21" t="s">
        <v>383</v>
      </c>
      <c r="B107" s="234"/>
      <c r="C107" s="145"/>
      <c r="D107" s="166"/>
      <c r="E107" s="27"/>
      <c r="F107" s="234">
        <v>601697.13809999998</v>
      </c>
      <c r="G107" s="145">
        <v>754478.43851000001</v>
      </c>
      <c r="H107" s="166">
        <f t="shared" si="10"/>
        <v>25.4</v>
      </c>
      <c r="I107" s="27">
        <f>IFERROR(100/'Skjema total MA'!F107*G107,0)</f>
        <v>80.018916647436868</v>
      </c>
      <c r="J107" s="287">
        <f t="shared" si="13"/>
        <v>601697.13809999998</v>
      </c>
      <c r="K107" s="44">
        <f t="shared" si="13"/>
        <v>754478.43851000001</v>
      </c>
      <c r="L107" s="254">
        <f t="shared" si="12"/>
        <v>25.4</v>
      </c>
      <c r="M107" s="27">
        <f>IFERROR(100/'Skjema total MA'!I107*K107,0)</f>
        <v>14.084387087028198</v>
      </c>
    </row>
    <row r="108" spans="1:13" ht="15.75" x14ac:dyDescent="0.2">
      <c r="A108" s="21" t="s">
        <v>384</v>
      </c>
      <c r="B108" s="234"/>
      <c r="C108" s="234"/>
      <c r="D108" s="166"/>
      <c r="E108" s="27"/>
      <c r="F108" s="234"/>
      <c r="G108" s="234"/>
      <c r="H108" s="166"/>
      <c r="I108" s="27"/>
      <c r="J108" s="287"/>
      <c r="K108" s="44"/>
      <c r="L108" s="254"/>
      <c r="M108" s="27"/>
    </row>
    <row r="109" spans="1:13" ht="15.75" x14ac:dyDescent="0.2">
      <c r="A109" s="21" t="s">
        <v>385</v>
      </c>
      <c r="B109" s="234"/>
      <c r="C109" s="234"/>
      <c r="D109" s="166"/>
      <c r="E109" s="27"/>
      <c r="F109" s="234">
        <v>432564.33708999999</v>
      </c>
      <c r="G109" s="234">
        <v>578831.15975999995</v>
      </c>
      <c r="H109" s="166">
        <f t="shared" si="10"/>
        <v>33.799999999999997</v>
      </c>
      <c r="I109" s="27">
        <f>IFERROR(100/'Skjema total MA'!F109*G109,0)</f>
        <v>0.48963789691719423</v>
      </c>
      <c r="J109" s="287">
        <f t="shared" si="13"/>
        <v>432564.33708999999</v>
      </c>
      <c r="K109" s="44">
        <f t="shared" si="13"/>
        <v>578831.15975999995</v>
      </c>
      <c r="L109" s="254">
        <f t="shared" si="12"/>
        <v>33.799999999999997</v>
      </c>
      <c r="M109" s="27">
        <f>IFERROR(100/'Skjema total MA'!I109*K109,0)</f>
        <v>0.48533977801946931</v>
      </c>
    </row>
    <row r="110" spans="1:13" ht="15.75" x14ac:dyDescent="0.2">
      <c r="A110" s="21" t="s">
        <v>386</v>
      </c>
      <c r="B110" s="234"/>
      <c r="C110" s="234"/>
      <c r="D110" s="166"/>
      <c r="E110" s="27"/>
      <c r="F110" s="234"/>
      <c r="G110" s="234"/>
      <c r="H110" s="166"/>
      <c r="I110" s="27"/>
      <c r="J110" s="287"/>
      <c r="K110" s="44"/>
      <c r="L110" s="254"/>
      <c r="M110" s="27"/>
    </row>
    <row r="111" spans="1:13" ht="15.75" x14ac:dyDescent="0.2">
      <c r="A111" s="13" t="s">
        <v>366</v>
      </c>
      <c r="B111" s="308"/>
      <c r="C111" s="159"/>
      <c r="D111" s="171"/>
      <c r="E111" s="11"/>
      <c r="F111" s="308">
        <v>62490.014000000003</v>
      </c>
      <c r="G111" s="159">
        <v>60441.641000000003</v>
      </c>
      <c r="H111" s="171">
        <f t="shared" si="10"/>
        <v>-3.3</v>
      </c>
      <c r="I111" s="11">
        <f>IFERROR(100/'Skjema total MA'!F111*G111,0)</f>
        <v>0.40991069631552207</v>
      </c>
      <c r="J111" s="309">
        <f t="shared" si="13"/>
        <v>62490.014000000003</v>
      </c>
      <c r="K111" s="236">
        <f t="shared" si="13"/>
        <v>60441.641000000003</v>
      </c>
      <c r="L111" s="428">
        <f t="shared" si="12"/>
        <v>-3.3</v>
      </c>
      <c r="M111" s="11">
        <f>IFERROR(100/'Skjema total MA'!I111*K111,0)</f>
        <v>0.39223294099158795</v>
      </c>
    </row>
    <row r="112" spans="1:13" x14ac:dyDescent="0.2">
      <c r="A112" s="21" t="s">
        <v>9</v>
      </c>
      <c r="B112" s="234"/>
      <c r="C112" s="145"/>
      <c r="D112" s="166"/>
      <c r="E112" s="27"/>
      <c r="F112" s="234"/>
      <c r="G112" s="145"/>
      <c r="H112" s="166"/>
      <c r="I112" s="27"/>
      <c r="J112" s="287"/>
      <c r="K112" s="44"/>
      <c r="L112" s="254"/>
      <c r="M112" s="27"/>
    </row>
    <row r="113" spans="1:14" x14ac:dyDescent="0.2">
      <c r="A113" s="21" t="s">
        <v>10</v>
      </c>
      <c r="B113" s="234"/>
      <c r="C113" s="145"/>
      <c r="D113" s="166"/>
      <c r="E113" s="27"/>
      <c r="F113" s="234">
        <v>62490.014000000003</v>
      </c>
      <c r="G113" s="145">
        <v>60441.641000000003</v>
      </c>
      <c r="H113" s="166">
        <f t="shared" ref="H113:H125" si="14">IF(F113=0, "    ---- ", IF(ABS(ROUND(100/F113*G113-100,1))&lt;999,ROUND(100/F113*G113-100,1),IF(ROUND(100/F113*G113-100,1)&gt;999,999,-999)))</f>
        <v>-3.3</v>
      </c>
      <c r="I113" s="27">
        <f>IFERROR(100/'Skjema total MA'!F113*G113,0)</f>
        <v>0.4119539290298086</v>
      </c>
      <c r="J113" s="287">
        <f t="shared" ref="J113:K125" si="15">SUM(B113,F113)</f>
        <v>62490.014000000003</v>
      </c>
      <c r="K113" s="44">
        <f t="shared" si="15"/>
        <v>60441.641000000003</v>
      </c>
      <c r="L113" s="254">
        <f t="shared" ref="L113:L125" si="16">IF(J113=0, "    ---- ", IF(ABS(ROUND(100/J113*K113-100,1))&lt;999,ROUND(100/J113*K113-100,1),IF(ROUND(100/J113*K113-100,1)&gt;999,999,-999)))</f>
        <v>-3.3</v>
      </c>
      <c r="M113" s="27">
        <f>IFERROR(100/'Skjema total MA'!I113*K113,0)</f>
        <v>0.4118109059273013</v>
      </c>
    </row>
    <row r="114" spans="1:14" x14ac:dyDescent="0.2">
      <c r="A114" s="21" t="s">
        <v>26</v>
      </c>
      <c r="B114" s="234"/>
      <c r="C114" s="145"/>
      <c r="D114" s="166"/>
      <c r="E114" s="27"/>
      <c r="F114" s="234"/>
      <c r="G114" s="145"/>
      <c r="H114" s="166"/>
      <c r="I114" s="27"/>
      <c r="J114" s="287"/>
      <c r="K114" s="44"/>
      <c r="L114" s="254"/>
      <c r="M114" s="27"/>
    </row>
    <row r="115" spans="1:14" x14ac:dyDescent="0.2">
      <c r="A115" s="296" t="s">
        <v>15</v>
      </c>
      <c r="B115" s="294"/>
      <c r="C115" s="295"/>
      <c r="D115" s="166"/>
      <c r="E115" s="417"/>
      <c r="F115" s="294"/>
      <c r="G115" s="295"/>
      <c r="H115" s="166"/>
      <c r="I115" s="417"/>
      <c r="J115" s="294"/>
      <c r="K115" s="295"/>
      <c r="L115" s="166"/>
      <c r="M115" s="23"/>
    </row>
    <row r="116" spans="1:14" ht="15.75" x14ac:dyDescent="0.2">
      <c r="A116" s="21" t="s">
        <v>387</v>
      </c>
      <c r="B116" s="234"/>
      <c r="C116" s="234"/>
      <c r="D116" s="166"/>
      <c r="E116" s="27"/>
      <c r="F116" s="234"/>
      <c r="G116" s="234"/>
      <c r="H116" s="166"/>
      <c r="I116" s="27"/>
      <c r="J116" s="287"/>
      <c r="K116" s="44"/>
      <c r="L116" s="254"/>
      <c r="M116" s="27"/>
    </row>
    <row r="117" spans="1:14" ht="15.75" x14ac:dyDescent="0.2">
      <c r="A117" s="21" t="s">
        <v>388</v>
      </c>
      <c r="B117" s="234"/>
      <c r="C117" s="234"/>
      <c r="D117" s="166"/>
      <c r="E117" s="27"/>
      <c r="F117" s="234">
        <v>62490.014000000003</v>
      </c>
      <c r="G117" s="234">
        <v>60441.641000000003</v>
      </c>
      <c r="H117" s="166">
        <f t="shared" si="14"/>
        <v>-3.3</v>
      </c>
      <c r="I117" s="27">
        <f>IFERROR(100/'Skjema total MA'!F117*G117,0)</f>
        <v>2.5520564308643898</v>
      </c>
      <c r="J117" s="287">
        <f t="shared" si="15"/>
        <v>62490.014000000003</v>
      </c>
      <c r="K117" s="44">
        <f t="shared" si="15"/>
        <v>60441.641000000003</v>
      </c>
      <c r="L117" s="254">
        <f t="shared" si="16"/>
        <v>-3.3</v>
      </c>
      <c r="M117" s="27">
        <f>IFERROR(100/'Skjema total MA'!I117*K117,0)</f>
        <v>2.5520564308643898</v>
      </c>
    </row>
    <row r="118" spans="1:14" ht="15.75" x14ac:dyDescent="0.2">
      <c r="A118" s="21" t="s">
        <v>386</v>
      </c>
      <c r="B118" s="234"/>
      <c r="C118" s="234"/>
      <c r="D118" s="166"/>
      <c r="E118" s="27"/>
      <c r="F118" s="234"/>
      <c r="G118" s="234"/>
      <c r="H118" s="166"/>
      <c r="I118" s="27"/>
      <c r="J118" s="287"/>
      <c r="K118" s="44"/>
      <c r="L118" s="254"/>
      <c r="M118" s="27"/>
    </row>
    <row r="119" spans="1:14" ht="15.75" x14ac:dyDescent="0.2">
      <c r="A119" s="13" t="s">
        <v>367</v>
      </c>
      <c r="B119" s="308"/>
      <c r="C119" s="159"/>
      <c r="D119" s="171"/>
      <c r="E119" s="11"/>
      <c r="F119" s="308">
        <v>5073.1112300000004</v>
      </c>
      <c r="G119" s="159">
        <v>6985.1043099999997</v>
      </c>
      <c r="H119" s="171">
        <f t="shared" si="14"/>
        <v>37.700000000000003</v>
      </c>
      <c r="I119" s="11">
        <f>IFERROR(100/'Skjema total MA'!F119*G119,0)</f>
        <v>4.7628053728982045E-2</v>
      </c>
      <c r="J119" s="309">
        <f t="shared" si="15"/>
        <v>5073.1112300000004</v>
      </c>
      <c r="K119" s="236">
        <f t="shared" si="15"/>
        <v>6985.1043099999997</v>
      </c>
      <c r="L119" s="428">
        <f t="shared" si="16"/>
        <v>37.700000000000003</v>
      </c>
      <c r="M119" s="11">
        <f>IFERROR(100/'Skjema total MA'!I119*K119,0)</f>
        <v>4.5354694609865472E-2</v>
      </c>
    </row>
    <row r="120" spans="1:14" x14ac:dyDescent="0.2">
      <c r="A120" s="21" t="s">
        <v>9</v>
      </c>
      <c r="B120" s="234"/>
      <c r="C120" s="145"/>
      <c r="D120" s="166"/>
      <c r="E120" s="27"/>
      <c r="F120" s="234"/>
      <c r="G120" s="145"/>
      <c r="H120" s="166"/>
      <c r="I120" s="27"/>
      <c r="J120" s="287"/>
      <c r="K120" s="44"/>
      <c r="L120" s="254"/>
      <c r="M120" s="27"/>
    </row>
    <row r="121" spans="1:14" x14ac:dyDescent="0.2">
      <c r="A121" s="21" t="s">
        <v>10</v>
      </c>
      <c r="B121" s="234"/>
      <c r="C121" s="145"/>
      <c r="D121" s="166"/>
      <c r="E121" s="27"/>
      <c r="F121" s="234">
        <v>5073.1112300000004</v>
      </c>
      <c r="G121" s="145">
        <v>6985.1043099999997</v>
      </c>
      <c r="H121" s="166">
        <f t="shared" si="14"/>
        <v>37.700000000000003</v>
      </c>
      <c r="I121" s="27">
        <f>IFERROR(100/'Skjema total MA'!F121*G121,0)</f>
        <v>4.7628053728982045E-2</v>
      </c>
      <c r="J121" s="287">
        <f t="shared" si="15"/>
        <v>5073.1112300000004</v>
      </c>
      <c r="K121" s="44">
        <f t="shared" si="15"/>
        <v>6985.1043099999997</v>
      </c>
      <c r="L121" s="254">
        <f t="shared" si="16"/>
        <v>37.700000000000003</v>
      </c>
      <c r="M121" s="27">
        <f>IFERROR(100/'Skjema total MA'!I121*K121,0)</f>
        <v>4.7610179188619199E-2</v>
      </c>
    </row>
    <row r="122" spans="1:14" x14ac:dyDescent="0.2">
      <c r="A122" s="21" t="s">
        <v>26</v>
      </c>
      <c r="B122" s="234"/>
      <c r="C122" s="145"/>
      <c r="D122" s="166"/>
      <c r="E122" s="27"/>
      <c r="F122" s="234"/>
      <c r="G122" s="145"/>
      <c r="H122" s="166"/>
      <c r="I122" s="27"/>
      <c r="J122" s="287"/>
      <c r="K122" s="44"/>
      <c r="L122" s="254"/>
      <c r="M122" s="27"/>
    </row>
    <row r="123" spans="1:14" x14ac:dyDescent="0.2">
      <c r="A123" s="296" t="s">
        <v>14</v>
      </c>
      <c r="B123" s="294"/>
      <c r="C123" s="295"/>
      <c r="D123" s="166"/>
      <c r="E123" s="417"/>
      <c r="F123" s="294"/>
      <c r="G123" s="295"/>
      <c r="H123" s="166"/>
      <c r="I123" s="417"/>
      <c r="J123" s="294"/>
      <c r="K123" s="295"/>
      <c r="L123" s="166"/>
      <c r="M123" s="23"/>
    </row>
    <row r="124" spans="1:14" ht="15.75" x14ac:dyDescent="0.2">
      <c r="A124" s="21" t="s">
        <v>393</v>
      </c>
      <c r="B124" s="234"/>
      <c r="C124" s="234"/>
      <c r="D124" s="166"/>
      <c r="E124" s="27"/>
      <c r="F124" s="234"/>
      <c r="G124" s="234"/>
      <c r="H124" s="166"/>
      <c r="I124" s="27"/>
      <c r="J124" s="287"/>
      <c r="K124" s="44"/>
      <c r="L124" s="254"/>
      <c r="M124" s="27"/>
    </row>
    <row r="125" spans="1:14" ht="15.75" x14ac:dyDescent="0.2">
      <c r="A125" s="21" t="s">
        <v>385</v>
      </c>
      <c r="B125" s="234"/>
      <c r="C125" s="234"/>
      <c r="D125" s="166"/>
      <c r="E125" s="27"/>
      <c r="F125" s="234">
        <v>5073.1112300000004</v>
      </c>
      <c r="G125" s="234">
        <v>6985.1043099999997</v>
      </c>
      <c r="H125" s="166">
        <f t="shared" si="14"/>
        <v>37.700000000000003</v>
      </c>
      <c r="I125" s="27">
        <f>IFERROR(100/'Skjema total MA'!F125*G125,0)</f>
        <v>0.26649837961857964</v>
      </c>
      <c r="J125" s="287">
        <f t="shared" si="15"/>
        <v>5073.1112300000004</v>
      </c>
      <c r="K125" s="44">
        <f t="shared" si="15"/>
        <v>6985.1043099999997</v>
      </c>
      <c r="L125" s="254">
        <f t="shared" si="16"/>
        <v>37.700000000000003</v>
      </c>
      <c r="M125" s="27">
        <f>IFERROR(100/'Skjema total MA'!I125*K125,0)</f>
        <v>0.26635945698263463</v>
      </c>
    </row>
    <row r="126" spans="1:14" ht="15.75" x14ac:dyDescent="0.2">
      <c r="A126" s="10" t="s">
        <v>386</v>
      </c>
      <c r="B126" s="45"/>
      <c r="C126" s="45"/>
      <c r="D126" s="167"/>
      <c r="E126" s="418"/>
      <c r="F126" s="45"/>
      <c r="G126" s="45"/>
      <c r="H126" s="167"/>
      <c r="I126" s="22"/>
      <c r="J126" s="288"/>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35"/>
      <c r="C130" s="735"/>
      <c r="D130" s="735"/>
      <c r="E130" s="299"/>
      <c r="F130" s="735"/>
      <c r="G130" s="735"/>
      <c r="H130" s="735"/>
      <c r="I130" s="299"/>
      <c r="J130" s="735"/>
      <c r="K130" s="735"/>
      <c r="L130" s="735"/>
      <c r="M130" s="299"/>
    </row>
    <row r="131" spans="1:14" s="3" customFormat="1" x14ac:dyDescent="0.2">
      <c r="A131" s="144"/>
      <c r="B131" s="733" t="s">
        <v>0</v>
      </c>
      <c r="C131" s="734"/>
      <c r="D131" s="734"/>
      <c r="E131" s="301"/>
      <c r="F131" s="733" t="s">
        <v>1</v>
      </c>
      <c r="G131" s="734"/>
      <c r="H131" s="734"/>
      <c r="I131" s="304"/>
      <c r="J131" s="733" t="s">
        <v>2</v>
      </c>
      <c r="K131" s="734"/>
      <c r="L131" s="734"/>
      <c r="M131" s="304"/>
      <c r="N131" s="148"/>
    </row>
    <row r="132" spans="1:14" s="3" customFormat="1" x14ac:dyDescent="0.2">
      <c r="A132" s="140"/>
      <c r="B132" s="152" t="s">
        <v>421</v>
      </c>
      <c r="C132" s="152" t="s">
        <v>422</v>
      </c>
      <c r="D132" s="245" t="s">
        <v>3</v>
      </c>
      <c r="E132" s="305" t="s">
        <v>29</v>
      </c>
      <c r="F132" s="152" t="s">
        <v>421</v>
      </c>
      <c r="G132" s="152" t="s">
        <v>422</v>
      </c>
      <c r="H132" s="206" t="s">
        <v>3</v>
      </c>
      <c r="I132" s="162" t="s">
        <v>29</v>
      </c>
      <c r="J132" s="152" t="s">
        <v>421</v>
      </c>
      <c r="K132" s="152" t="s">
        <v>422</v>
      </c>
      <c r="L132" s="246" t="s">
        <v>3</v>
      </c>
      <c r="M132" s="162" t="s">
        <v>29</v>
      </c>
      <c r="N132" s="148"/>
    </row>
    <row r="133" spans="1:14" s="3" customFormat="1" x14ac:dyDescent="0.2">
      <c r="A133" s="708"/>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389</v>
      </c>
      <c r="B134" s="236"/>
      <c r="C134" s="309"/>
      <c r="D134" s="350"/>
      <c r="E134" s="11"/>
      <c r="F134" s="316"/>
      <c r="G134" s="317"/>
      <c r="H134" s="431"/>
      <c r="I134" s="24"/>
      <c r="J134" s="318"/>
      <c r="K134" s="318"/>
      <c r="L134" s="427"/>
      <c r="M134" s="11"/>
      <c r="N134" s="148"/>
    </row>
    <row r="135" spans="1:14" s="3" customFormat="1" ht="15.75" x14ac:dyDescent="0.2">
      <c r="A135" s="13" t="s">
        <v>394</v>
      </c>
      <c r="B135" s="236"/>
      <c r="C135" s="309"/>
      <c r="D135" s="171"/>
      <c r="E135" s="11"/>
      <c r="F135" s="236"/>
      <c r="G135" s="309"/>
      <c r="H135" s="432"/>
      <c r="I135" s="24"/>
      <c r="J135" s="308"/>
      <c r="K135" s="308"/>
      <c r="L135" s="428"/>
      <c r="M135" s="11"/>
      <c r="N135" s="148"/>
    </row>
    <row r="136" spans="1:14" s="3" customFormat="1" ht="15.75" x14ac:dyDescent="0.2">
      <c r="A136" s="13" t="s">
        <v>391</v>
      </c>
      <c r="B136" s="236"/>
      <c r="C136" s="309"/>
      <c r="D136" s="171"/>
      <c r="E136" s="11"/>
      <c r="F136" s="236"/>
      <c r="G136" s="309"/>
      <c r="H136" s="432"/>
      <c r="I136" s="24"/>
      <c r="J136" s="308"/>
      <c r="K136" s="308"/>
      <c r="L136" s="428"/>
      <c r="M136" s="11"/>
      <c r="N136" s="148"/>
    </row>
    <row r="137" spans="1:14" s="3" customFormat="1" ht="15.75" x14ac:dyDescent="0.2">
      <c r="A137" s="41" t="s">
        <v>392</v>
      </c>
      <c r="B137" s="276"/>
      <c r="C137" s="315"/>
      <c r="D137" s="169"/>
      <c r="E137" s="9"/>
      <c r="F137" s="276"/>
      <c r="G137" s="315"/>
      <c r="H137" s="433"/>
      <c r="I137" s="36"/>
      <c r="J137" s="314"/>
      <c r="K137" s="314"/>
      <c r="L137" s="429"/>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268" priority="132">
      <formula>kvartal &lt; 4</formula>
    </cfRule>
  </conditionalFormatting>
  <conditionalFormatting sqref="A50:A52">
    <cfRule type="expression" dxfId="267" priority="12">
      <formula>kvartal &lt; 4</formula>
    </cfRule>
  </conditionalFormatting>
  <conditionalFormatting sqref="A69:A74">
    <cfRule type="expression" dxfId="266" priority="10">
      <formula>kvartal &lt; 4</formula>
    </cfRule>
  </conditionalFormatting>
  <conditionalFormatting sqref="A80:A85">
    <cfRule type="expression" dxfId="265" priority="9">
      <formula>kvartal &lt; 4</formula>
    </cfRule>
  </conditionalFormatting>
  <conditionalFormatting sqref="A90:A95">
    <cfRule type="expression" dxfId="264" priority="6">
      <formula>kvartal &lt; 4</formula>
    </cfRule>
  </conditionalFormatting>
  <conditionalFormatting sqref="A101:A106">
    <cfRule type="expression" dxfId="263" priority="5">
      <formula>kvartal &lt; 4</formula>
    </cfRule>
  </conditionalFormatting>
  <conditionalFormatting sqref="A115">
    <cfRule type="expression" dxfId="262" priority="4">
      <formula>kvartal &lt; 4</formula>
    </cfRule>
  </conditionalFormatting>
  <conditionalFormatting sqref="A123">
    <cfRule type="expression" dxfId="261" priority="3">
      <formula>kvartal &lt; 4</formula>
    </cfRule>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29"/>
  <dimension ref="A1:N144"/>
  <sheetViews>
    <sheetView showGridLines="0" zoomScaleNormal="100" workbookViewId="0">
      <selection activeCell="A3" sqref="A3"/>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135</v>
      </c>
      <c r="B1" s="709"/>
      <c r="C1" s="248" t="s">
        <v>132</v>
      </c>
      <c r="D1" s="26"/>
      <c r="E1" s="26"/>
      <c r="F1" s="26"/>
      <c r="G1" s="26"/>
      <c r="H1" s="26"/>
      <c r="I1" s="26"/>
      <c r="J1" s="26"/>
      <c r="K1" s="26"/>
      <c r="L1" s="26"/>
      <c r="M1" s="26"/>
    </row>
    <row r="2" spans="1:14" ht="15.75" x14ac:dyDescent="0.25">
      <c r="A2" s="165" t="s">
        <v>28</v>
      </c>
      <c r="B2" s="732"/>
      <c r="C2" s="732"/>
      <c r="D2" s="732"/>
      <c r="E2" s="299"/>
      <c r="F2" s="732"/>
      <c r="G2" s="732"/>
      <c r="H2" s="732"/>
      <c r="I2" s="299"/>
      <c r="J2" s="732"/>
      <c r="K2" s="732"/>
      <c r="L2" s="732"/>
      <c r="M2" s="299"/>
    </row>
    <row r="3" spans="1:14" ht="15.75" x14ac:dyDescent="0.25">
      <c r="A3" s="163"/>
      <c r="B3" s="299"/>
      <c r="C3" s="299"/>
      <c r="D3" s="299"/>
      <c r="E3" s="299"/>
      <c r="F3" s="299"/>
      <c r="G3" s="299"/>
      <c r="H3" s="299"/>
      <c r="I3" s="299"/>
      <c r="J3" s="299"/>
      <c r="K3" s="299"/>
      <c r="L3" s="299"/>
      <c r="M3" s="299"/>
    </row>
    <row r="4" spans="1:14" x14ac:dyDescent="0.2">
      <c r="A4" s="144"/>
      <c r="B4" s="733" t="s">
        <v>0</v>
      </c>
      <c r="C4" s="734"/>
      <c r="D4" s="734"/>
      <c r="E4" s="301"/>
      <c r="F4" s="733" t="s">
        <v>1</v>
      </c>
      <c r="G4" s="734"/>
      <c r="H4" s="734"/>
      <c r="I4" s="304"/>
      <c r="J4" s="733" t="s">
        <v>2</v>
      </c>
      <c r="K4" s="734"/>
      <c r="L4" s="734"/>
      <c r="M4" s="304"/>
    </row>
    <row r="5" spans="1:14" x14ac:dyDescent="0.2">
      <c r="A5" s="158"/>
      <c r="B5" s="152" t="s">
        <v>421</v>
      </c>
      <c r="C5" s="152" t="s">
        <v>422</v>
      </c>
      <c r="D5" s="245" t="s">
        <v>3</v>
      </c>
      <c r="E5" s="305" t="s">
        <v>29</v>
      </c>
      <c r="F5" s="152" t="s">
        <v>421</v>
      </c>
      <c r="G5" s="152" t="s">
        <v>422</v>
      </c>
      <c r="H5" s="245" t="s">
        <v>3</v>
      </c>
      <c r="I5" s="162" t="s">
        <v>29</v>
      </c>
      <c r="J5" s="152" t="s">
        <v>421</v>
      </c>
      <c r="K5" s="152" t="s">
        <v>422</v>
      </c>
      <c r="L5" s="245" t="s">
        <v>3</v>
      </c>
      <c r="M5" s="162" t="s">
        <v>29</v>
      </c>
    </row>
    <row r="6" spans="1:14" x14ac:dyDescent="0.2">
      <c r="A6" s="707"/>
      <c r="B6" s="156"/>
      <c r="C6" s="156"/>
      <c r="D6" s="246" t="s">
        <v>4</v>
      </c>
      <c r="E6" s="156" t="s">
        <v>30</v>
      </c>
      <c r="F6" s="161"/>
      <c r="G6" s="161"/>
      <c r="H6" s="245" t="s">
        <v>4</v>
      </c>
      <c r="I6" s="156" t="s">
        <v>30</v>
      </c>
      <c r="J6" s="161"/>
      <c r="K6" s="161"/>
      <c r="L6" s="245" t="s">
        <v>4</v>
      </c>
      <c r="M6" s="156" t="s">
        <v>30</v>
      </c>
    </row>
    <row r="7" spans="1:14" ht="15.75" x14ac:dyDescent="0.2">
      <c r="A7" s="14" t="s">
        <v>23</v>
      </c>
      <c r="B7" s="306">
        <v>678425.43463999999</v>
      </c>
      <c r="C7" s="307">
        <v>4370.1460100000004</v>
      </c>
      <c r="D7" s="350">
        <f>IF(B7=0, "    ---- ", IF(ABS(ROUND(100/B7*C7-100,1))&lt;999,ROUND(100/B7*C7-100,1),IF(ROUND(100/B7*C7-100,1)&gt;999,999,-999)))</f>
        <v>-99.4</v>
      </c>
      <c r="E7" s="11">
        <f>IFERROR(100/'Skjema total MA'!C7*C7,0)</f>
        <v>0.1184301487099462</v>
      </c>
      <c r="F7" s="306">
        <v>299126.386</v>
      </c>
      <c r="G7" s="307">
        <v>336595.14861999999</v>
      </c>
      <c r="H7" s="350">
        <f>IF(F7=0, "    ---- ", IF(ABS(ROUND(100/F7*G7-100,1))&lt;999,ROUND(100/F7*G7-100,1),IF(ROUND(100/F7*G7-100,1)&gt;999,999,-999)))</f>
        <v>12.5</v>
      </c>
      <c r="I7" s="160">
        <f>IFERROR(100/'Skjema total MA'!F7*G7,0)</f>
        <v>4.8754261528133069</v>
      </c>
      <c r="J7" s="308">
        <f t="shared" ref="J7:K12" si="0">SUM(B7,F7)</f>
        <v>977551.82064000005</v>
      </c>
      <c r="K7" s="309">
        <f t="shared" si="0"/>
        <v>340965.29463000002</v>
      </c>
      <c r="L7" s="427">
        <f>IF(J7=0, "    ---- ", IF(ABS(ROUND(100/J7*K7-100,1))&lt;999,ROUND(100/J7*K7-100,1),IF(ROUND(100/J7*K7-100,1)&gt;999,999,-999)))</f>
        <v>-65.099999999999994</v>
      </c>
      <c r="M7" s="11">
        <f>IFERROR(100/'Skjema total MA'!I7*K7,0)</f>
        <v>3.2184832673163482</v>
      </c>
    </row>
    <row r="8" spans="1:14" ht="15.75" x14ac:dyDescent="0.2">
      <c r="A8" s="21" t="s">
        <v>25</v>
      </c>
      <c r="B8" s="281">
        <v>608603.04417916096</v>
      </c>
      <c r="C8" s="282">
        <v>4552.44038</v>
      </c>
      <c r="D8" s="166">
        <f t="shared" ref="D8:D10" si="1">IF(B8=0, "    ---- ", IF(ABS(ROUND(100/B8*C8-100,1))&lt;999,ROUND(100/B8*C8-100,1),IF(ROUND(100/B8*C8-100,1)&gt;999,999,-999)))</f>
        <v>-99.3</v>
      </c>
      <c r="E8" s="27">
        <f>IFERROR(100/'Skjema total MA'!C8*C8,0)</f>
        <v>0.18818526857405174</v>
      </c>
      <c r="F8" s="285"/>
      <c r="G8" s="286"/>
      <c r="H8" s="166"/>
      <c r="I8" s="175"/>
      <c r="J8" s="234">
        <f t="shared" si="0"/>
        <v>608603.04417916096</v>
      </c>
      <c r="K8" s="287">
        <f t="shared" si="0"/>
        <v>4552.44038</v>
      </c>
      <c r="L8" s="166">
        <f t="shared" ref="L8:L9" si="2">IF(J8=0, "    ---- ", IF(ABS(ROUND(100/J8*K8-100,1))&lt;999,ROUND(100/J8*K8-100,1),IF(ROUND(100/J8*K8-100,1)&gt;999,999,-999)))</f>
        <v>-99.3</v>
      </c>
      <c r="M8" s="27">
        <f>IFERROR(100/'Skjema total MA'!I8*K8,0)</f>
        <v>0.18818526857405174</v>
      </c>
    </row>
    <row r="9" spans="1:14" ht="15.75" x14ac:dyDescent="0.2">
      <c r="A9" s="21" t="s">
        <v>24</v>
      </c>
      <c r="B9" s="281">
        <v>70955.091011012206</v>
      </c>
      <c r="C9" s="282">
        <v>1863.65787</v>
      </c>
      <c r="D9" s="166">
        <f t="shared" si="1"/>
        <v>-97.4</v>
      </c>
      <c r="E9" s="27">
        <f>IFERROR(100/'Skjema total MA'!C9*C9,0)</f>
        <v>0.24702583801894085</v>
      </c>
      <c r="F9" s="285"/>
      <c r="G9" s="286"/>
      <c r="H9" s="166"/>
      <c r="I9" s="175"/>
      <c r="J9" s="234">
        <f t="shared" si="0"/>
        <v>70955.091011012206</v>
      </c>
      <c r="K9" s="287">
        <f t="shared" si="0"/>
        <v>1863.65787</v>
      </c>
      <c r="L9" s="166">
        <f t="shared" si="2"/>
        <v>-97.4</v>
      </c>
      <c r="M9" s="27">
        <f>IFERROR(100/'Skjema total MA'!I9*K9,0)</f>
        <v>0.24702583801894085</v>
      </c>
    </row>
    <row r="10" spans="1:14" ht="15.75" x14ac:dyDescent="0.2">
      <c r="A10" s="13" t="s">
        <v>365</v>
      </c>
      <c r="B10" s="310">
        <v>832826.10377000005</v>
      </c>
      <c r="C10" s="311">
        <v>431128.21851999999</v>
      </c>
      <c r="D10" s="171">
        <f t="shared" si="1"/>
        <v>-48.2</v>
      </c>
      <c r="E10" s="11">
        <f>IFERROR(100/'Skjema total MA'!C10*C10,0)</f>
        <v>2.3911573605856007</v>
      </c>
      <c r="F10" s="310">
        <v>2509548.1102300002</v>
      </c>
      <c r="G10" s="311">
        <v>2955787.28767</v>
      </c>
      <c r="H10" s="171">
        <f t="shared" ref="H10:H12" si="3">IF(F10=0, "    ---- ", IF(ABS(ROUND(100/F10*G10-100,1))&lt;999,ROUND(100/F10*G10-100,1),IF(ROUND(100/F10*G10-100,1)&gt;999,999,-999)))</f>
        <v>17.8</v>
      </c>
      <c r="I10" s="160">
        <f>IFERROR(100/'Skjema total MA'!F10*G10,0)</f>
        <v>5.3358438468488947</v>
      </c>
      <c r="J10" s="308">
        <f t="shared" si="0"/>
        <v>3342374.2140000002</v>
      </c>
      <c r="K10" s="309">
        <f t="shared" si="0"/>
        <v>3386915.5061900001</v>
      </c>
      <c r="L10" s="428">
        <f t="shared" ref="L10:L12" si="4">IF(J10=0, "    ---- ", IF(ABS(ROUND(100/J10*K10-100,1))&lt;999,ROUND(100/J10*K10-100,1),IF(ROUND(100/J10*K10-100,1)&gt;999,999,-999)))</f>
        <v>1.3</v>
      </c>
      <c r="M10" s="11">
        <f>IFERROR(100/'Skjema total MA'!I10*K10,0)</f>
        <v>4.6127525270089071</v>
      </c>
    </row>
    <row r="11" spans="1:14" s="43" customFormat="1" ht="15.75" x14ac:dyDescent="0.2">
      <c r="A11" s="13" t="s">
        <v>366</v>
      </c>
      <c r="B11" s="310"/>
      <c r="C11" s="311"/>
      <c r="D11" s="171"/>
      <c r="E11" s="11"/>
      <c r="F11" s="310">
        <v>22610.95448</v>
      </c>
      <c r="G11" s="311">
        <v>31238.995579999999</v>
      </c>
      <c r="H11" s="171">
        <f t="shared" si="3"/>
        <v>38.200000000000003</v>
      </c>
      <c r="I11" s="160">
        <f>IFERROR(100/'Skjema total MA'!F11*G11,0)</f>
        <v>12.057733208125361</v>
      </c>
      <c r="J11" s="308">
        <f t="shared" si="0"/>
        <v>22610.95448</v>
      </c>
      <c r="K11" s="309">
        <f t="shared" si="0"/>
        <v>31238.995579999999</v>
      </c>
      <c r="L11" s="428">
        <f t="shared" si="4"/>
        <v>38.200000000000003</v>
      </c>
      <c r="M11" s="11">
        <f>IFERROR(100/'Skjema total MA'!I11*K11,0)</f>
        <v>10.807265199688848</v>
      </c>
      <c r="N11" s="143"/>
    </row>
    <row r="12" spans="1:14" s="43" customFormat="1" ht="15.75" x14ac:dyDescent="0.2">
      <c r="A12" s="41" t="s">
        <v>367</v>
      </c>
      <c r="B12" s="312"/>
      <c r="C12" s="313"/>
      <c r="D12" s="169"/>
      <c r="E12" s="36"/>
      <c r="F12" s="312">
        <v>15812.48402</v>
      </c>
      <c r="G12" s="313">
        <v>9440.4771400000009</v>
      </c>
      <c r="H12" s="169">
        <f t="shared" si="3"/>
        <v>-40.299999999999997</v>
      </c>
      <c r="I12" s="169">
        <f>IFERROR(100/'Skjema total MA'!F12*G12,0)</f>
        <v>4.800462700372746</v>
      </c>
      <c r="J12" s="314">
        <f t="shared" si="0"/>
        <v>15812.48402</v>
      </c>
      <c r="K12" s="315">
        <f t="shared" si="0"/>
        <v>9440.4771400000009</v>
      </c>
      <c r="L12" s="429">
        <f t="shared" si="4"/>
        <v>-40.299999999999997</v>
      </c>
      <c r="M12" s="36">
        <f>IFERROR(100/'Skjema total MA'!I12*K12,0)</f>
        <v>4.7426082654016595</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275</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272</v>
      </c>
      <c r="B17" s="157"/>
      <c r="C17" s="157"/>
      <c r="D17" s="151"/>
      <c r="E17" s="151"/>
      <c r="F17" s="157"/>
      <c r="G17" s="157"/>
      <c r="H17" s="157"/>
      <c r="I17" s="157"/>
      <c r="J17" s="157"/>
      <c r="K17" s="157"/>
      <c r="L17" s="157"/>
      <c r="M17" s="157"/>
    </row>
    <row r="18" spans="1:14" ht="15.75" x14ac:dyDescent="0.25">
      <c r="B18" s="735"/>
      <c r="C18" s="735"/>
      <c r="D18" s="735"/>
      <c r="E18" s="299"/>
      <c r="F18" s="735"/>
      <c r="G18" s="735"/>
      <c r="H18" s="735"/>
      <c r="I18" s="299"/>
      <c r="J18" s="735"/>
      <c r="K18" s="735"/>
      <c r="L18" s="735"/>
      <c r="M18" s="299"/>
    </row>
    <row r="19" spans="1:14" x14ac:dyDescent="0.2">
      <c r="A19" s="144"/>
      <c r="B19" s="733" t="s">
        <v>0</v>
      </c>
      <c r="C19" s="734"/>
      <c r="D19" s="734"/>
      <c r="E19" s="301"/>
      <c r="F19" s="733" t="s">
        <v>1</v>
      </c>
      <c r="G19" s="734"/>
      <c r="H19" s="734"/>
      <c r="I19" s="304"/>
      <c r="J19" s="733" t="s">
        <v>2</v>
      </c>
      <c r="K19" s="734"/>
      <c r="L19" s="734"/>
      <c r="M19" s="304"/>
    </row>
    <row r="20" spans="1:14" x14ac:dyDescent="0.2">
      <c r="A20" s="140" t="s">
        <v>5</v>
      </c>
      <c r="B20" s="152" t="s">
        <v>421</v>
      </c>
      <c r="C20" s="152" t="s">
        <v>422</v>
      </c>
      <c r="D20" s="162" t="s">
        <v>3</v>
      </c>
      <c r="E20" s="305" t="s">
        <v>29</v>
      </c>
      <c r="F20" s="152" t="s">
        <v>421</v>
      </c>
      <c r="G20" s="152" t="s">
        <v>422</v>
      </c>
      <c r="H20" s="162" t="s">
        <v>3</v>
      </c>
      <c r="I20" s="162" t="s">
        <v>29</v>
      </c>
      <c r="J20" s="152" t="s">
        <v>421</v>
      </c>
      <c r="K20" s="152" t="s">
        <v>422</v>
      </c>
      <c r="L20" s="162" t="s">
        <v>3</v>
      </c>
      <c r="M20" s="162" t="s">
        <v>29</v>
      </c>
    </row>
    <row r="21" spans="1:14" x14ac:dyDescent="0.2">
      <c r="A21" s="708"/>
      <c r="B21" s="156"/>
      <c r="C21" s="156"/>
      <c r="D21" s="246" t="s">
        <v>4</v>
      </c>
      <c r="E21" s="156" t="s">
        <v>30</v>
      </c>
      <c r="F21" s="161"/>
      <c r="G21" s="161"/>
      <c r="H21" s="245" t="s">
        <v>4</v>
      </c>
      <c r="I21" s="156" t="s">
        <v>30</v>
      </c>
      <c r="J21" s="161"/>
      <c r="K21" s="161"/>
      <c r="L21" s="156" t="s">
        <v>4</v>
      </c>
      <c r="M21" s="156" t="s">
        <v>30</v>
      </c>
    </row>
    <row r="22" spans="1:14" ht="15.75" x14ac:dyDescent="0.2">
      <c r="A22" s="14" t="s">
        <v>23</v>
      </c>
      <c r="B22" s="310">
        <v>494587.55842000002</v>
      </c>
      <c r="C22" s="310">
        <v>3206.4993300000001</v>
      </c>
      <c r="D22" s="350">
        <f t="shared" ref="D22:D35" si="5">IF(B22=0, "    ---- ", IF(ABS(ROUND(100/B22*C22-100,1))&lt;999,ROUND(100/B22*C22-100,1),IF(ROUND(100/B22*C22-100,1)&gt;999,999,-999)))</f>
        <v>-99.4</v>
      </c>
      <c r="E22" s="11">
        <f>IFERROR(100/'Skjema total MA'!C22*C22,0)</f>
        <v>0.23955580470469121</v>
      </c>
      <c r="F22" s="318">
        <v>173999.4032</v>
      </c>
      <c r="G22" s="318">
        <v>197790.25784999999</v>
      </c>
      <c r="H22" s="350">
        <f t="shared" ref="H22:H35" si="6">IF(F22=0, "    ---- ", IF(ABS(ROUND(100/F22*G22-100,1))&lt;999,ROUND(100/F22*G22-100,1),IF(ROUND(100/F22*G22-100,1)&gt;999,999,-999)))</f>
        <v>13.7</v>
      </c>
      <c r="I22" s="11">
        <f>IFERROR(100/'Skjema total MA'!F22*G22,0)</f>
        <v>21.41325363570067</v>
      </c>
      <c r="J22" s="316">
        <f t="shared" ref="J22:K35" si="7">SUM(B22,F22)</f>
        <v>668586.96161999996</v>
      </c>
      <c r="K22" s="316">
        <f t="shared" si="7"/>
        <v>200996.75717999999</v>
      </c>
      <c r="L22" s="427">
        <f t="shared" ref="L22:L35" si="8">IF(J22=0, "    ---- ", IF(ABS(ROUND(100/J22*K22-100,1))&lt;999,ROUND(100/J22*K22-100,1),IF(ROUND(100/J22*K22-100,1)&gt;999,999,-999)))</f>
        <v>-69.900000000000006</v>
      </c>
      <c r="M22" s="24">
        <f>IFERROR(100/'Skjema total MA'!I22*K22,0)</f>
        <v>8.885011849519719</v>
      </c>
    </row>
    <row r="23" spans="1:14" ht="15.75" x14ac:dyDescent="0.2">
      <c r="A23" s="584" t="s">
        <v>368</v>
      </c>
      <c r="B23" s="281">
        <v>490680.94786747301</v>
      </c>
      <c r="C23" s="281">
        <v>3201.4153900000001</v>
      </c>
      <c r="D23" s="166">
        <f t="shared" si="5"/>
        <v>-99.3</v>
      </c>
      <c r="E23" s="11">
        <f>IFERROR(100/'Skjema total MA'!C23*C23,0)</f>
        <v>0.63844328683932128</v>
      </c>
      <c r="F23" s="290">
        <v>5706.0901599999997</v>
      </c>
      <c r="G23" s="290">
        <v>5198.8329299999996</v>
      </c>
      <c r="H23" s="166">
        <f t="shared" si="6"/>
        <v>-8.9</v>
      </c>
      <c r="I23" s="417">
        <f>IFERROR(100/'Skjema total MA'!F23*G23,0)</f>
        <v>4.3559808324098368</v>
      </c>
      <c r="J23" s="290">
        <f t="shared" ref="J23:J26" si="9">SUM(B23,F23)</f>
        <v>496387.03802747303</v>
      </c>
      <c r="K23" s="290">
        <f t="shared" ref="K23:K26" si="10">SUM(C23,G23)</f>
        <v>8400.2483199999988</v>
      </c>
      <c r="L23" s="166">
        <f t="shared" si="8"/>
        <v>-98.3</v>
      </c>
      <c r="M23" s="23">
        <f>IFERROR(100/'Skjema total MA'!I23*K23,0)</f>
        <v>1.3531542571004087</v>
      </c>
    </row>
    <row r="24" spans="1:14" ht="15.75" x14ac:dyDescent="0.2">
      <c r="A24" s="584" t="s">
        <v>369</v>
      </c>
      <c r="B24" s="281">
        <v>3906.6105525272901</v>
      </c>
      <c r="C24" s="281">
        <v>5.0839400000000001</v>
      </c>
      <c r="D24" s="166">
        <f t="shared" si="5"/>
        <v>-99.9</v>
      </c>
      <c r="E24" s="11">
        <f>IFERROR(100/'Skjema total MA'!C24*C24,0)</f>
        <v>2.0968356131007657E-2</v>
      </c>
      <c r="F24" s="290">
        <v>-1.1592500000000101</v>
      </c>
      <c r="G24" s="290">
        <v>430.88902000000002</v>
      </c>
      <c r="H24" s="166">
        <f t="shared" si="6"/>
        <v>-999</v>
      </c>
      <c r="I24" s="417">
        <f>IFERROR(100/'Skjema total MA'!F24*G24,0)</f>
        <v>44.384164175448838</v>
      </c>
      <c r="J24" s="290">
        <f t="shared" si="9"/>
        <v>3905.45130252729</v>
      </c>
      <c r="K24" s="290">
        <f t="shared" si="10"/>
        <v>435.97296</v>
      </c>
      <c r="L24" s="166">
        <f t="shared" si="8"/>
        <v>-88.8</v>
      </c>
      <c r="M24" s="23">
        <f>IFERROR(100/'Skjema total MA'!I24*K24,0)</f>
        <v>1.7289132355909183</v>
      </c>
    </row>
    <row r="25" spans="1:14" ht="15.75" x14ac:dyDescent="0.2">
      <c r="A25" s="584" t="s">
        <v>370</v>
      </c>
      <c r="B25" s="281"/>
      <c r="C25" s="281"/>
      <c r="D25" s="166"/>
      <c r="E25" s="11"/>
      <c r="F25" s="290">
        <v>6868.5986599999997</v>
      </c>
      <c r="G25" s="290">
        <v>6323.3941299999997</v>
      </c>
      <c r="H25" s="166">
        <f t="shared" si="6"/>
        <v>-7.9</v>
      </c>
      <c r="I25" s="417">
        <f>IFERROR(100/'Skjema total MA'!F25*G25,0)</f>
        <v>34.868874813930546</v>
      </c>
      <c r="J25" s="290">
        <f t="shared" si="9"/>
        <v>6868.5986599999997</v>
      </c>
      <c r="K25" s="290">
        <f t="shared" si="10"/>
        <v>6323.3941299999997</v>
      </c>
      <c r="L25" s="166">
        <f t="shared" si="8"/>
        <v>-7.9</v>
      </c>
      <c r="M25" s="23">
        <f>IFERROR(100/'Skjema total MA'!I25*K25,0)</f>
        <v>14.945642332371042</v>
      </c>
    </row>
    <row r="26" spans="1:14" ht="15.75" x14ac:dyDescent="0.2">
      <c r="A26" s="584" t="s">
        <v>371</v>
      </c>
      <c r="B26" s="281"/>
      <c r="C26" s="281"/>
      <c r="D26" s="166"/>
      <c r="E26" s="11"/>
      <c r="F26" s="290">
        <v>161425.87362999999</v>
      </c>
      <c r="G26" s="290">
        <v>185837.14176999999</v>
      </c>
      <c r="H26" s="166">
        <f t="shared" si="6"/>
        <v>15.1</v>
      </c>
      <c r="I26" s="417">
        <f>IFERROR(100/'Skjema total MA'!F26*G26,0)</f>
        <v>23.666690349156053</v>
      </c>
      <c r="J26" s="290">
        <f t="shared" si="9"/>
        <v>161425.87362999999</v>
      </c>
      <c r="K26" s="290">
        <f t="shared" si="10"/>
        <v>185837.14176999999</v>
      </c>
      <c r="L26" s="166">
        <f t="shared" si="8"/>
        <v>15.1</v>
      </c>
      <c r="M26" s="23">
        <f>IFERROR(100/'Skjema total MA'!I26*K26,0)</f>
        <v>23.666690349156053</v>
      </c>
    </row>
    <row r="27" spans="1:14" x14ac:dyDescent="0.2">
      <c r="A27" s="584" t="s">
        <v>11</v>
      </c>
      <c r="B27" s="281"/>
      <c r="C27" s="281"/>
      <c r="D27" s="166"/>
      <c r="E27" s="11"/>
      <c r="F27" s="290"/>
      <c r="G27" s="290"/>
      <c r="H27" s="166"/>
      <c r="I27" s="417"/>
      <c r="J27" s="290"/>
      <c r="K27" s="290"/>
      <c r="L27" s="166"/>
      <c r="M27" s="23"/>
    </row>
    <row r="28" spans="1:14" ht="15.75" x14ac:dyDescent="0.2">
      <c r="A28" s="49" t="s">
        <v>276</v>
      </c>
      <c r="B28" s="44">
        <v>414980.66503537999</v>
      </c>
      <c r="C28" s="287">
        <v>0</v>
      </c>
      <c r="D28" s="166">
        <f t="shared" si="5"/>
        <v>-100</v>
      </c>
      <c r="E28" s="11">
        <f>IFERROR(100/'Skjema total MA'!C28*C28,0)</f>
        <v>0</v>
      </c>
      <c r="F28" s="234"/>
      <c r="G28" s="287"/>
      <c r="H28" s="166"/>
      <c r="I28" s="27"/>
      <c r="J28" s="44">
        <f t="shared" si="7"/>
        <v>414980.66503537999</v>
      </c>
      <c r="K28" s="44">
        <f t="shared" si="7"/>
        <v>0</v>
      </c>
      <c r="L28" s="254">
        <f t="shared" si="8"/>
        <v>-100</v>
      </c>
      <c r="M28" s="23">
        <f>IFERROR(100/'Skjema total MA'!I28*K28,0)</f>
        <v>0</v>
      </c>
    </row>
    <row r="29" spans="1:14" s="3" customFormat="1" ht="15.75" x14ac:dyDescent="0.2">
      <c r="A29" s="13" t="s">
        <v>365</v>
      </c>
      <c r="B29" s="236">
        <v>5563312.0461499998</v>
      </c>
      <c r="C29" s="236">
        <v>2774535.3558100001</v>
      </c>
      <c r="D29" s="171">
        <f t="shared" si="5"/>
        <v>-50.1</v>
      </c>
      <c r="E29" s="11">
        <f>IFERROR(100/'Skjema total MA'!C29*C29,0)</f>
        <v>6.0362241721161149</v>
      </c>
      <c r="F29" s="308">
        <v>2434316.41922</v>
      </c>
      <c r="G29" s="308">
        <v>2889242.9551499998</v>
      </c>
      <c r="H29" s="171">
        <f t="shared" si="6"/>
        <v>18.7</v>
      </c>
      <c r="I29" s="11">
        <f>IFERROR(100/'Skjema total MA'!F29*G29,0)</f>
        <v>12.633881409324554</v>
      </c>
      <c r="J29" s="236">
        <f t="shared" si="7"/>
        <v>7997628.4653699994</v>
      </c>
      <c r="K29" s="236">
        <f t="shared" si="7"/>
        <v>5663778.3109600004</v>
      </c>
      <c r="L29" s="428">
        <f t="shared" si="8"/>
        <v>-29.2</v>
      </c>
      <c r="M29" s="24">
        <f>IFERROR(100/'Skjema total MA'!I29*K29,0)</f>
        <v>8.2281989609553499</v>
      </c>
      <c r="N29" s="148"/>
    </row>
    <row r="30" spans="1:14" s="3" customFormat="1" ht="15.75" x14ac:dyDescent="0.2">
      <c r="A30" s="584" t="s">
        <v>368</v>
      </c>
      <c r="B30" s="281">
        <v>3191627.7721182602</v>
      </c>
      <c r="C30" s="281">
        <v>1591728.81601264</v>
      </c>
      <c r="D30" s="166">
        <f t="shared" si="5"/>
        <v>-50.1</v>
      </c>
      <c r="E30" s="11">
        <f>IFERROR(100/'Skjema total MA'!C30*C30,0)</f>
        <v>11.604480769285805</v>
      </c>
      <c r="F30" s="290">
        <v>593859.23484999896</v>
      </c>
      <c r="G30" s="290">
        <v>627283.88528999896</v>
      </c>
      <c r="H30" s="166">
        <f t="shared" si="6"/>
        <v>5.6</v>
      </c>
      <c r="I30" s="417">
        <f>IFERROR(100/'Skjema total MA'!F30*G30,0)</f>
        <v>14.136201488879097</v>
      </c>
      <c r="J30" s="290">
        <f t="shared" ref="J30:J33" si="11">SUM(B30,F30)</f>
        <v>3785487.0069682589</v>
      </c>
      <c r="K30" s="290">
        <f t="shared" ref="K30:K33" si="12">SUM(C30,G30)</f>
        <v>2219012.7013026392</v>
      </c>
      <c r="L30" s="166">
        <f t="shared" si="8"/>
        <v>-41.4</v>
      </c>
      <c r="M30" s="23">
        <f>IFERROR(100/'Skjema total MA'!I30*K30,0)</f>
        <v>12.223318132598035</v>
      </c>
      <c r="N30" s="148"/>
    </row>
    <row r="31" spans="1:14" s="3" customFormat="1" ht="15.75" x14ac:dyDescent="0.2">
      <c r="A31" s="584" t="s">
        <v>369</v>
      </c>
      <c r="B31" s="281">
        <v>2371684.2740317401</v>
      </c>
      <c r="C31" s="281">
        <v>1182806.5397973601</v>
      </c>
      <c r="D31" s="166">
        <f t="shared" si="5"/>
        <v>-50.1</v>
      </c>
      <c r="E31" s="11">
        <f>IFERROR(100/'Skjema total MA'!C31*C31,0)</f>
        <v>4.9653993547472561</v>
      </c>
      <c r="F31" s="290">
        <v>890868.20090999897</v>
      </c>
      <c r="G31" s="290">
        <v>898846.07403999905</v>
      </c>
      <c r="H31" s="166">
        <f t="shared" si="6"/>
        <v>0.9</v>
      </c>
      <c r="I31" s="417">
        <f>IFERROR(100/'Skjema total MA'!F31*G31,0)</f>
        <v>9.7130888839545761</v>
      </c>
      <c r="J31" s="290">
        <f t="shared" si="11"/>
        <v>3262552.4749417389</v>
      </c>
      <c r="K31" s="290">
        <f t="shared" si="12"/>
        <v>2081652.613837359</v>
      </c>
      <c r="L31" s="166">
        <f t="shared" si="8"/>
        <v>-36.200000000000003</v>
      </c>
      <c r="M31" s="23">
        <f>IFERROR(100/'Skjema total MA'!I31*K31,0)</f>
        <v>6.2937452488980625</v>
      </c>
      <c r="N31" s="148"/>
    </row>
    <row r="32" spans="1:14" ht="15.75" x14ac:dyDescent="0.2">
      <c r="A32" s="584" t="s">
        <v>370</v>
      </c>
      <c r="B32" s="281"/>
      <c r="C32" s="281"/>
      <c r="D32" s="166"/>
      <c r="E32" s="11"/>
      <c r="F32" s="290">
        <v>398805.30909</v>
      </c>
      <c r="G32" s="290">
        <v>432850.00546999997</v>
      </c>
      <c r="H32" s="166">
        <f t="shared" si="6"/>
        <v>8.5</v>
      </c>
      <c r="I32" s="417">
        <f>IFERROR(100/'Skjema total MA'!F32*G32,0)</f>
        <v>8.8333921917522886</v>
      </c>
      <c r="J32" s="290">
        <f t="shared" si="11"/>
        <v>398805.30909</v>
      </c>
      <c r="K32" s="290">
        <f t="shared" si="12"/>
        <v>432850.00546999997</v>
      </c>
      <c r="L32" s="166">
        <f t="shared" si="8"/>
        <v>8.5</v>
      </c>
      <c r="M32" s="23">
        <f>IFERROR(100/'Skjema total MA'!I32*K32,0)</f>
        <v>5.5131277821863698</v>
      </c>
    </row>
    <row r="33" spans="1:14" ht="15.75" x14ac:dyDescent="0.2">
      <c r="A33" s="584" t="s">
        <v>371</v>
      </c>
      <c r="B33" s="281"/>
      <c r="C33" s="281"/>
      <c r="D33" s="166"/>
      <c r="E33" s="11"/>
      <c r="F33" s="290">
        <v>550783.67437000002</v>
      </c>
      <c r="G33" s="290">
        <v>930262.99034999998</v>
      </c>
      <c r="H33" s="166">
        <f t="shared" si="6"/>
        <v>68.900000000000006</v>
      </c>
      <c r="I33" s="417">
        <f>IFERROR(100/'Skjema total MA'!F34*G33,0)</f>
        <v>8543.8729404186652</v>
      </c>
      <c r="J33" s="290">
        <f t="shared" si="11"/>
        <v>550783.67437000002</v>
      </c>
      <c r="K33" s="290">
        <f t="shared" si="12"/>
        <v>930262.99034999998</v>
      </c>
      <c r="L33" s="166">
        <f t="shared" si="8"/>
        <v>68.900000000000006</v>
      </c>
      <c r="M33" s="23">
        <f>IFERROR(100/'Skjema total MA'!I34*K33,0)</f>
        <v>3704.729006899639</v>
      </c>
    </row>
    <row r="34" spans="1:14" ht="15.75" x14ac:dyDescent="0.2">
      <c r="A34" s="13" t="s">
        <v>366</v>
      </c>
      <c r="B34" s="236"/>
      <c r="C34" s="309"/>
      <c r="D34" s="171"/>
      <c r="E34" s="11"/>
      <c r="F34" s="308">
        <v>12727.95822</v>
      </c>
      <c r="G34" s="309">
        <v>19192.41764</v>
      </c>
      <c r="H34" s="171">
        <f t="shared" si="6"/>
        <v>50.8</v>
      </c>
      <c r="I34" s="11">
        <f>IFERROR(100/'Skjema total MA'!F34*G34,0)</f>
        <v>176.27012945437647</v>
      </c>
      <c r="J34" s="236">
        <f t="shared" si="7"/>
        <v>12727.95822</v>
      </c>
      <c r="K34" s="236">
        <f t="shared" si="7"/>
        <v>19192.41764</v>
      </c>
      <c r="L34" s="428">
        <f t="shared" si="8"/>
        <v>50.8</v>
      </c>
      <c r="M34" s="24">
        <f>IFERROR(100/'Skjema total MA'!I34*K34,0)</f>
        <v>76.432908845152269</v>
      </c>
    </row>
    <row r="35" spans="1:14" ht="15.75" x14ac:dyDescent="0.2">
      <c r="A35" s="13" t="s">
        <v>367</v>
      </c>
      <c r="B35" s="236">
        <v>801.90830000000005</v>
      </c>
      <c r="C35" s="309">
        <v>524.21657000000005</v>
      </c>
      <c r="D35" s="171">
        <f t="shared" si="5"/>
        <v>-34.6</v>
      </c>
      <c r="E35" s="11">
        <f>IFERROR(100/'Skjema total MA'!C35*C35,0)</f>
        <v>-0.68069869353610502</v>
      </c>
      <c r="F35" s="308">
        <v>6652.5898900000002</v>
      </c>
      <c r="G35" s="309">
        <v>6958.5588500000003</v>
      </c>
      <c r="H35" s="171">
        <f t="shared" si="6"/>
        <v>4.5999999999999996</v>
      </c>
      <c r="I35" s="11">
        <f>IFERROR(100/'Skjema total MA'!F35*G35,0)</f>
        <v>6.0120692129688198</v>
      </c>
      <c r="J35" s="236">
        <f t="shared" si="7"/>
        <v>7454.4981900000002</v>
      </c>
      <c r="K35" s="236">
        <f t="shared" si="7"/>
        <v>7482.7754199999999</v>
      </c>
      <c r="L35" s="428">
        <f t="shared" si="8"/>
        <v>0.4</v>
      </c>
      <c r="M35" s="24">
        <f>IFERROR(100/'Skjema total MA'!I35*K35,0)</f>
        <v>19.319553910489255</v>
      </c>
    </row>
    <row r="36" spans="1:14" ht="15.75" x14ac:dyDescent="0.2">
      <c r="A36" s="12" t="s">
        <v>284</v>
      </c>
      <c r="B36" s="236"/>
      <c r="C36" s="309"/>
      <c r="D36" s="171"/>
      <c r="E36" s="11"/>
      <c r="F36" s="319"/>
      <c r="G36" s="320"/>
      <c r="H36" s="171"/>
      <c r="I36" s="434"/>
      <c r="J36" s="236"/>
      <c r="K36" s="236"/>
      <c r="L36" s="428"/>
      <c r="M36" s="24"/>
    </row>
    <row r="37" spans="1:14" ht="15.75" x14ac:dyDescent="0.2">
      <c r="A37" s="12" t="s">
        <v>373</v>
      </c>
      <c r="B37" s="236"/>
      <c r="C37" s="309"/>
      <c r="D37" s="171"/>
      <c r="E37" s="11"/>
      <c r="F37" s="319"/>
      <c r="G37" s="321"/>
      <c r="H37" s="171"/>
      <c r="I37" s="434"/>
      <c r="J37" s="236"/>
      <c r="K37" s="236"/>
      <c r="L37" s="428"/>
      <c r="M37" s="24"/>
    </row>
    <row r="38" spans="1:14" ht="15.75" x14ac:dyDescent="0.2">
      <c r="A38" s="12" t="s">
        <v>374</v>
      </c>
      <c r="B38" s="236"/>
      <c r="C38" s="309"/>
      <c r="D38" s="171"/>
      <c r="E38" s="24"/>
      <c r="F38" s="319"/>
      <c r="G38" s="320"/>
      <c r="H38" s="171"/>
      <c r="I38" s="434"/>
      <c r="J38" s="236"/>
      <c r="K38" s="236"/>
      <c r="L38" s="428"/>
      <c r="M38" s="24"/>
    </row>
    <row r="39" spans="1:14" ht="15.75" x14ac:dyDescent="0.2">
      <c r="A39" s="18" t="s">
        <v>375</v>
      </c>
      <c r="B39" s="276"/>
      <c r="C39" s="315"/>
      <c r="D39" s="169"/>
      <c r="E39" s="36"/>
      <c r="F39" s="322"/>
      <c r="G39" s="323"/>
      <c r="H39" s="169"/>
      <c r="I39" s="36"/>
      <c r="J39" s="236"/>
      <c r="K39" s="236"/>
      <c r="L39" s="429"/>
      <c r="M39" s="36"/>
    </row>
    <row r="40" spans="1:14" ht="15.75" x14ac:dyDescent="0.25">
      <c r="A40" s="47"/>
      <c r="B40" s="253"/>
      <c r="C40" s="253"/>
      <c r="D40" s="736"/>
      <c r="E40" s="736"/>
      <c r="F40" s="736"/>
      <c r="G40" s="736"/>
      <c r="H40" s="736"/>
      <c r="I40" s="736"/>
      <c r="J40" s="736"/>
      <c r="K40" s="736"/>
      <c r="L40" s="736"/>
      <c r="M40" s="302"/>
    </row>
    <row r="41" spans="1:14" x14ac:dyDescent="0.2">
      <c r="A41" s="155"/>
    </row>
    <row r="42" spans="1:14" ht="15.75" x14ac:dyDescent="0.25">
      <c r="A42" s="147" t="s">
        <v>273</v>
      </c>
      <c r="B42" s="732"/>
      <c r="C42" s="732"/>
      <c r="D42" s="732"/>
      <c r="E42" s="299"/>
      <c r="F42" s="737"/>
      <c r="G42" s="737"/>
      <c r="H42" s="737"/>
      <c r="I42" s="302"/>
      <c r="J42" s="737"/>
      <c r="K42" s="737"/>
      <c r="L42" s="737"/>
      <c r="M42" s="302"/>
    </row>
    <row r="43" spans="1:14" ht="15.75" x14ac:dyDescent="0.25">
      <c r="A43" s="163"/>
      <c r="B43" s="303"/>
      <c r="C43" s="303"/>
      <c r="D43" s="303"/>
      <c r="E43" s="303"/>
      <c r="F43" s="302"/>
      <c r="G43" s="302"/>
      <c r="H43" s="302"/>
      <c r="I43" s="302"/>
      <c r="J43" s="302"/>
      <c r="K43" s="302"/>
      <c r="L43" s="302"/>
      <c r="M43" s="302"/>
    </row>
    <row r="44" spans="1:14" ht="15.75" x14ac:dyDescent="0.25">
      <c r="A44" s="247"/>
      <c r="B44" s="733" t="s">
        <v>0</v>
      </c>
      <c r="C44" s="734"/>
      <c r="D44" s="734"/>
      <c r="E44" s="243"/>
      <c r="F44" s="302"/>
      <c r="G44" s="302"/>
      <c r="H44" s="302"/>
      <c r="I44" s="302"/>
      <c r="J44" s="302"/>
      <c r="K44" s="302"/>
      <c r="L44" s="302"/>
      <c r="M44" s="302"/>
    </row>
    <row r="45" spans="1:14" s="3" customFormat="1" x14ac:dyDescent="0.2">
      <c r="A45" s="140"/>
      <c r="B45" s="152" t="s">
        <v>421</v>
      </c>
      <c r="C45" s="152" t="s">
        <v>422</v>
      </c>
      <c r="D45" s="162" t="s">
        <v>3</v>
      </c>
      <c r="E45" s="162" t="s">
        <v>29</v>
      </c>
      <c r="F45" s="174"/>
      <c r="G45" s="174"/>
      <c r="H45" s="173"/>
      <c r="I45" s="173"/>
      <c r="J45" s="174"/>
      <c r="K45" s="174"/>
      <c r="L45" s="173"/>
      <c r="M45" s="173"/>
      <c r="N45" s="148"/>
    </row>
    <row r="46" spans="1:14" s="3" customFormat="1" x14ac:dyDescent="0.2">
      <c r="A46" s="708"/>
      <c r="B46" s="244"/>
      <c r="C46" s="244"/>
      <c r="D46" s="245" t="s">
        <v>4</v>
      </c>
      <c r="E46" s="156" t="s">
        <v>30</v>
      </c>
      <c r="F46" s="173"/>
      <c r="G46" s="173"/>
      <c r="H46" s="173"/>
      <c r="I46" s="173"/>
      <c r="J46" s="173"/>
      <c r="K46" s="173"/>
      <c r="L46" s="173"/>
      <c r="M46" s="173"/>
      <c r="N46" s="148"/>
    </row>
    <row r="47" spans="1:14" s="3" customFormat="1" ht="15.75" x14ac:dyDescent="0.2">
      <c r="A47" s="14" t="s">
        <v>23</v>
      </c>
      <c r="B47" s="310">
        <v>571295.41954000003</v>
      </c>
      <c r="C47" s="311"/>
      <c r="D47" s="427">
        <f t="shared" ref="D47:D58" si="13">IF(B47=0, "    ---- ", IF(ABS(ROUND(100/B47*C47-100,1))&lt;999,ROUND(100/B47*C47-100,1),IF(ROUND(100/B47*C47-100,1)&gt;999,999,-999)))</f>
        <v>-100</v>
      </c>
      <c r="E47" s="11">
        <f>IFERROR(100/'Skjema total MA'!C47*C47,0)</f>
        <v>0</v>
      </c>
      <c r="F47" s="145"/>
      <c r="G47" s="33"/>
      <c r="H47" s="159"/>
      <c r="I47" s="159"/>
      <c r="J47" s="37"/>
      <c r="K47" s="37"/>
      <c r="L47" s="159"/>
      <c r="M47" s="159"/>
      <c r="N47" s="148"/>
    </row>
    <row r="48" spans="1:14" s="3" customFormat="1" ht="15.75" x14ac:dyDescent="0.2">
      <c r="A48" s="38" t="s">
        <v>376</v>
      </c>
      <c r="B48" s="281">
        <v>91310.053419999997</v>
      </c>
      <c r="C48" s="282"/>
      <c r="D48" s="254">
        <f t="shared" si="13"/>
        <v>-100</v>
      </c>
      <c r="E48" s="27">
        <f>IFERROR(100/'Skjema total MA'!C48*C48,0)</f>
        <v>0</v>
      </c>
      <c r="F48" s="145"/>
      <c r="G48" s="33"/>
      <c r="H48" s="145"/>
      <c r="I48" s="145"/>
      <c r="J48" s="33"/>
      <c r="K48" s="33"/>
      <c r="L48" s="159"/>
      <c r="M48" s="159"/>
      <c r="N48" s="148"/>
    </row>
    <row r="49" spans="1:14" s="3" customFormat="1" ht="15.75" x14ac:dyDescent="0.2">
      <c r="A49" s="38" t="s">
        <v>377</v>
      </c>
      <c r="B49" s="44">
        <v>479985.36612000002</v>
      </c>
      <c r="C49" s="287"/>
      <c r="D49" s="254">
        <f>IF(B49=0, "    ---- ", IF(ABS(ROUND(100/B49*C49-100,1))&lt;999,ROUND(100/B49*C49-100,1),IF(ROUND(100/B49*C49-100,1)&gt;999,999,-999)))</f>
        <v>-100</v>
      </c>
      <c r="E49" s="27">
        <f>IFERROR(100/'Skjema total MA'!C49*C49,0)</f>
        <v>0</v>
      </c>
      <c r="F49" s="145"/>
      <c r="G49" s="33"/>
      <c r="H49" s="145"/>
      <c r="I49" s="145"/>
      <c r="J49" s="37"/>
      <c r="K49" s="37"/>
      <c r="L49" s="159"/>
      <c r="M49" s="159"/>
      <c r="N49" s="148"/>
    </row>
    <row r="50" spans="1:14" s="3" customFormat="1" x14ac:dyDescent="0.2">
      <c r="A50" s="296" t="s">
        <v>6</v>
      </c>
      <c r="B50" s="290" t="s">
        <v>423</v>
      </c>
      <c r="C50" s="291"/>
      <c r="D50" s="254"/>
      <c r="E50" s="23"/>
      <c r="F50" s="145"/>
      <c r="G50" s="33"/>
      <c r="H50" s="145"/>
      <c r="I50" s="145"/>
      <c r="J50" s="33"/>
      <c r="K50" s="33"/>
      <c r="L50" s="159"/>
      <c r="M50" s="159"/>
      <c r="N50" s="148"/>
    </row>
    <row r="51" spans="1:14" s="3" customFormat="1" x14ac:dyDescent="0.2">
      <c r="A51" s="296" t="s">
        <v>7</v>
      </c>
      <c r="B51" s="290" t="s">
        <v>423</v>
      </c>
      <c r="C51" s="291"/>
      <c r="D51" s="254"/>
      <c r="E51" s="23"/>
      <c r="F51" s="145"/>
      <c r="G51" s="33"/>
      <c r="H51" s="145"/>
      <c r="I51" s="145"/>
      <c r="J51" s="33"/>
      <c r="K51" s="33"/>
      <c r="L51" s="159"/>
      <c r="M51" s="159"/>
      <c r="N51" s="148"/>
    </row>
    <row r="52" spans="1:14" s="3" customFormat="1" x14ac:dyDescent="0.2">
      <c r="A52" s="296" t="s">
        <v>8</v>
      </c>
      <c r="B52" s="290" t="s">
        <v>423</v>
      </c>
      <c r="C52" s="291"/>
      <c r="D52" s="254"/>
      <c r="E52" s="23"/>
      <c r="F52" s="145"/>
      <c r="G52" s="33"/>
      <c r="H52" s="145"/>
      <c r="I52" s="145"/>
      <c r="J52" s="33"/>
      <c r="K52" s="33"/>
      <c r="L52" s="159"/>
      <c r="M52" s="159"/>
      <c r="N52" s="148"/>
    </row>
    <row r="53" spans="1:14" s="3" customFormat="1" ht="15.75" x14ac:dyDescent="0.2">
      <c r="A53" s="39" t="s">
        <v>378</v>
      </c>
      <c r="B53" s="310">
        <v>50.279000000000003</v>
      </c>
      <c r="C53" s="311"/>
      <c r="D53" s="428">
        <f t="shared" si="13"/>
        <v>-100</v>
      </c>
      <c r="E53" s="11">
        <f>IFERROR(100/'Skjema total MA'!C53*C53,0)</f>
        <v>0</v>
      </c>
      <c r="F53" s="145"/>
      <c r="G53" s="33"/>
      <c r="H53" s="145"/>
      <c r="I53" s="145"/>
      <c r="J53" s="33"/>
      <c r="K53" s="33"/>
      <c r="L53" s="159"/>
      <c r="M53" s="159"/>
      <c r="N53" s="148"/>
    </row>
    <row r="54" spans="1:14" s="3" customFormat="1" ht="15.75" x14ac:dyDescent="0.2">
      <c r="A54" s="38" t="s">
        <v>376</v>
      </c>
      <c r="B54" s="281">
        <v>50.279000000000003</v>
      </c>
      <c r="C54" s="282"/>
      <c r="D54" s="254">
        <f t="shared" si="13"/>
        <v>-100</v>
      </c>
      <c r="E54" s="27">
        <f>IFERROR(100/'Skjema total MA'!C54*C54,0)</f>
        <v>0</v>
      </c>
      <c r="F54" s="145"/>
      <c r="G54" s="33"/>
      <c r="H54" s="145"/>
      <c r="I54" s="145"/>
      <c r="J54" s="33"/>
      <c r="K54" s="33"/>
      <c r="L54" s="159"/>
      <c r="M54" s="159"/>
      <c r="N54" s="148"/>
    </row>
    <row r="55" spans="1:14" s="3" customFormat="1" ht="15.75" x14ac:dyDescent="0.2">
      <c r="A55" s="38" t="s">
        <v>377</v>
      </c>
      <c r="B55" s="281"/>
      <c r="C55" s="282"/>
      <c r="D55" s="254"/>
      <c r="E55" s="27"/>
      <c r="F55" s="145"/>
      <c r="G55" s="33"/>
      <c r="H55" s="145"/>
      <c r="I55" s="145"/>
      <c r="J55" s="33"/>
      <c r="K55" s="33"/>
      <c r="L55" s="159"/>
      <c r="M55" s="159"/>
      <c r="N55" s="148"/>
    </row>
    <row r="56" spans="1:14" s="3" customFormat="1" ht="15.75" x14ac:dyDescent="0.2">
      <c r="A56" s="39" t="s">
        <v>379</v>
      </c>
      <c r="B56" s="310">
        <v>7075.2469999999994</v>
      </c>
      <c r="C56" s="311"/>
      <c r="D56" s="428">
        <f t="shared" si="13"/>
        <v>-100</v>
      </c>
      <c r="E56" s="11">
        <f>IFERROR(100/'Skjema total MA'!C56*C56,0)</f>
        <v>0</v>
      </c>
      <c r="F56" s="145"/>
      <c r="G56" s="33"/>
      <c r="H56" s="145"/>
      <c r="I56" s="145"/>
      <c r="J56" s="33"/>
      <c r="K56" s="33"/>
      <c r="L56" s="159"/>
      <c r="M56" s="159"/>
      <c r="N56" s="148"/>
    </row>
    <row r="57" spans="1:14" s="3" customFormat="1" ht="15.75" x14ac:dyDescent="0.2">
      <c r="A57" s="38" t="s">
        <v>376</v>
      </c>
      <c r="B57" s="281">
        <v>6521.3339999999998</v>
      </c>
      <c r="C57" s="282"/>
      <c r="D57" s="254">
        <f t="shared" si="13"/>
        <v>-100</v>
      </c>
      <c r="E57" s="27">
        <f>IFERROR(100/'Skjema total MA'!C57*C57,0)</f>
        <v>0</v>
      </c>
      <c r="F57" s="145"/>
      <c r="G57" s="33"/>
      <c r="H57" s="145"/>
      <c r="I57" s="145"/>
      <c r="J57" s="33"/>
      <c r="K57" s="33"/>
      <c r="L57" s="159"/>
      <c r="M57" s="159"/>
      <c r="N57" s="148"/>
    </row>
    <row r="58" spans="1:14" s="3" customFormat="1" ht="15.75" x14ac:dyDescent="0.2">
      <c r="A58" s="46" t="s">
        <v>377</v>
      </c>
      <c r="B58" s="283">
        <v>553.91300000000001</v>
      </c>
      <c r="C58" s="284"/>
      <c r="D58" s="255">
        <f t="shared" si="13"/>
        <v>-100</v>
      </c>
      <c r="E58" s="22">
        <f>IFERROR(100/'Skjema total MA'!C58*C58,0)</f>
        <v>0</v>
      </c>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274</v>
      </c>
      <c r="C61" s="26"/>
      <c r="D61" s="26"/>
      <c r="E61" s="26"/>
      <c r="F61" s="26"/>
      <c r="G61" s="26"/>
      <c r="H61" s="26"/>
      <c r="I61" s="26"/>
      <c r="J61" s="26"/>
      <c r="K61" s="26"/>
      <c r="L61" s="26"/>
      <c r="M61" s="26"/>
    </row>
    <row r="62" spans="1:14" ht="15.75" x14ac:dyDescent="0.25">
      <c r="B62" s="735"/>
      <c r="C62" s="735"/>
      <c r="D62" s="735"/>
      <c r="E62" s="299"/>
      <c r="F62" s="735"/>
      <c r="G62" s="735"/>
      <c r="H62" s="735"/>
      <c r="I62" s="299"/>
      <c r="J62" s="735"/>
      <c r="K62" s="735"/>
      <c r="L62" s="735"/>
      <c r="M62" s="299"/>
    </row>
    <row r="63" spans="1:14" x14ac:dyDescent="0.2">
      <c r="A63" s="144"/>
      <c r="B63" s="733" t="s">
        <v>0</v>
      </c>
      <c r="C63" s="734"/>
      <c r="D63" s="738"/>
      <c r="E63" s="300"/>
      <c r="F63" s="734" t="s">
        <v>1</v>
      </c>
      <c r="G63" s="734"/>
      <c r="H63" s="734"/>
      <c r="I63" s="304"/>
      <c r="J63" s="733" t="s">
        <v>2</v>
      </c>
      <c r="K63" s="734"/>
      <c r="L63" s="734"/>
      <c r="M63" s="304"/>
    </row>
    <row r="64" spans="1:14" x14ac:dyDescent="0.2">
      <c r="A64" s="140"/>
      <c r="B64" s="152" t="s">
        <v>421</v>
      </c>
      <c r="C64" s="152" t="s">
        <v>422</v>
      </c>
      <c r="D64" s="245" t="s">
        <v>3</v>
      </c>
      <c r="E64" s="305" t="s">
        <v>29</v>
      </c>
      <c r="F64" s="152" t="s">
        <v>421</v>
      </c>
      <c r="G64" s="152" t="s">
        <v>422</v>
      </c>
      <c r="H64" s="245" t="s">
        <v>3</v>
      </c>
      <c r="I64" s="305" t="s">
        <v>29</v>
      </c>
      <c r="J64" s="152" t="s">
        <v>421</v>
      </c>
      <c r="K64" s="152" t="s">
        <v>422</v>
      </c>
      <c r="L64" s="245" t="s">
        <v>3</v>
      </c>
      <c r="M64" s="162" t="s">
        <v>29</v>
      </c>
    </row>
    <row r="65" spans="1:14" x14ac:dyDescent="0.2">
      <c r="A65" s="708"/>
      <c r="B65" s="156"/>
      <c r="C65" s="156"/>
      <c r="D65" s="246" t="s">
        <v>4</v>
      </c>
      <c r="E65" s="156" t="s">
        <v>30</v>
      </c>
      <c r="F65" s="161"/>
      <c r="G65" s="161"/>
      <c r="H65" s="245" t="s">
        <v>4</v>
      </c>
      <c r="I65" s="156" t="s">
        <v>30</v>
      </c>
      <c r="J65" s="161"/>
      <c r="K65" s="206"/>
      <c r="L65" s="156" t="s">
        <v>4</v>
      </c>
      <c r="M65" s="156" t="s">
        <v>30</v>
      </c>
    </row>
    <row r="66" spans="1:14" ht="15.75" x14ac:dyDescent="0.2">
      <c r="A66" s="14" t="s">
        <v>23</v>
      </c>
      <c r="B66" s="353">
        <v>540909.62372000003</v>
      </c>
      <c r="C66" s="353">
        <v>559395.50616999995</v>
      </c>
      <c r="D66" s="350">
        <f t="shared" ref="D66:D111" si="14">IF(B66=0, "    ---- ", IF(ABS(ROUND(100/B66*C66-100,1))&lt;999,ROUND(100/B66*C66-100,1),IF(ROUND(100/B66*C66-100,1)&gt;999,999,-999)))</f>
        <v>3.4</v>
      </c>
      <c r="E66" s="11">
        <f>IFERROR(100/'Skjema total MA'!C66*C66,0)</f>
        <v>9.4418299593941306</v>
      </c>
      <c r="F66" s="352">
        <v>2756955.2470499999</v>
      </c>
      <c r="G66" s="352">
        <v>2949370.4852900002</v>
      </c>
      <c r="H66" s="350">
        <f t="shared" ref="H66:H111" si="15">IF(F66=0, "    ---- ", IF(ABS(ROUND(100/F66*G66-100,1))&lt;999,ROUND(100/F66*G66-100,1),IF(ROUND(100/F66*G66-100,1)&gt;999,999,-999)))</f>
        <v>7</v>
      </c>
      <c r="I66" s="11">
        <f>IFERROR(100/'Skjema total MA'!F66*G66,0)</f>
        <v>11.336567335782059</v>
      </c>
      <c r="J66" s="309">
        <f t="shared" ref="J66:K86" si="16">SUM(B66,F66)</f>
        <v>3297864.8707699999</v>
      </c>
      <c r="K66" s="316">
        <f t="shared" si="16"/>
        <v>3508765.9914600002</v>
      </c>
      <c r="L66" s="428">
        <f t="shared" ref="L66:L111" si="17">IF(J66=0, "    ---- ", IF(ABS(ROUND(100/J66*K66-100,1))&lt;999,ROUND(100/J66*K66-100,1),IF(ROUND(100/J66*K66-100,1)&gt;999,999,-999)))</f>
        <v>6.4</v>
      </c>
      <c r="M66" s="11">
        <f>IFERROR(100/'Skjema total MA'!I66*K66,0)</f>
        <v>10.985118458575972</v>
      </c>
    </row>
    <row r="67" spans="1:14" x14ac:dyDescent="0.2">
      <c r="A67" s="419" t="s">
        <v>9</v>
      </c>
      <c r="B67" s="44">
        <v>145349.98334000001</v>
      </c>
      <c r="C67" s="145">
        <v>132742.09362</v>
      </c>
      <c r="D67" s="166">
        <f t="shared" si="14"/>
        <v>-8.6999999999999993</v>
      </c>
      <c r="E67" s="27">
        <f>IFERROR(100/'Skjema total MA'!C67*C67,0)</f>
        <v>3.1864079167356185</v>
      </c>
      <c r="F67" s="234"/>
      <c r="G67" s="145"/>
      <c r="H67" s="166"/>
      <c r="I67" s="27"/>
      <c r="J67" s="287">
        <f t="shared" si="16"/>
        <v>145349.98334000001</v>
      </c>
      <c r="K67" s="44">
        <f t="shared" si="16"/>
        <v>132742.09362</v>
      </c>
      <c r="L67" s="254">
        <f t="shared" si="17"/>
        <v>-8.6999999999999993</v>
      </c>
      <c r="M67" s="27">
        <f>IFERROR(100/'Skjema total MA'!I67*K67,0)</f>
        <v>3.1864079167356185</v>
      </c>
    </row>
    <row r="68" spans="1:14" x14ac:dyDescent="0.2">
      <c r="A68" s="21" t="s">
        <v>10</v>
      </c>
      <c r="B68" s="292">
        <v>35089.256509999999</v>
      </c>
      <c r="C68" s="293">
        <v>32589.786349999998</v>
      </c>
      <c r="D68" s="166">
        <f t="shared" si="14"/>
        <v>-7.1</v>
      </c>
      <c r="E68" s="27">
        <f>IFERROR(100/'Skjema total MA'!C68*C68,0)</f>
        <v>27.523812268487163</v>
      </c>
      <c r="F68" s="292">
        <v>2581255.5976</v>
      </c>
      <c r="G68" s="293">
        <v>2738729.8295200001</v>
      </c>
      <c r="H68" s="166">
        <f t="shared" si="15"/>
        <v>6.1</v>
      </c>
      <c r="I68" s="27">
        <f>IFERROR(100/'Skjema total MA'!F68*G68,0)</f>
        <v>10.960435735645321</v>
      </c>
      <c r="J68" s="287">
        <f t="shared" si="16"/>
        <v>2616344.8541100002</v>
      </c>
      <c r="K68" s="44">
        <f t="shared" si="16"/>
        <v>2771319.6158700003</v>
      </c>
      <c r="L68" s="254">
        <f t="shared" si="17"/>
        <v>5.9</v>
      </c>
      <c r="M68" s="27">
        <f>IFERROR(100/'Skjema total MA'!I68*K68,0)</f>
        <v>11.038553055519881</v>
      </c>
    </row>
    <row r="69" spans="1:14" ht="15.75" x14ac:dyDescent="0.2">
      <c r="A69" s="296" t="s">
        <v>380</v>
      </c>
      <c r="B69" s="294"/>
      <c r="C69" s="295"/>
      <c r="D69" s="166"/>
      <c r="E69" s="417"/>
      <c r="F69" s="294"/>
      <c r="G69" s="295"/>
      <c r="H69" s="166"/>
      <c r="I69" s="417"/>
      <c r="J69" s="294"/>
      <c r="K69" s="295"/>
      <c r="L69" s="166"/>
      <c r="M69" s="23"/>
    </row>
    <row r="70" spans="1:14" x14ac:dyDescent="0.2">
      <c r="A70" s="296" t="s">
        <v>12</v>
      </c>
      <c r="B70" s="294"/>
      <c r="C70" s="295"/>
      <c r="D70" s="166"/>
      <c r="E70" s="417"/>
      <c r="F70" s="294"/>
      <c r="G70" s="295"/>
      <c r="H70" s="166"/>
      <c r="I70" s="417"/>
      <c r="J70" s="294"/>
      <c r="K70" s="295"/>
      <c r="L70" s="166"/>
      <c r="M70" s="23"/>
    </row>
    <row r="71" spans="1:14" x14ac:dyDescent="0.2">
      <c r="A71" s="296" t="s">
        <v>13</v>
      </c>
      <c r="B71" s="235"/>
      <c r="C71" s="289"/>
      <c r="D71" s="166"/>
      <c r="E71" s="417"/>
      <c r="F71" s="294"/>
      <c r="G71" s="295"/>
      <c r="H71" s="166"/>
      <c r="I71" s="417"/>
      <c r="J71" s="294"/>
      <c r="K71" s="295"/>
      <c r="L71" s="166"/>
      <c r="M71" s="23"/>
    </row>
    <row r="72" spans="1:14" ht="15.75" x14ac:dyDescent="0.2">
      <c r="A72" s="296" t="s">
        <v>381</v>
      </c>
      <c r="B72" s="294"/>
      <c r="C72" s="295"/>
      <c r="D72" s="166"/>
      <c r="E72" s="417"/>
      <c r="F72" s="294"/>
      <c r="G72" s="295"/>
      <c r="H72" s="166"/>
      <c r="I72" s="417"/>
      <c r="J72" s="294"/>
      <c r="K72" s="295"/>
      <c r="L72" s="166"/>
      <c r="M72" s="23"/>
    </row>
    <row r="73" spans="1:14" x14ac:dyDescent="0.2">
      <c r="A73" s="296" t="s">
        <v>12</v>
      </c>
      <c r="B73" s="235"/>
      <c r="C73" s="289"/>
      <c r="D73" s="166"/>
      <c r="E73" s="417"/>
      <c r="F73" s="294"/>
      <c r="G73" s="295"/>
      <c r="H73" s="166"/>
      <c r="I73" s="417"/>
      <c r="J73" s="294"/>
      <c r="K73" s="295"/>
      <c r="L73" s="166"/>
      <c r="M73" s="23"/>
    </row>
    <row r="74" spans="1:14" s="3" customFormat="1" x14ac:dyDescent="0.2">
      <c r="A74" s="296" t="s">
        <v>13</v>
      </c>
      <c r="B74" s="235"/>
      <c r="C74" s="289"/>
      <c r="D74" s="166"/>
      <c r="E74" s="417"/>
      <c r="F74" s="294"/>
      <c r="G74" s="295"/>
      <c r="H74" s="166"/>
      <c r="I74" s="417"/>
      <c r="J74" s="294"/>
      <c r="K74" s="295"/>
      <c r="L74" s="166"/>
      <c r="M74" s="23"/>
      <c r="N74" s="148"/>
    </row>
    <row r="75" spans="1:14" s="3" customFormat="1" x14ac:dyDescent="0.2">
      <c r="A75" s="21" t="s">
        <v>350</v>
      </c>
      <c r="B75" s="234">
        <v>226644.79892</v>
      </c>
      <c r="C75" s="145">
        <v>244385.67420000001</v>
      </c>
      <c r="D75" s="166">
        <f t="shared" si="14"/>
        <v>7.8</v>
      </c>
      <c r="E75" s="27">
        <f>IFERROR(100/'Skjema total MA'!C75*C75,0)</f>
        <v>72.76310875348868</v>
      </c>
      <c r="F75" s="234">
        <v>175699.64945</v>
      </c>
      <c r="G75" s="145">
        <v>210640.65577000001</v>
      </c>
      <c r="H75" s="166">
        <f t="shared" si="15"/>
        <v>19.899999999999999</v>
      </c>
      <c r="I75" s="27">
        <f>IFERROR(100/'Skjema total MA'!F75*G75,0)</f>
        <v>20.470106586143018</v>
      </c>
      <c r="J75" s="287">
        <f t="shared" si="16"/>
        <v>402344.44837</v>
      </c>
      <c r="K75" s="44">
        <f t="shared" si="16"/>
        <v>455026.32997000002</v>
      </c>
      <c r="L75" s="254">
        <f t="shared" si="17"/>
        <v>13.1</v>
      </c>
      <c r="M75" s="27">
        <f>IFERROR(100/'Skjema total MA'!I75*K75,0)</f>
        <v>33.33817534226209</v>
      </c>
      <c r="N75" s="148"/>
    </row>
    <row r="76" spans="1:14" s="3" customFormat="1" x14ac:dyDescent="0.2">
      <c r="A76" s="21" t="s">
        <v>349</v>
      </c>
      <c r="B76" s="234">
        <v>133825.58494999999</v>
      </c>
      <c r="C76" s="145">
        <v>149677.95199999999</v>
      </c>
      <c r="D76" s="166">
        <f t="shared" ref="D76" si="18">IF(B76=0, "    ---- ", IF(ABS(ROUND(100/B76*C76-100,1))&lt;999,ROUND(100/B76*C76-100,1),IF(ROUND(100/B76*C76-100,1)&gt;999,999,-999)))</f>
        <v>11.8</v>
      </c>
      <c r="E76" s="27">
        <f>IFERROR(100/'Skjema total MA'!C77*C76,0)</f>
        <v>3.6099600024963951</v>
      </c>
      <c r="F76" s="234"/>
      <c r="G76" s="145"/>
      <c r="H76" s="166"/>
      <c r="I76" s="27"/>
      <c r="J76" s="287">
        <f t="shared" ref="J76" si="19">SUM(B76,F76)</f>
        <v>133825.58494999999</v>
      </c>
      <c r="K76" s="44">
        <f t="shared" ref="K76" si="20">SUM(C76,G76)</f>
        <v>149677.95199999999</v>
      </c>
      <c r="L76" s="254">
        <f t="shared" ref="L76" si="21">IF(J76=0, "    ---- ", IF(ABS(ROUND(100/J76*K76-100,1))&lt;999,ROUND(100/J76*K76-100,1),IF(ROUND(100/J76*K76-100,1)&gt;999,999,-999)))</f>
        <v>11.8</v>
      </c>
      <c r="M76" s="27">
        <f>IFERROR(100/'Skjema total MA'!I77*K76,0)</f>
        <v>0.51396383751421937</v>
      </c>
      <c r="N76" s="148"/>
    </row>
    <row r="77" spans="1:14" ht="15.75" x14ac:dyDescent="0.2">
      <c r="A77" s="21" t="s">
        <v>382</v>
      </c>
      <c r="B77" s="234">
        <v>180439.23985000001</v>
      </c>
      <c r="C77" s="234">
        <v>165331.87997000001</v>
      </c>
      <c r="D77" s="166">
        <f t="shared" si="14"/>
        <v>-8.4</v>
      </c>
      <c r="E77" s="27">
        <f>IFERROR(100/'Skjema total MA'!C77*C77,0)</f>
        <v>3.987504277378374</v>
      </c>
      <c r="F77" s="234">
        <v>2574294.395</v>
      </c>
      <c r="G77" s="145">
        <v>2729283.3724600002</v>
      </c>
      <c r="H77" s="166">
        <f t="shared" si="15"/>
        <v>6</v>
      </c>
      <c r="I77" s="27">
        <f>IFERROR(100/'Skjema total MA'!F77*G77,0)</f>
        <v>10.927613758799078</v>
      </c>
      <c r="J77" s="287">
        <f t="shared" si="16"/>
        <v>2754733.63485</v>
      </c>
      <c r="K77" s="44">
        <f t="shared" si="16"/>
        <v>2894615.2524300003</v>
      </c>
      <c r="L77" s="254">
        <f t="shared" si="17"/>
        <v>5.0999999999999996</v>
      </c>
      <c r="M77" s="27">
        <f>IFERROR(100/'Skjema total MA'!I77*K77,0)</f>
        <v>9.939523780136394</v>
      </c>
    </row>
    <row r="78" spans="1:14" x14ac:dyDescent="0.2">
      <c r="A78" s="21" t="s">
        <v>9</v>
      </c>
      <c r="B78" s="234">
        <v>145349.98334000001</v>
      </c>
      <c r="C78" s="145">
        <v>132742.09362</v>
      </c>
      <c r="D78" s="166">
        <f t="shared" si="14"/>
        <v>-8.6999999999999993</v>
      </c>
      <c r="E78" s="27">
        <f>IFERROR(100/'Skjema total MA'!C78*C78,0)</f>
        <v>3.2940599710085072</v>
      </c>
      <c r="F78" s="234"/>
      <c r="G78" s="145"/>
      <c r="H78" s="166"/>
      <c r="I78" s="27"/>
      <c r="J78" s="287">
        <f t="shared" si="16"/>
        <v>145349.98334000001</v>
      </c>
      <c r="K78" s="44">
        <f t="shared" si="16"/>
        <v>132742.09362</v>
      </c>
      <c r="L78" s="254">
        <f t="shared" si="17"/>
        <v>-8.6999999999999993</v>
      </c>
      <c r="M78" s="27">
        <f>IFERROR(100/'Skjema total MA'!I78*K78,0)</f>
        <v>3.2940599710085072</v>
      </c>
    </row>
    <row r="79" spans="1:14" x14ac:dyDescent="0.2">
      <c r="A79" s="21" t="s">
        <v>10</v>
      </c>
      <c r="B79" s="292">
        <v>35089.256509999999</v>
      </c>
      <c r="C79" s="293">
        <v>32589.786349999998</v>
      </c>
      <c r="D79" s="166">
        <f t="shared" si="14"/>
        <v>-7.1</v>
      </c>
      <c r="E79" s="27">
        <f>IFERROR(100/'Skjema total MA'!C79*C79,0)</f>
        <v>27.972062988879404</v>
      </c>
      <c r="F79" s="292">
        <v>2574294.395</v>
      </c>
      <c r="G79" s="293">
        <v>2729283.3724600002</v>
      </c>
      <c r="H79" s="166">
        <f t="shared" si="15"/>
        <v>6</v>
      </c>
      <c r="I79" s="27">
        <f>IFERROR(100/'Skjema total MA'!F79*G79,0)</f>
        <v>10.927613758799078</v>
      </c>
      <c r="J79" s="287">
        <f t="shared" si="16"/>
        <v>2609383.6515100002</v>
      </c>
      <c r="K79" s="44">
        <f t="shared" si="16"/>
        <v>2761873.1588100004</v>
      </c>
      <c r="L79" s="254">
        <f t="shared" si="17"/>
        <v>5.8</v>
      </c>
      <c r="M79" s="27">
        <f>IFERROR(100/'Skjema total MA'!I79*K79,0)</f>
        <v>11.00675366027861</v>
      </c>
    </row>
    <row r="80" spans="1:14" ht="15.75" x14ac:dyDescent="0.2">
      <c r="A80" s="296" t="s">
        <v>380</v>
      </c>
      <c r="B80" s="294"/>
      <c r="C80" s="295"/>
      <c r="D80" s="166"/>
      <c r="E80" s="417"/>
      <c r="F80" s="294"/>
      <c r="G80" s="295"/>
      <c r="H80" s="166"/>
      <c r="I80" s="417"/>
      <c r="J80" s="294"/>
      <c r="K80" s="295"/>
      <c r="L80" s="166"/>
      <c r="M80" s="23"/>
    </row>
    <row r="81" spans="1:13" x14ac:dyDescent="0.2">
      <c r="A81" s="296" t="s">
        <v>12</v>
      </c>
      <c r="B81" s="294"/>
      <c r="C81" s="295"/>
      <c r="D81" s="166"/>
      <c r="E81" s="417"/>
      <c r="F81" s="294"/>
      <c r="G81" s="295"/>
      <c r="H81" s="166"/>
      <c r="I81" s="417"/>
      <c r="J81" s="294"/>
      <c r="K81" s="295"/>
      <c r="L81" s="166"/>
      <c r="M81" s="23"/>
    </row>
    <row r="82" spans="1:13" x14ac:dyDescent="0.2">
      <c r="A82" s="296" t="s">
        <v>13</v>
      </c>
      <c r="B82" s="294"/>
      <c r="C82" s="295"/>
      <c r="D82" s="166"/>
      <c r="E82" s="417"/>
      <c r="F82" s="294"/>
      <c r="G82" s="295"/>
      <c r="H82" s="166"/>
      <c r="I82" s="417"/>
      <c r="J82" s="294"/>
      <c r="K82" s="295"/>
      <c r="L82" s="166"/>
      <c r="M82" s="23"/>
    </row>
    <row r="83" spans="1:13" ht="15.75" x14ac:dyDescent="0.2">
      <c r="A83" s="296" t="s">
        <v>381</v>
      </c>
      <c r="B83" s="294"/>
      <c r="C83" s="295"/>
      <c r="D83" s="166"/>
      <c r="E83" s="417"/>
      <c r="F83" s="294"/>
      <c r="G83" s="295"/>
      <c r="H83" s="166"/>
      <c r="I83" s="417"/>
      <c r="J83" s="294"/>
      <c r="K83" s="295"/>
      <c r="L83" s="166"/>
      <c r="M83" s="23"/>
    </row>
    <row r="84" spans="1:13" x14ac:dyDescent="0.2">
      <c r="A84" s="296" t="s">
        <v>12</v>
      </c>
      <c r="B84" s="294"/>
      <c r="C84" s="295"/>
      <c r="D84" s="166"/>
      <c r="E84" s="417"/>
      <c r="F84" s="294"/>
      <c r="G84" s="295"/>
      <c r="H84" s="166"/>
      <c r="I84" s="417"/>
      <c r="J84" s="294"/>
      <c r="K84" s="295"/>
      <c r="L84" s="166"/>
      <c r="M84" s="23"/>
    </row>
    <row r="85" spans="1:13" x14ac:dyDescent="0.2">
      <c r="A85" s="296" t="s">
        <v>13</v>
      </c>
      <c r="B85" s="294"/>
      <c r="C85" s="295"/>
      <c r="D85" s="166"/>
      <c r="E85" s="417"/>
      <c r="F85" s="294"/>
      <c r="G85" s="295"/>
      <c r="H85" s="166"/>
      <c r="I85" s="417"/>
      <c r="J85" s="294"/>
      <c r="K85" s="295"/>
      <c r="L85" s="166"/>
      <c r="M85" s="23"/>
    </row>
    <row r="86" spans="1:13" ht="15.75" x14ac:dyDescent="0.2">
      <c r="A86" s="21" t="s">
        <v>383</v>
      </c>
      <c r="B86" s="234"/>
      <c r="C86" s="145"/>
      <c r="D86" s="166"/>
      <c r="E86" s="27"/>
      <c r="F86" s="234">
        <v>6961.2025999999996</v>
      </c>
      <c r="G86" s="145">
        <v>9446.4570600000006</v>
      </c>
      <c r="H86" s="166">
        <f t="shared" si="15"/>
        <v>35.700000000000003</v>
      </c>
      <c r="I86" s="27">
        <f>IFERROR(100/'Skjema total MA'!F86*G86,0)</f>
        <v>82.907268225944861</v>
      </c>
      <c r="J86" s="287">
        <f t="shared" si="16"/>
        <v>6961.2025999999996</v>
      </c>
      <c r="K86" s="44">
        <f t="shared" si="16"/>
        <v>9446.4570600000006</v>
      </c>
      <c r="L86" s="254">
        <f t="shared" si="17"/>
        <v>35.700000000000003</v>
      </c>
      <c r="M86" s="27">
        <f>IFERROR(100/'Skjema total MA'!I86*K86,0)</f>
        <v>6.3214340874212329</v>
      </c>
    </row>
    <row r="87" spans="1:13" ht="15.75" x14ac:dyDescent="0.2">
      <c r="A87" s="13" t="s">
        <v>365</v>
      </c>
      <c r="B87" s="353">
        <v>14454472.45111</v>
      </c>
      <c r="C87" s="353">
        <v>16144885.49265</v>
      </c>
      <c r="D87" s="171">
        <f t="shared" si="14"/>
        <v>11.7</v>
      </c>
      <c r="E87" s="11">
        <f>IFERROR(100/'Skjema total MA'!C87*C87,0)</f>
        <v>4.1036359843500012</v>
      </c>
      <c r="F87" s="352">
        <v>28425931.417950001</v>
      </c>
      <c r="G87" s="352">
        <v>33124782.757289998</v>
      </c>
      <c r="H87" s="171">
        <f t="shared" si="15"/>
        <v>16.5</v>
      </c>
      <c r="I87" s="11">
        <f>IFERROR(100/'Skjema total MA'!F87*G87,0)</f>
        <v>9.7922427876381466</v>
      </c>
      <c r="J87" s="309">
        <f t="shared" ref="J87:K111" si="22">SUM(B87,F87)</f>
        <v>42880403.869060002</v>
      </c>
      <c r="K87" s="236">
        <f t="shared" si="22"/>
        <v>49269668.24994</v>
      </c>
      <c r="L87" s="428">
        <f t="shared" si="17"/>
        <v>14.9</v>
      </c>
      <c r="M87" s="11">
        <f>IFERROR(100/'Skjema total MA'!I87*K87,0)</f>
        <v>6.7335468601930666</v>
      </c>
    </row>
    <row r="88" spans="1:13" x14ac:dyDescent="0.2">
      <c r="A88" s="21" t="s">
        <v>9</v>
      </c>
      <c r="B88" s="234">
        <v>11307047.5009</v>
      </c>
      <c r="C88" s="145">
        <v>12188185.65897</v>
      </c>
      <c r="D88" s="166">
        <f t="shared" si="14"/>
        <v>7.8</v>
      </c>
      <c r="E88" s="27">
        <f>IFERROR(100/'Skjema total MA'!C88*C88,0)</f>
        <v>3.191700210269258</v>
      </c>
      <c r="F88" s="234"/>
      <c r="G88" s="145"/>
      <c r="H88" s="166"/>
      <c r="I88" s="27"/>
      <c r="J88" s="287">
        <f t="shared" si="22"/>
        <v>11307047.5009</v>
      </c>
      <c r="K88" s="44">
        <f t="shared" si="22"/>
        <v>12188185.65897</v>
      </c>
      <c r="L88" s="254">
        <f t="shared" si="17"/>
        <v>7.8</v>
      </c>
      <c r="M88" s="27">
        <f>IFERROR(100/'Skjema total MA'!I88*K88,0)</f>
        <v>3.191700210269258</v>
      </c>
    </row>
    <row r="89" spans="1:13" x14ac:dyDescent="0.2">
      <c r="A89" s="21" t="s">
        <v>10</v>
      </c>
      <c r="B89" s="234">
        <v>1465284.4854900001</v>
      </c>
      <c r="C89" s="145">
        <v>1633728.35253</v>
      </c>
      <c r="D89" s="166">
        <f t="shared" si="14"/>
        <v>11.5</v>
      </c>
      <c r="E89" s="27">
        <f>IFERROR(100/'Skjema total MA'!C89*C89,0)</f>
        <v>51.568671719652343</v>
      </c>
      <c r="F89" s="234">
        <v>27578209.392700002</v>
      </c>
      <c r="G89" s="145">
        <v>32005573.420899998</v>
      </c>
      <c r="H89" s="166">
        <f t="shared" si="15"/>
        <v>16.100000000000001</v>
      </c>
      <c r="I89" s="27">
        <f>IFERROR(100/'Skjema total MA'!F89*G89,0)</f>
        <v>9.5338827465047427</v>
      </c>
      <c r="J89" s="287">
        <f t="shared" si="22"/>
        <v>29043493.878190003</v>
      </c>
      <c r="K89" s="44">
        <f t="shared" si="22"/>
        <v>33639301.773429997</v>
      </c>
      <c r="L89" s="254">
        <f t="shared" si="17"/>
        <v>15.8</v>
      </c>
      <c r="M89" s="27">
        <f>IFERROR(100/'Skjema total MA'!I89*K89,0)</f>
        <v>9.9268602670121417</v>
      </c>
    </row>
    <row r="90" spans="1:13" ht="15.75" x14ac:dyDescent="0.2">
      <c r="A90" s="296" t="s">
        <v>380</v>
      </c>
      <c r="B90" s="294"/>
      <c r="C90" s="295"/>
      <c r="D90" s="166"/>
      <c r="E90" s="417"/>
      <c r="F90" s="294"/>
      <c r="G90" s="295"/>
      <c r="H90" s="166"/>
      <c r="I90" s="417"/>
      <c r="J90" s="294"/>
      <c r="K90" s="295"/>
      <c r="L90" s="166"/>
      <c r="M90" s="23"/>
    </row>
    <row r="91" spans="1:13" x14ac:dyDescent="0.2">
      <c r="A91" s="296" t="s">
        <v>12</v>
      </c>
      <c r="B91" s="294"/>
      <c r="C91" s="295"/>
      <c r="D91" s="166"/>
      <c r="E91" s="417"/>
      <c r="F91" s="294"/>
      <c r="G91" s="295"/>
      <c r="H91" s="166"/>
      <c r="I91" s="417"/>
      <c r="J91" s="294"/>
      <c r="K91" s="295"/>
      <c r="L91" s="166"/>
      <c r="M91" s="23"/>
    </row>
    <row r="92" spans="1:13" x14ac:dyDescent="0.2">
      <c r="A92" s="296" t="s">
        <v>13</v>
      </c>
      <c r="B92" s="294"/>
      <c r="C92" s="295"/>
      <c r="D92" s="166"/>
      <c r="E92" s="417"/>
      <c r="F92" s="294"/>
      <c r="G92" s="295"/>
      <c r="H92" s="166"/>
      <c r="I92" s="417"/>
      <c r="J92" s="294"/>
      <c r="K92" s="295"/>
      <c r="L92" s="166"/>
      <c r="M92" s="23"/>
    </row>
    <row r="93" spans="1:13" ht="15.75" x14ac:dyDescent="0.2">
      <c r="A93" s="296" t="s">
        <v>381</v>
      </c>
      <c r="B93" s="294"/>
      <c r="C93" s="295"/>
      <c r="D93" s="166"/>
      <c r="E93" s="417"/>
      <c r="F93" s="294"/>
      <c r="G93" s="295"/>
      <c r="H93" s="166"/>
      <c r="I93" s="417"/>
      <c r="J93" s="294"/>
      <c r="K93" s="295"/>
      <c r="L93" s="166"/>
      <c r="M93" s="23"/>
    </row>
    <row r="94" spans="1:13" x14ac:dyDescent="0.2">
      <c r="A94" s="296" t="s">
        <v>12</v>
      </c>
      <c r="B94" s="294"/>
      <c r="C94" s="295"/>
      <c r="D94" s="166"/>
      <c r="E94" s="417"/>
      <c r="F94" s="294"/>
      <c r="G94" s="295"/>
      <c r="H94" s="166"/>
      <c r="I94" s="417"/>
      <c r="J94" s="294"/>
      <c r="K94" s="295"/>
      <c r="L94" s="166"/>
      <c r="M94" s="23"/>
    </row>
    <row r="95" spans="1:13" x14ac:dyDescent="0.2">
      <c r="A95" s="296" t="s">
        <v>13</v>
      </c>
      <c r="B95" s="294"/>
      <c r="C95" s="295"/>
      <c r="D95" s="166"/>
      <c r="E95" s="417"/>
      <c r="F95" s="294"/>
      <c r="G95" s="295"/>
      <c r="H95" s="166"/>
      <c r="I95" s="417"/>
      <c r="J95" s="294"/>
      <c r="K95" s="295"/>
      <c r="L95" s="166"/>
      <c r="M95" s="23"/>
    </row>
    <row r="96" spans="1:13" x14ac:dyDescent="0.2">
      <c r="A96" s="21" t="s">
        <v>348</v>
      </c>
      <c r="B96" s="234">
        <v>1043080.01245</v>
      </c>
      <c r="C96" s="145">
        <v>1462557.9188699999</v>
      </c>
      <c r="D96" s="166">
        <f t="shared" si="14"/>
        <v>40.200000000000003</v>
      </c>
      <c r="E96" s="27">
        <f>IFERROR(100/'Skjema total MA'!C96*C96,0)</f>
        <v>79.318806186681016</v>
      </c>
      <c r="F96" s="234">
        <v>847722.02524999995</v>
      </c>
      <c r="G96" s="145">
        <v>1119209.3363900001</v>
      </c>
      <c r="H96" s="166">
        <f t="shared" si="15"/>
        <v>32</v>
      </c>
      <c r="I96" s="27">
        <f>IFERROR(100/'Skjema total MA'!F96*G96,0)</f>
        <v>43.510079662283623</v>
      </c>
      <c r="J96" s="287">
        <f t="shared" si="22"/>
        <v>1890802.0377</v>
      </c>
      <c r="K96" s="44">
        <f t="shared" si="22"/>
        <v>2581767.25526</v>
      </c>
      <c r="L96" s="254">
        <f t="shared" si="17"/>
        <v>36.5</v>
      </c>
      <c r="M96" s="27">
        <f>IFERROR(100/'Skjema total MA'!I96*K96,0)</f>
        <v>58.461324020862364</v>
      </c>
    </row>
    <row r="97" spans="1:13" x14ac:dyDescent="0.2">
      <c r="A97" s="21" t="s">
        <v>347</v>
      </c>
      <c r="B97" s="234">
        <v>639060.45227000001</v>
      </c>
      <c r="C97" s="145">
        <v>860413.56227999995</v>
      </c>
      <c r="D97" s="166">
        <f t="shared" ref="D97" si="23">IF(B97=0, "    ---- ", IF(ABS(ROUND(100/B97*C97-100,1))&lt;999,ROUND(100/B97*C97-100,1),IF(ROUND(100/B97*C97-100,1)&gt;999,999,-999)))</f>
        <v>34.6</v>
      </c>
      <c r="E97" s="27">
        <f>IFERROR(100/'Skjema total MA'!C98*C97,0)</f>
        <v>0.22605261546092212</v>
      </c>
      <c r="F97" s="234"/>
      <c r="G97" s="145"/>
      <c r="H97" s="166"/>
      <c r="I97" s="27"/>
      <c r="J97" s="287">
        <f t="shared" ref="J97" si="24">SUM(B97,F97)</f>
        <v>639060.45227000001</v>
      </c>
      <c r="K97" s="44">
        <f t="shared" ref="K97" si="25">SUM(C97,G97)</f>
        <v>860413.56227999995</v>
      </c>
      <c r="L97" s="254">
        <f t="shared" ref="L97" si="26">IF(J97=0, "    ---- ", IF(ABS(ROUND(100/J97*K97-100,1))&lt;999,ROUND(100/J97*K97-100,1),IF(ROUND(100/J97*K97-100,1)&gt;999,999,-999)))</f>
        <v>34.6</v>
      </c>
      <c r="M97" s="27">
        <f>IFERROR(100/'Skjema total MA'!I98*K97,0)</f>
        <v>0.12027264293716738</v>
      </c>
    </row>
    <row r="98" spans="1:13" ht="15.75" x14ac:dyDescent="0.2">
      <c r="A98" s="21" t="s">
        <v>382</v>
      </c>
      <c r="B98" s="234">
        <v>12772331.98639</v>
      </c>
      <c r="C98" s="234">
        <v>13821914.011500001</v>
      </c>
      <c r="D98" s="166">
        <f t="shared" si="14"/>
        <v>8.1999999999999993</v>
      </c>
      <c r="E98" s="27">
        <f>IFERROR(100/'Skjema total MA'!C98*C98,0)</f>
        <v>3.6313697853576579</v>
      </c>
      <c r="F98" s="292">
        <v>27504305.178599998</v>
      </c>
      <c r="G98" s="292">
        <v>31931471.494720001</v>
      </c>
      <c r="H98" s="166">
        <f t="shared" si="15"/>
        <v>16.100000000000001</v>
      </c>
      <c r="I98" s="27">
        <f>IFERROR(100/'Skjema total MA'!F98*G98,0)</f>
        <v>9.538599758314783</v>
      </c>
      <c r="J98" s="287">
        <f t="shared" si="22"/>
        <v>40276637.16499</v>
      </c>
      <c r="K98" s="44">
        <f t="shared" si="22"/>
        <v>45753385.506219998</v>
      </c>
      <c r="L98" s="254">
        <f t="shared" si="17"/>
        <v>13.6</v>
      </c>
      <c r="M98" s="27">
        <f>IFERROR(100/'Skjema total MA'!I98*K98,0)</f>
        <v>6.3956228021024533</v>
      </c>
    </row>
    <row r="99" spans="1:13" x14ac:dyDescent="0.2">
      <c r="A99" s="21" t="s">
        <v>9</v>
      </c>
      <c r="B99" s="292">
        <v>11307047.5009</v>
      </c>
      <c r="C99" s="293">
        <v>12188185.65897</v>
      </c>
      <c r="D99" s="166">
        <f t="shared" si="14"/>
        <v>7.8</v>
      </c>
      <c r="E99" s="27">
        <f>IFERROR(100/'Skjema total MA'!C99*C99,0)</f>
        <v>3.2290237996012041</v>
      </c>
      <c r="F99" s="234"/>
      <c r="G99" s="145"/>
      <c r="H99" s="166"/>
      <c r="I99" s="27"/>
      <c r="J99" s="287">
        <f t="shared" si="22"/>
        <v>11307047.5009</v>
      </c>
      <c r="K99" s="44">
        <f t="shared" si="22"/>
        <v>12188185.65897</v>
      </c>
      <c r="L99" s="254">
        <f t="shared" si="17"/>
        <v>7.8</v>
      </c>
      <c r="M99" s="27">
        <f>IFERROR(100/'Skjema total MA'!I99*K99,0)</f>
        <v>3.2290237996012041</v>
      </c>
    </row>
    <row r="100" spans="1:13" x14ac:dyDescent="0.2">
      <c r="A100" s="21" t="s">
        <v>10</v>
      </c>
      <c r="B100" s="292">
        <v>1465284.4854900001</v>
      </c>
      <c r="C100" s="293">
        <v>1633728.35253</v>
      </c>
      <c r="D100" s="166">
        <f t="shared" si="14"/>
        <v>11.5</v>
      </c>
      <c r="E100" s="27">
        <f>IFERROR(100/'Skjema total MA'!C100*C100,0)</f>
        <v>51.568671719652343</v>
      </c>
      <c r="F100" s="234">
        <v>27504305.178599998</v>
      </c>
      <c r="G100" s="234">
        <v>31931471.494720001</v>
      </c>
      <c r="H100" s="166">
        <f t="shared" si="15"/>
        <v>16.100000000000001</v>
      </c>
      <c r="I100" s="27">
        <f>IFERROR(100/'Skjema total MA'!F100*G100,0)</f>
        <v>9.538599758314783</v>
      </c>
      <c r="J100" s="287">
        <f t="shared" si="22"/>
        <v>28969589.66409</v>
      </c>
      <c r="K100" s="44">
        <f t="shared" si="22"/>
        <v>33565199.84725</v>
      </c>
      <c r="L100" s="254">
        <f t="shared" si="17"/>
        <v>15.9</v>
      </c>
      <c r="M100" s="27">
        <f>IFERROR(100/'Skjema total MA'!I100*K100,0)</f>
        <v>9.9326295275746759</v>
      </c>
    </row>
    <row r="101" spans="1:13" ht="15.75" x14ac:dyDescent="0.2">
      <c r="A101" s="296" t="s">
        <v>380</v>
      </c>
      <c r="B101" s="294"/>
      <c r="C101" s="295"/>
      <c r="D101" s="166"/>
      <c r="E101" s="417"/>
      <c r="F101" s="294"/>
      <c r="G101" s="295"/>
      <c r="H101" s="166"/>
      <c r="I101" s="417"/>
      <c r="J101" s="294"/>
      <c r="K101" s="295"/>
      <c r="L101" s="166"/>
      <c r="M101" s="23"/>
    </row>
    <row r="102" spans="1:13" x14ac:dyDescent="0.2">
      <c r="A102" s="296" t="s">
        <v>12</v>
      </c>
      <c r="B102" s="294"/>
      <c r="C102" s="295"/>
      <c r="D102" s="166"/>
      <c r="E102" s="417"/>
      <c r="F102" s="294"/>
      <c r="G102" s="295"/>
      <c r="H102" s="166"/>
      <c r="I102" s="417"/>
      <c r="J102" s="294"/>
      <c r="K102" s="295"/>
      <c r="L102" s="166"/>
      <c r="M102" s="23"/>
    </row>
    <row r="103" spans="1:13" x14ac:dyDescent="0.2">
      <c r="A103" s="296" t="s">
        <v>13</v>
      </c>
      <c r="B103" s="294"/>
      <c r="C103" s="295"/>
      <c r="D103" s="166"/>
      <c r="E103" s="417"/>
      <c r="F103" s="294"/>
      <c r="G103" s="295"/>
      <c r="H103" s="166"/>
      <c r="I103" s="417"/>
      <c r="J103" s="294"/>
      <c r="K103" s="295"/>
      <c r="L103" s="166"/>
      <c r="M103" s="23"/>
    </row>
    <row r="104" spans="1:13" ht="15.75" x14ac:dyDescent="0.2">
      <c r="A104" s="296" t="s">
        <v>381</v>
      </c>
      <c r="B104" s="294"/>
      <c r="C104" s="295"/>
      <c r="D104" s="166"/>
      <c r="E104" s="417"/>
      <c r="F104" s="294"/>
      <c r="G104" s="295"/>
      <c r="H104" s="166"/>
      <c r="I104" s="417"/>
      <c r="J104" s="294"/>
      <c r="K104" s="295"/>
      <c r="L104" s="166"/>
      <c r="M104" s="23"/>
    </row>
    <row r="105" spans="1:13" x14ac:dyDescent="0.2">
      <c r="A105" s="296" t="s">
        <v>12</v>
      </c>
      <c r="B105" s="294"/>
      <c r="C105" s="295"/>
      <c r="D105" s="166"/>
      <c r="E105" s="417"/>
      <c r="F105" s="294"/>
      <c r="G105" s="295"/>
      <c r="H105" s="166"/>
      <c r="I105" s="417"/>
      <c r="J105" s="294"/>
      <c r="K105" s="295"/>
      <c r="L105" s="166"/>
      <c r="M105" s="23"/>
    </row>
    <row r="106" spans="1:13" x14ac:dyDescent="0.2">
      <c r="A106" s="296" t="s">
        <v>13</v>
      </c>
      <c r="B106" s="294"/>
      <c r="C106" s="295"/>
      <c r="D106" s="166"/>
      <c r="E106" s="417"/>
      <c r="F106" s="294"/>
      <c r="G106" s="295"/>
      <c r="H106" s="166"/>
      <c r="I106" s="417"/>
      <c r="J106" s="294"/>
      <c r="K106" s="295"/>
      <c r="L106" s="166"/>
      <c r="M106" s="23"/>
    </row>
    <row r="107" spans="1:13" ht="15.75" x14ac:dyDescent="0.2">
      <c r="A107" s="21" t="s">
        <v>383</v>
      </c>
      <c r="B107" s="234"/>
      <c r="C107" s="145"/>
      <c r="D107" s="166"/>
      <c r="E107" s="27"/>
      <c r="F107" s="234">
        <v>73904.214099999997</v>
      </c>
      <c r="G107" s="145">
        <v>74101.926179999995</v>
      </c>
      <c r="H107" s="166">
        <f t="shared" si="15"/>
        <v>0.3</v>
      </c>
      <c r="I107" s="27">
        <f>IFERROR(100/'Skjema total MA'!F107*G107,0)</f>
        <v>7.8591455391648655</v>
      </c>
      <c r="J107" s="287">
        <f t="shared" si="22"/>
        <v>73904.214099999997</v>
      </c>
      <c r="K107" s="44">
        <f t="shared" si="22"/>
        <v>74101.926179999995</v>
      </c>
      <c r="L107" s="254">
        <f t="shared" si="17"/>
        <v>0.3</v>
      </c>
      <c r="M107" s="27">
        <f>IFERROR(100/'Skjema total MA'!I107*K107,0)</f>
        <v>1.3833135036630679</v>
      </c>
    </row>
    <row r="108" spans="1:13" ht="15.75" x14ac:dyDescent="0.2">
      <c r="A108" s="21" t="s">
        <v>384</v>
      </c>
      <c r="B108" s="234">
        <v>8177932.0647999998</v>
      </c>
      <c r="C108" s="234">
        <v>8901321.2001399994</v>
      </c>
      <c r="D108" s="166">
        <f t="shared" si="14"/>
        <v>8.8000000000000007</v>
      </c>
      <c r="E108" s="27">
        <f>IFERROR(100/'Skjema total MA'!C108*C108,0)</f>
        <v>2.7358818103622853</v>
      </c>
      <c r="F108" s="234"/>
      <c r="G108" s="234"/>
      <c r="H108" s="166"/>
      <c r="I108" s="27"/>
      <c r="J108" s="287">
        <f t="shared" si="22"/>
        <v>8177932.0647999998</v>
      </c>
      <c r="K108" s="44">
        <f t="shared" si="22"/>
        <v>8901321.2001399994</v>
      </c>
      <c r="L108" s="254">
        <f t="shared" si="17"/>
        <v>8.8000000000000007</v>
      </c>
      <c r="M108" s="27">
        <f>IFERROR(100/'Skjema total MA'!I108*K108,0)</f>
        <v>2.5974228603751648</v>
      </c>
    </row>
    <row r="109" spans="1:13" ht="15.75" x14ac:dyDescent="0.2">
      <c r="A109" s="21" t="s">
        <v>385</v>
      </c>
      <c r="B109" s="234">
        <v>342234.47370999999</v>
      </c>
      <c r="C109" s="234">
        <v>354243.37033000001</v>
      </c>
      <c r="D109" s="166">
        <f t="shared" si="14"/>
        <v>3.5</v>
      </c>
      <c r="E109" s="27">
        <f>IFERROR(100/'Skjema total MA'!C109*C109,0)</f>
        <v>33.837036124152952</v>
      </c>
      <c r="F109" s="234">
        <v>9016508.0964800008</v>
      </c>
      <c r="G109" s="234">
        <v>10908701.948340001</v>
      </c>
      <c r="H109" s="166">
        <f t="shared" si="15"/>
        <v>21</v>
      </c>
      <c r="I109" s="27">
        <f>IFERROR(100/'Skjema total MA'!F109*G109,0)</f>
        <v>9.2277580258401422</v>
      </c>
      <c r="J109" s="287">
        <f t="shared" si="22"/>
        <v>9358742.5701900013</v>
      </c>
      <c r="K109" s="44">
        <f t="shared" si="22"/>
        <v>11262945.318670001</v>
      </c>
      <c r="L109" s="254">
        <f t="shared" si="17"/>
        <v>20.3</v>
      </c>
      <c r="M109" s="27">
        <f>IFERROR(100/'Skjema total MA'!I109*K109,0)</f>
        <v>9.4437821610626962</v>
      </c>
    </row>
    <row r="110" spans="1:13" ht="15.75" x14ac:dyDescent="0.2">
      <c r="A110" s="21" t="s">
        <v>386</v>
      </c>
      <c r="B110" s="234">
        <v>175818.55074000001</v>
      </c>
      <c r="C110" s="234">
        <v>292208.04089</v>
      </c>
      <c r="D110" s="166">
        <f t="shared" si="14"/>
        <v>66.2</v>
      </c>
      <c r="E110" s="27">
        <f>IFERROR(100/'Skjema total MA'!C110*C110,0)</f>
        <v>68.600479989998533</v>
      </c>
      <c r="F110" s="234"/>
      <c r="G110" s="234"/>
      <c r="H110" s="166"/>
      <c r="I110" s="27"/>
      <c r="J110" s="287">
        <f t="shared" si="22"/>
        <v>175818.55074000001</v>
      </c>
      <c r="K110" s="44">
        <f t="shared" si="22"/>
        <v>292208.04089</v>
      </c>
      <c r="L110" s="254">
        <f t="shared" si="17"/>
        <v>66.2</v>
      </c>
      <c r="M110" s="27">
        <f>IFERROR(100/'Skjema total MA'!I110*K110,0)</f>
        <v>68.600479989998533</v>
      </c>
    </row>
    <row r="111" spans="1:13" ht="15.75" x14ac:dyDescent="0.2">
      <c r="A111" s="13" t="s">
        <v>366</v>
      </c>
      <c r="B111" s="308">
        <v>20995.936689999999</v>
      </c>
      <c r="C111" s="159">
        <v>15599.566859999999</v>
      </c>
      <c r="D111" s="171">
        <f t="shared" si="14"/>
        <v>-25.7</v>
      </c>
      <c r="E111" s="11">
        <f>IFERROR(100/'Skjema total MA'!C111*C111,0)</f>
        <v>2.3473750794072563</v>
      </c>
      <c r="F111" s="308">
        <v>1092084.52899</v>
      </c>
      <c r="G111" s="159">
        <v>870734.84537999996</v>
      </c>
      <c r="H111" s="171">
        <f t="shared" si="15"/>
        <v>-20.3</v>
      </c>
      <c r="I111" s="11">
        <f>IFERROR(100/'Skjema total MA'!F111*G111,0)</f>
        <v>5.9052587069220079</v>
      </c>
      <c r="J111" s="309">
        <f t="shared" si="22"/>
        <v>1113080.4656799999</v>
      </c>
      <c r="K111" s="236">
        <f t="shared" si="22"/>
        <v>886334.41223999998</v>
      </c>
      <c r="L111" s="428">
        <f t="shared" si="17"/>
        <v>-20.399999999999999</v>
      </c>
      <c r="M111" s="11">
        <f>IFERROR(100/'Skjema total MA'!I111*K111,0)</f>
        <v>5.751821880794826</v>
      </c>
    </row>
    <row r="112" spans="1:13" x14ac:dyDescent="0.2">
      <c r="A112" s="21" t="s">
        <v>9</v>
      </c>
      <c r="B112" s="234">
        <v>2128.7848100000001</v>
      </c>
      <c r="C112" s="145">
        <v>4257.0355300000001</v>
      </c>
      <c r="D112" s="166">
        <f t="shared" ref="D112:D125" si="27">IF(B112=0, "    ---- ", IF(ABS(ROUND(100/B112*C112-100,1))&lt;999,ROUND(100/B112*C112-100,1),IF(ROUND(100/B112*C112-100,1)&gt;999,999,-999)))</f>
        <v>100</v>
      </c>
      <c r="E112" s="27">
        <f>IFERROR(100/'Skjema total MA'!C112*C112,0)</f>
        <v>1.6150848598379066</v>
      </c>
      <c r="F112" s="234"/>
      <c r="G112" s="145"/>
      <c r="H112" s="166"/>
      <c r="I112" s="27"/>
      <c r="J112" s="287">
        <f t="shared" ref="J112:K125" si="28">SUM(B112,F112)</f>
        <v>2128.7848100000001</v>
      </c>
      <c r="K112" s="44">
        <f t="shared" si="28"/>
        <v>4257.0355300000001</v>
      </c>
      <c r="L112" s="254">
        <f t="shared" ref="L112:L125" si="29">IF(J112=0, "    ---- ", IF(ABS(ROUND(100/J112*K112-100,1))&lt;999,ROUND(100/J112*K112-100,1),IF(ROUND(100/J112*K112-100,1)&gt;999,999,-999)))</f>
        <v>100</v>
      </c>
      <c r="M112" s="27">
        <f>IFERROR(100/'Skjema total MA'!I112*K112,0)</f>
        <v>1.5898344427277091</v>
      </c>
    </row>
    <row r="113" spans="1:14" x14ac:dyDescent="0.2">
      <c r="A113" s="21" t="s">
        <v>10</v>
      </c>
      <c r="B113" s="234">
        <v>345.58834999999999</v>
      </c>
      <c r="C113" s="145">
        <v>3724.60727</v>
      </c>
      <c r="D113" s="166">
        <f t="shared" si="27"/>
        <v>977.8</v>
      </c>
      <c r="E113" s="27">
        <f>IFERROR(100/'Skjema total MA'!C113*C113,0)</f>
        <v>73.094472800687399</v>
      </c>
      <c r="F113" s="234">
        <v>1062998.3780100001</v>
      </c>
      <c r="G113" s="145">
        <v>870556.74338</v>
      </c>
      <c r="H113" s="166">
        <f t="shared" ref="H113:H125" si="30">IF(F113=0, "    ---- ", IF(ABS(ROUND(100/F113*G113-100,1))&lt;999,ROUND(100/F113*G113-100,1),IF(ROUND(100/F113*G113-100,1)&gt;999,999,-999)))</f>
        <v>-18.100000000000001</v>
      </c>
      <c r="I113" s="27">
        <f>IFERROR(100/'Skjema total MA'!F113*G113,0)</f>
        <v>5.9334800469561335</v>
      </c>
      <c r="J113" s="287">
        <f t="shared" si="28"/>
        <v>1063343.9663600002</v>
      </c>
      <c r="K113" s="44">
        <f t="shared" si="28"/>
        <v>874281.35065000004</v>
      </c>
      <c r="L113" s="254">
        <f t="shared" si="29"/>
        <v>-17.8</v>
      </c>
      <c r="M113" s="27">
        <f>IFERROR(100/'Skjema total MA'!I113*K113,0)</f>
        <v>5.9567971532493811</v>
      </c>
    </row>
    <row r="114" spans="1:14" x14ac:dyDescent="0.2">
      <c r="A114" s="21" t="s">
        <v>26</v>
      </c>
      <c r="B114" s="234">
        <v>18521.563529999999</v>
      </c>
      <c r="C114" s="145">
        <v>7617.9240600000003</v>
      </c>
      <c r="D114" s="166">
        <f t="shared" si="27"/>
        <v>-58.9</v>
      </c>
      <c r="E114" s="27">
        <f>IFERROR(100/'Skjema total MA'!C114*C114,0)</f>
        <v>1.9243092657628347</v>
      </c>
      <c r="F114" s="234">
        <v>29086.150979999999</v>
      </c>
      <c r="G114" s="145">
        <v>178.102</v>
      </c>
      <c r="H114" s="166">
        <f t="shared" si="30"/>
        <v>-99.4</v>
      </c>
      <c r="I114" s="27">
        <f>IFERROR(100/'Skjema total MA'!F114*G114,0)</f>
        <v>0.25831655757036176</v>
      </c>
      <c r="J114" s="287">
        <f t="shared" si="28"/>
        <v>47607.714509999998</v>
      </c>
      <c r="K114" s="44">
        <f t="shared" si="28"/>
        <v>7796.0260600000001</v>
      </c>
      <c r="L114" s="254">
        <f t="shared" si="29"/>
        <v>-83.6</v>
      </c>
      <c r="M114" s="27">
        <f>IFERROR(100/'Skjema total MA'!I114*K114,0)</f>
        <v>1.6771939549041148</v>
      </c>
    </row>
    <row r="115" spans="1:14" x14ac:dyDescent="0.2">
      <c r="A115" s="296" t="s">
        <v>15</v>
      </c>
      <c r="B115" s="294"/>
      <c r="C115" s="295"/>
      <c r="D115" s="166"/>
      <c r="E115" s="417"/>
      <c r="F115" s="294"/>
      <c r="G115" s="295"/>
      <c r="H115" s="166"/>
      <c r="I115" s="417"/>
      <c r="J115" s="294"/>
      <c r="K115" s="295"/>
      <c r="L115" s="166"/>
      <c r="M115" s="23"/>
    </row>
    <row r="116" spans="1:14" ht="15.75" x14ac:dyDescent="0.2">
      <c r="A116" s="21" t="s">
        <v>387</v>
      </c>
      <c r="B116" s="234">
        <v>2128.8671300000001</v>
      </c>
      <c r="C116" s="234">
        <v>3082.97228</v>
      </c>
      <c r="D116" s="166">
        <f t="shared" si="27"/>
        <v>44.8</v>
      </c>
      <c r="E116" s="27">
        <f>IFERROR(100/'Skjema total MA'!C116*C116,0)</f>
        <v>4.8381127738817966</v>
      </c>
      <c r="F116" s="234"/>
      <c r="G116" s="234"/>
      <c r="H116" s="166"/>
      <c r="I116" s="27"/>
      <c r="J116" s="287">
        <f t="shared" si="28"/>
        <v>2128.8671300000001</v>
      </c>
      <c r="K116" s="44">
        <f t="shared" si="28"/>
        <v>3082.97228</v>
      </c>
      <c r="L116" s="254">
        <f t="shared" si="29"/>
        <v>44.8</v>
      </c>
      <c r="M116" s="27">
        <f>IFERROR(100/'Skjema total MA'!I116*K116,0)</f>
        <v>4.5398645622205578</v>
      </c>
    </row>
    <row r="117" spans="1:14" ht="15.75" x14ac:dyDescent="0.2">
      <c r="A117" s="21" t="s">
        <v>388</v>
      </c>
      <c r="B117" s="234"/>
      <c r="C117" s="234"/>
      <c r="D117" s="166"/>
      <c r="E117" s="27"/>
      <c r="F117" s="234">
        <v>261939.9694</v>
      </c>
      <c r="G117" s="234">
        <v>301588.46357999998</v>
      </c>
      <c r="H117" s="166">
        <f t="shared" si="30"/>
        <v>15.1</v>
      </c>
      <c r="I117" s="27">
        <f>IFERROR(100/'Skjema total MA'!F117*G117,0)</f>
        <v>12.734114514757296</v>
      </c>
      <c r="J117" s="287">
        <f t="shared" si="28"/>
        <v>261939.9694</v>
      </c>
      <c r="K117" s="44">
        <f t="shared" si="28"/>
        <v>301588.46357999998</v>
      </c>
      <c r="L117" s="254">
        <f t="shared" si="29"/>
        <v>15.1</v>
      </c>
      <c r="M117" s="27">
        <f>IFERROR(100/'Skjema total MA'!I117*K117,0)</f>
        <v>12.734114514757296</v>
      </c>
    </row>
    <row r="118" spans="1:14" ht="15.75" x14ac:dyDescent="0.2">
      <c r="A118" s="21" t="s">
        <v>386</v>
      </c>
      <c r="B118" s="234"/>
      <c r="C118" s="234"/>
      <c r="D118" s="166"/>
      <c r="E118" s="27"/>
      <c r="F118" s="234"/>
      <c r="G118" s="234"/>
      <c r="H118" s="166"/>
      <c r="I118" s="27"/>
      <c r="J118" s="287"/>
      <c r="K118" s="44"/>
      <c r="L118" s="254"/>
      <c r="M118" s="27"/>
    </row>
    <row r="119" spans="1:14" ht="15.75" x14ac:dyDescent="0.2">
      <c r="A119" s="13" t="s">
        <v>367</v>
      </c>
      <c r="B119" s="308">
        <v>42334.265570000003</v>
      </c>
      <c r="C119" s="159">
        <v>11887.309940000001</v>
      </c>
      <c r="D119" s="171">
        <f t="shared" si="27"/>
        <v>-71.900000000000006</v>
      </c>
      <c r="E119" s="11">
        <f>IFERROR(100/'Skjema total MA'!C119*C119,0)</f>
        <v>1.6170659272016092</v>
      </c>
      <c r="F119" s="308">
        <v>729208.17689999996</v>
      </c>
      <c r="G119" s="159">
        <v>643226.31026000006</v>
      </c>
      <c r="H119" s="171">
        <f t="shared" si="30"/>
        <v>-11.8</v>
      </c>
      <c r="I119" s="11">
        <f>IFERROR(100/'Skjema total MA'!F119*G119,0)</f>
        <v>4.3858496459529839</v>
      </c>
      <c r="J119" s="309">
        <f t="shared" si="28"/>
        <v>771542.44247000001</v>
      </c>
      <c r="K119" s="236">
        <f t="shared" si="28"/>
        <v>655113.6202</v>
      </c>
      <c r="L119" s="428">
        <f t="shared" si="29"/>
        <v>-15.1</v>
      </c>
      <c r="M119" s="11">
        <f>IFERROR(100/'Skjema total MA'!I119*K119,0)</f>
        <v>4.253691406783644</v>
      </c>
    </row>
    <row r="120" spans="1:14" x14ac:dyDescent="0.2">
      <c r="A120" s="21" t="s">
        <v>9</v>
      </c>
      <c r="B120" s="234">
        <v>194.97514000000001</v>
      </c>
      <c r="C120" s="145">
        <v>396.30399999999997</v>
      </c>
      <c r="D120" s="166">
        <f t="shared" si="27"/>
        <v>103.3</v>
      </c>
      <c r="E120" s="27">
        <f>IFERROR(100/'Skjema total MA'!C120*C120,0)</f>
        <v>7.0478686424422704E-2</v>
      </c>
      <c r="F120" s="234"/>
      <c r="G120" s="145"/>
      <c r="H120" s="166"/>
      <c r="I120" s="27"/>
      <c r="J120" s="287">
        <f t="shared" si="28"/>
        <v>194.97514000000001</v>
      </c>
      <c r="K120" s="44">
        <f t="shared" si="28"/>
        <v>396.30399999999997</v>
      </c>
      <c r="L120" s="254">
        <f t="shared" si="29"/>
        <v>103.3</v>
      </c>
      <c r="M120" s="27">
        <f>IFERROR(100/'Skjema total MA'!I120*K120,0)</f>
        <v>7.0478686424422704E-2</v>
      </c>
    </row>
    <row r="121" spans="1:14" x14ac:dyDescent="0.2">
      <c r="A121" s="21" t="s">
        <v>10</v>
      </c>
      <c r="B121" s="234">
        <v>33040.485439999997</v>
      </c>
      <c r="C121" s="145">
        <v>3265.1131</v>
      </c>
      <c r="D121" s="166">
        <f t="shared" si="27"/>
        <v>-90.1</v>
      </c>
      <c r="E121" s="27">
        <f>IFERROR(100/'Skjema total MA'!C121*C121,0)</f>
        <v>59.299782636139447</v>
      </c>
      <c r="F121" s="234">
        <v>729208.17689999996</v>
      </c>
      <c r="G121" s="145">
        <v>643226.31026000006</v>
      </c>
      <c r="H121" s="166">
        <f t="shared" si="30"/>
        <v>-11.8</v>
      </c>
      <c r="I121" s="27">
        <f>IFERROR(100/'Skjema total MA'!F121*G121,0)</f>
        <v>4.3858496459529839</v>
      </c>
      <c r="J121" s="287">
        <f t="shared" si="28"/>
        <v>762248.66233999992</v>
      </c>
      <c r="K121" s="44">
        <f t="shared" si="28"/>
        <v>646491.42336000002</v>
      </c>
      <c r="L121" s="254">
        <f t="shared" si="29"/>
        <v>-15.2</v>
      </c>
      <c r="M121" s="27">
        <f>IFERROR(100/'Skjema total MA'!I121*K121,0)</f>
        <v>4.4064585357745472</v>
      </c>
    </row>
    <row r="122" spans="1:14" x14ac:dyDescent="0.2">
      <c r="A122" s="21" t="s">
        <v>26</v>
      </c>
      <c r="B122" s="234">
        <v>9098.8049900000005</v>
      </c>
      <c r="C122" s="145">
        <v>8225.8928400000004</v>
      </c>
      <c r="D122" s="166">
        <f t="shared" si="27"/>
        <v>-9.6</v>
      </c>
      <c r="E122" s="27">
        <f>IFERROR(100/'Skjema total MA'!C122*C122,0)</f>
        <v>4.9166597081019257</v>
      </c>
      <c r="F122" s="234"/>
      <c r="G122" s="145"/>
      <c r="H122" s="166"/>
      <c r="I122" s="27"/>
      <c r="J122" s="287">
        <f t="shared" si="28"/>
        <v>9098.8049900000005</v>
      </c>
      <c r="K122" s="44">
        <f t="shared" si="28"/>
        <v>8225.8928400000004</v>
      </c>
      <c r="L122" s="254">
        <f t="shared" si="29"/>
        <v>-9.6</v>
      </c>
      <c r="M122" s="27">
        <f>IFERROR(100/'Skjema total MA'!I122*K122,0)</f>
        <v>4.9166597081019257</v>
      </c>
    </row>
    <row r="123" spans="1:14" x14ac:dyDescent="0.2">
      <c r="A123" s="296" t="s">
        <v>14</v>
      </c>
      <c r="B123" s="294"/>
      <c r="C123" s="295"/>
      <c r="D123" s="166"/>
      <c r="E123" s="417"/>
      <c r="F123" s="294"/>
      <c r="G123" s="295"/>
      <c r="H123" s="166"/>
      <c r="I123" s="417"/>
      <c r="J123" s="294"/>
      <c r="K123" s="295"/>
      <c r="L123" s="166"/>
      <c r="M123" s="23"/>
    </row>
    <row r="124" spans="1:14" ht="15.75" x14ac:dyDescent="0.2">
      <c r="A124" s="21" t="s">
        <v>393</v>
      </c>
      <c r="B124" s="234">
        <v>115.97561</v>
      </c>
      <c r="C124" s="234">
        <v>0</v>
      </c>
      <c r="D124" s="166">
        <f t="shared" si="27"/>
        <v>-100</v>
      </c>
      <c r="E124" s="27">
        <f>IFERROR(100/'Skjema total MA'!C124*C124,0)</f>
        <v>0</v>
      </c>
      <c r="F124" s="234"/>
      <c r="G124" s="234"/>
      <c r="H124" s="166"/>
      <c r="I124" s="27"/>
      <c r="J124" s="287">
        <f t="shared" si="28"/>
        <v>115.97561</v>
      </c>
      <c r="K124" s="44">
        <f t="shared" si="28"/>
        <v>0</v>
      </c>
      <c r="L124" s="254">
        <f t="shared" si="29"/>
        <v>-100</v>
      </c>
      <c r="M124" s="27">
        <f>IFERROR(100/'Skjema total MA'!I124*K124,0)</f>
        <v>0</v>
      </c>
    </row>
    <row r="125" spans="1:14" ht="15.75" x14ac:dyDescent="0.2">
      <c r="A125" s="21" t="s">
        <v>385</v>
      </c>
      <c r="B125" s="234">
        <v>2607.11528</v>
      </c>
      <c r="C125" s="234">
        <v>1211.61528</v>
      </c>
      <c r="D125" s="166">
        <f t="shared" si="27"/>
        <v>-53.5</v>
      </c>
      <c r="E125" s="27">
        <f>IFERROR(100/'Skjema total MA'!C125*C125,0)</f>
        <v>88.630158153826358</v>
      </c>
      <c r="F125" s="234">
        <v>196814.17113999999</v>
      </c>
      <c r="G125" s="234">
        <v>246114.58803000001</v>
      </c>
      <c r="H125" s="166">
        <f t="shared" si="30"/>
        <v>25</v>
      </c>
      <c r="I125" s="27">
        <f>IFERROR(100/'Skjema total MA'!F125*G125,0)</f>
        <v>9.3898581896036539</v>
      </c>
      <c r="J125" s="287">
        <f t="shared" si="28"/>
        <v>199421.28641999999</v>
      </c>
      <c r="K125" s="44">
        <f t="shared" si="28"/>
        <v>247326.20331000001</v>
      </c>
      <c r="L125" s="254">
        <f t="shared" si="29"/>
        <v>24</v>
      </c>
      <c r="M125" s="27">
        <f>IFERROR(100/'Skjema total MA'!I125*K125,0)</f>
        <v>9.4311652750720771</v>
      </c>
    </row>
    <row r="126" spans="1:14" ht="15.75" x14ac:dyDescent="0.2">
      <c r="A126" s="10" t="s">
        <v>386</v>
      </c>
      <c r="B126" s="45"/>
      <c r="C126" s="45"/>
      <c r="D126" s="167"/>
      <c r="E126" s="418"/>
      <c r="F126" s="45"/>
      <c r="G126" s="45"/>
      <c r="H126" s="167"/>
      <c r="I126" s="22"/>
      <c r="J126" s="288"/>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35"/>
      <c r="C130" s="735"/>
      <c r="D130" s="735"/>
      <c r="E130" s="299"/>
      <c r="F130" s="735"/>
      <c r="G130" s="735"/>
      <c r="H130" s="735"/>
      <c r="I130" s="299"/>
      <c r="J130" s="735"/>
      <c r="K130" s="735"/>
      <c r="L130" s="735"/>
      <c r="M130" s="299"/>
    </row>
    <row r="131" spans="1:14" s="3" customFormat="1" x14ac:dyDescent="0.2">
      <c r="A131" s="144"/>
      <c r="B131" s="733" t="s">
        <v>0</v>
      </c>
      <c r="C131" s="734"/>
      <c r="D131" s="734"/>
      <c r="E131" s="301"/>
      <c r="F131" s="733" t="s">
        <v>1</v>
      </c>
      <c r="G131" s="734"/>
      <c r="H131" s="734"/>
      <c r="I131" s="304"/>
      <c r="J131" s="733" t="s">
        <v>2</v>
      </c>
      <c r="K131" s="734"/>
      <c r="L131" s="734"/>
      <c r="M131" s="304"/>
      <c r="N131" s="148"/>
    </row>
    <row r="132" spans="1:14" s="3" customFormat="1" x14ac:dyDescent="0.2">
      <c r="A132" s="140"/>
      <c r="B132" s="152" t="s">
        <v>421</v>
      </c>
      <c r="C132" s="152" t="s">
        <v>422</v>
      </c>
      <c r="D132" s="245" t="s">
        <v>3</v>
      </c>
      <c r="E132" s="305" t="s">
        <v>29</v>
      </c>
      <c r="F132" s="152" t="s">
        <v>421</v>
      </c>
      <c r="G132" s="152" t="s">
        <v>422</v>
      </c>
      <c r="H132" s="206" t="s">
        <v>3</v>
      </c>
      <c r="I132" s="162" t="s">
        <v>29</v>
      </c>
      <c r="J132" s="152" t="s">
        <v>421</v>
      </c>
      <c r="K132" s="152" t="s">
        <v>422</v>
      </c>
      <c r="L132" s="246" t="s">
        <v>3</v>
      </c>
      <c r="M132" s="162" t="s">
        <v>29</v>
      </c>
      <c r="N132" s="148"/>
    </row>
    <row r="133" spans="1:14" s="3" customFormat="1" x14ac:dyDescent="0.2">
      <c r="A133" s="708"/>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389</v>
      </c>
      <c r="B134" s="236"/>
      <c r="C134" s="309"/>
      <c r="D134" s="350"/>
      <c r="E134" s="11"/>
      <c r="F134" s="316"/>
      <c r="G134" s="317"/>
      <c r="H134" s="431"/>
      <c r="I134" s="24"/>
      <c r="J134" s="318"/>
      <c r="K134" s="318"/>
      <c r="L134" s="427"/>
      <c r="M134" s="11"/>
      <c r="N134" s="148"/>
    </row>
    <row r="135" spans="1:14" s="3" customFormat="1" ht="15.75" x14ac:dyDescent="0.2">
      <c r="A135" s="13" t="s">
        <v>394</v>
      </c>
      <c r="B135" s="236"/>
      <c r="C135" s="309"/>
      <c r="D135" s="171"/>
      <c r="E135" s="11"/>
      <c r="F135" s="236"/>
      <c r="G135" s="309"/>
      <c r="H135" s="432"/>
      <c r="I135" s="24"/>
      <c r="J135" s="308"/>
      <c r="K135" s="308"/>
      <c r="L135" s="428"/>
      <c r="M135" s="11"/>
      <c r="N135" s="148"/>
    </row>
    <row r="136" spans="1:14" s="3" customFormat="1" ht="15.75" x14ac:dyDescent="0.2">
      <c r="A136" s="13" t="s">
        <v>391</v>
      </c>
      <c r="B136" s="236"/>
      <c r="C136" s="309"/>
      <c r="D136" s="171"/>
      <c r="E136" s="11"/>
      <c r="F136" s="236"/>
      <c r="G136" s="309"/>
      <c r="H136" s="432"/>
      <c r="I136" s="24"/>
      <c r="J136" s="308"/>
      <c r="K136" s="308"/>
      <c r="L136" s="428"/>
      <c r="M136" s="11"/>
      <c r="N136" s="148"/>
    </row>
    <row r="137" spans="1:14" s="3" customFormat="1" ht="15.75" x14ac:dyDescent="0.2">
      <c r="A137" s="41" t="s">
        <v>392</v>
      </c>
      <c r="B137" s="276"/>
      <c r="C137" s="315"/>
      <c r="D137" s="169"/>
      <c r="E137" s="9"/>
      <c r="F137" s="276"/>
      <c r="G137" s="315"/>
      <c r="H137" s="433"/>
      <c r="I137" s="36"/>
      <c r="J137" s="314"/>
      <c r="K137" s="314"/>
      <c r="L137" s="429"/>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260" priority="132">
      <formula>kvartal &lt; 4</formula>
    </cfRule>
  </conditionalFormatting>
  <conditionalFormatting sqref="A50:A52">
    <cfRule type="expression" dxfId="259" priority="12">
      <formula>kvartal &lt; 4</formula>
    </cfRule>
  </conditionalFormatting>
  <conditionalFormatting sqref="A69:A74">
    <cfRule type="expression" dxfId="258" priority="10">
      <formula>kvartal &lt; 4</formula>
    </cfRule>
  </conditionalFormatting>
  <conditionalFormatting sqref="A80:A85">
    <cfRule type="expression" dxfId="257" priority="9">
      <formula>kvartal &lt; 4</formula>
    </cfRule>
  </conditionalFormatting>
  <conditionalFormatting sqref="A90:A95">
    <cfRule type="expression" dxfId="256" priority="6">
      <formula>kvartal &lt; 4</formula>
    </cfRule>
  </conditionalFormatting>
  <conditionalFormatting sqref="A101:A106">
    <cfRule type="expression" dxfId="255" priority="5">
      <formula>kvartal &lt; 4</formula>
    </cfRule>
  </conditionalFormatting>
  <conditionalFormatting sqref="A115">
    <cfRule type="expression" dxfId="254" priority="4">
      <formula>kvartal &lt; 4</formula>
    </cfRule>
  </conditionalFormatting>
  <conditionalFormatting sqref="A123">
    <cfRule type="expression" dxfId="253" priority="3">
      <formula>kvartal &lt; 4</formula>
    </cfRule>
  </conditionalFormatting>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Ark30"/>
  <dimension ref="A1:N144"/>
  <sheetViews>
    <sheetView showGridLines="0" zoomScaleNormal="100" workbookViewId="0">
      <selection activeCell="A3" sqref="A3"/>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135</v>
      </c>
      <c r="B1" s="709"/>
      <c r="C1" s="248" t="s">
        <v>133</v>
      </c>
      <c r="D1" s="26"/>
      <c r="E1" s="26"/>
      <c r="F1" s="26"/>
      <c r="G1" s="26"/>
      <c r="H1" s="26"/>
      <c r="I1" s="26"/>
      <c r="J1" s="26"/>
      <c r="K1" s="26"/>
      <c r="L1" s="26"/>
      <c r="M1" s="26"/>
    </row>
    <row r="2" spans="1:14" ht="15.75" x14ac:dyDescent="0.25">
      <c r="A2" s="165" t="s">
        <v>28</v>
      </c>
      <c r="B2" s="732"/>
      <c r="C2" s="732"/>
      <c r="D2" s="732"/>
      <c r="E2" s="299"/>
      <c r="F2" s="732"/>
      <c r="G2" s="732"/>
      <c r="H2" s="732"/>
      <c r="I2" s="299"/>
      <c r="J2" s="732"/>
      <c r="K2" s="732"/>
      <c r="L2" s="732"/>
      <c r="M2" s="299"/>
    </row>
    <row r="3" spans="1:14" ht="15.75" x14ac:dyDescent="0.25">
      <c r="A3" s="163"/>
      <c r="B3" s="299"/>
      <c r="C3" s="299"/>
      <c r="D3" s="299"/>
      <c r="E3" s="299"/>
      <c r="F3" s="299"/>
      <c r="G3" s="299"/>
      <c r="H3" s="299"/>
      <c r="I3" s="299"/>
      <c r="J3" s="299"/>
      <c r="K3" s="299"/>
      <c r="L3" s="299"/>
      <c r="M3" s="299"/>
    </row>
    <row r="4" spans="1:14" x14ac:dyDescent="0.2">
      <c r="A4" s="144"/>
      <c r="B4" s="733" t="s">
        <v>0</v>
      </c>
      <c r="C4" s="734"/>
      <c r="D4" s="734"/>
      <c r="E4" s="301"/>
      <c r="F4" s="733" t="s">
        <v>1</v>
      </c>
      <c r="G4" s="734"/>
      <c r="H4" s="734"/>
      <c r="I4" s="304"/>
      <c r="J4" s="733" t="s">
        <v>2</v>
      </c>
      <c r="K4" s="734"/>
      <c r="L4" s="734"/>
      <c r="M4" s="304"/>
    </row>
    <row r="5" spans="1:14" x14ac:dyDescent="0.2">
      <c r="A5" s="158"/>
      <c r="B5" s="152" t="s">
        <v>421</v>
      </c>
      <c r="C5" s="152" t="s">
        <v>422</v>
      </c>
      <c r="D5" s="245" t="s">
        <v>3</v>
      </c>
      <c r="E5" s="305" t="s">
        <v>29</v>
      </c>
      <c r="F5" s="152" t="s">
        <v>421</v>
      </c>
      <c r="G5" s="152" t="s">
        <v>422</v>
      </c>
      <c r="H5" s="245" t="s">
        <v>3</v>
      </c>
      <c r="I5" s="162" t="s">
        <v>29</v>
      </c>
      <c r="J5" s="152" t="s">
        <v>421</v>
      </c>
      <c r="K5" s="152" t="s">
        <v>422</v>
      </c>
      <c r="L5" s="245" t="s">
        <v>3</v>
      </c>
      <c r="M5" s="162" t="s">
        <v>29</v>
      </c>
    </row>
    <row r="6" spans="1:14" x14ac:dyDescent="0.2">
      <c r="A6" s="707"/>
      <c r="B6" s="156"/>
      <c r="C6" s="156"/>
      <c r="D6" s="246" t="s">
        <v>4</v>
      </c>
      <c r="E6" s="156" t="s">
        <v>30</v>
      </c>
      <c r="F6" s="161"/>
      <c r="G6" s="161"/>
      <c r="H6" s="245" t="s">
        <v>4</v>
      </c>
      <c r="I6" s="156" t="s">
        <v>30</v>
      </c>
      <c r="J6" s="161"/>
      <c r="K6" s="161"/>
      <c r="L6" s="245" t="s">
        <v>4</v>
      </c>
      <c r="M6" s="156" t="s">
        <v>30</v>
      </c>
    </row>
    <row r="7" spans="1:14" ht="15.75" x14ac:dyDescent="0.2">
      <c r="A7" s="14" t="s">
        <v>23</v>
      </c>
      <c r="B7" s="306">
        <v>501742.75199999998</v>
      </c>
      <c r="C7" s="307">
        <v>522674.79200000002</v>
      </c>
      <c r="D7" s="350">
        <f>IF(B7=0, "    ---- ", IF(ABS(ROUND(100/B7*C7-100,1))&lt;999,ROUND(100/B7*C7-100,1),IF(ROUND(100/B7*C7-100,1)&gt;999,999,-999)))</f>
        <v>4.2</v>
      </c>
      <c r="E7" s="11">
        <f>IFERROR(100/'Skjema total MA'!C7*C7,0)</f>
        <v>14.164390206152447</v>
      </c>
      <c r="F7" s="306">
        <v>883558.67799999996</v>
      </c>
      <c r="G7" s="307">
        <v>1006866.93</v>
      </c>
      <c r="H7" s="350">
        <f>IF(F7=0, "    ---- ", IF(ABS(ROUND(100/F7*G7-100,1))&lt;999,ROUND(100/F7*G7-100,1),IF(ROUND(100/F7*G7-100,1)&gt;999,999,-999)))</f>
        <v>14</v>
      </c>
      <c r="I7" s="160">
        <f>IFERROR(100/'Skjema total MA'!F7*G7,0)</f>
        <v>14.584005096480958</v>
      </c>
      <c r="J7" s="308">
        <f t="shared" ref="J7:K12" si="0">SUM(B7,F7)</f>
        <v>1385301.43</v>
      </c>
      <c r="K7" s="309">
        <f t="shared" si="0"/>
        <v>1529541.7220000001</v>
      </c>
      <c r="L7" s="427">
        <f>IF(J7=0, "    ---- ", IF(ABS(ROUND(100/J7*K7-100,1))&lt;999,ROUND(100/J7*K7-100,1),IF(ROUND(100/J7*K7-100,1)&gt;999,999,-999)))</f>
        <v>10.4</v>
      </c>
      <c r="M7" s="11">
        <f>IFERROR(100/'Skjema total MA'!I7*K7,0)</f>
        <v>14.437846069528092</v>
      </c>
    </row>
    <row r="8" spans="1:14" ht="15.75" x14ac:dyDescent="0.2">
      <c r="A8" s="21" t="s">
        <v>25</v>
      </c>
      <c r="B8" s="281">
        <v>197765.065</v>
      </c>
      <c r="C8" s="282">
        <v>205956.12299999999</v>
      </c>
      <c r="D8" s="166">
        <f t="shared" ref="D8:D10" si="1">IF(B8=0, "    ---- ", IF(ABS(ROUND(100/B8*C8-100,1))&lt;999,ROUND(100/B8*C8-100,1),IF(ROUND(100/B8*C8-100,1)&gt;999,999,-999)))</f>
        <v>4.0999999999999996</v>
      </c>
      <c r="E8" s="27">
        <f>IFERROR(100/'Skjema total MA'!C8*C8,0)</f>
        <v>8.5136553334116218</v>
      </c>
      <c r="F8" s="285"/>
      <c r="G8" s="286"/>
      <c r="H8" s="166"/>
      <c r="I8" s="175"/>
      <c r="J8" s="234">
        <f t="shared" si="0"/>
        <v>197765.065</v>
      </c>
      <c r="K8" s="287">
        <f t="shared" si="0"/>
        <v>205956.12299999999</v>
      </c>
      <c r="L8" s="166">
        <f t="shared" ref="L8:L9" si="2">IF(J8=0, "    ---- ", IF(ABS(ROUND(100/J8*K8-100,1))&lt;999,ROUND(100/J8*K8-100,1),IF(ROUND(100/J8*K8-100,1)&gt;999,999,-999)))</f>
        <v>4.0999999999999996</v>
      </c>
      <c r="M8" s="27">
        <f>IFERROR(100/'Skjema total MA'!I8*K8,0)</f>
        <v>8.5136553334116218</v>
      </c>
    </row>
    <row r="9" spans="1:14" ht="15.75" x14ac:dyDescent="0.2">
      <c r="A9" s="21" t="s">
        <v>24</v>
      </c>
      <c r="B9" s="281">
        <v>46474.275999999998</v>
      </c>
      <c r="C9" s="282">
        <v>44576.839</v>
      </c>
      <c r="D9" s="166">
        <f t="shared" si="1"/>
        <v>-4.0999999999999996</v>
      </c>
      <c r="E9" s="27">
        <f>IFERROR(100/'Skjema total MA'!C9*C9,0)</f>
        <v>5.9086118688782747</v>
      </c>
      <c r="F9" s="285"/>
      <c r="G9" s="286"/>
      <c r="H9" s="166"/>
      <c r="I9" s="175"/>
      <c r="J9" s="234">
        <f t="shared" si="0"/>
        <v>46474.275999999998</v>
      </c>
      <c r="K9" s="287">
        <f t="shared" si="0"/>
        <v>44576.839</v>
      </c>
      <c r="L9" s="166">
        <f t="shared" si="2"/>
        <v>-4.0999999999999996</v>
      </c>
      <c r="M9" s="27">
        <f>IFERROR(100/'Skjema total MA'!I9*K9,0)</f>
        <v>5.9086118688782747</v>
      </c>
    </row>
    <row r="10" spans="1:14" ht="15.75" x14ac:dyDescent="0.2">
      <c r="A10" s="13" t="s">
        <v>365</v>
      </c>
      <c r="B10" s="310">
        <v>3961215.3790000002</v>
      </c>
      <c r="C10" s="311">
        <v>4028593.2930000001</v>
      </c>
      <c r="D10" s="171">
        <f t="shared" si="1"/>
        <v>1.7</v>
      </c>
      <c r="E10" s="11">
        <f>IFERROR(100/'Skjema total MA'!C10*C10,0)</f>
        <v>22.343702155315679</v>
      </c>
      <c r="F10" s="310">
        <v>7108960.5180000002</v>
      </c>
      <c r="G10" s="311">
        <v>8141927.0049999999</v>
      </c>
      <c r="H10" s="171">
        <f t="shared" ref="H10:H12" si="3">IF(F10=0, "    ---- ", IF(ABS(ROUND(100/F10*G10-100,1))&lt;999,ROUND(100/F10*G10-100,1),IF(ROUND(100/F10*G10-100,1)&gt;999,999,-999)))</f>
        <v>14.5</v>
      </c>
      <c r="I10" s="160">
        <f>IFERROR(100/'Skjema total MA'!F10*G10,0)</f>
        <v>14.69796263497985</v>
      </c>
      <c r="J10" s="308">
        <f t="shared" si="0"/>
        <v>11070175.897</v>
      </c>
      <c r="K10" s="309">
        <f t="shared" si="0"/>
        <v>12170520.298</v>
      </c>
      <c r="L10" s="428">
        <f t="shared" ref="L10:L12" si="4">IF(J10=0, "    ---- ", IF(ABS(ROUND(100/J10*K10-100,1))&lt;999,ROUND(100/J10*K10-100,1),IF(ROUND(100/J10*K10-100,1)&gt;999,999,-999)))</f>
        <v>9.9</v>
      </c>
      <c r="M10" s="11">
        <f>IFERROR(100/'Skjema total MA'!I10*K10,0)</f>
        <v>16.5754351288099</v>
      </c>
    </row>
    <row r="11" spans="1:14" s="43" customFormat="1" ht="15.75" x14ac:dyDescent="0.2">
      <c r="A11" s="13" t="s">
        <v>366</v>
      </c>
      <c r="B11" s="310"/>
      <c r="C11" s="311"/>
      <c r="D11" s="171"/>
      <c r="E11" s="11"/>
      <c r="F11" s="310">
        <v>4107.0140000000001</v>
      </c>
      <c r="G11" s="311">
        <v>16760.716</v>
      </c>
      <c r="H11" s="171">
        <f t="shared" si="3"/>
        <v>308.10000000000002</v>
      </c>
      <c r="I11" s="160">
        <f>IFERROR(100/'Skjema total MA'!F11*G11,0)</f>
        <v>6.4693578699612626</v>
      </c>
      <c r="J11" s="308">
        <f t="shared" si="0"/>
        <v>4107.0140000000001</v>
      </c>
      <c r="K11" s="309">
        <f t="shared" si="0"/>
        <v>16760.716</v>
      </c>
      <c r="L11" s="428">
        <f t="shared" si="4"/>
        <v>308.10000000000002</v>
      </c>
      <c r="M11" s="11">
        <f>IFERROR(100/'Skjema total MA'!I11*K11,0)</f>
        <v>5.7984419596588097</v>
      </c>
      <c r="N11" s="143"/>
    </row>
    <row r="12" spans="1:14" s="43" customFormat="1" ht="15.75" x14ac:dyDescent="0.2">
      <c r="A12" s="41" t="s">
        <v>367</v>
      </c>
      <c r="B12" s="312"/>
      <c r="C12" s="313"/>
      <c r="D12" s="169"/>
      <c r="E12" s="36"/>
      <c r="F12" s="312">
        <v>15401.156000000001</v>
      </c>
      <c r="G12" s="313">
        <v>19117.538</v>
      </c>
      <c r="H12" s="169">
        <f t="shared" si="3"/>
        <v>24.1</v>
      </c>
      <c r="I12" s="169">
        <f>IFERROR(100/'Skjema total MA'!F12*G12,0)</f>
        <v>9.7212277230257218</v>
      </c>
      <c r="J12" s="314">
        <f t="shared" si="0"/>
        <v>15401.156000000001</v>
      </c>
      <c r="K12" s="315">
        <f t="shared" si="0"/>
        <v>19117.538</v>
      </c>
      <c r="L12" s="429">
        <f t="shared" si="4"/>
        <v>24.1</v>
      </c>
      <c r="M12" s="36">
        <f>IFERROR(100/'Skjema total MA'!I12*K12,0)</f>
        <v>9.6040689880776835</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275</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272</v>
      </c>
      <c r="B17" s="157"/>
      <c r="C17" s="157"/>
      <c r="D17" s="151"/>
      <c r="E17" s="151"/>
      <c r="F17" s="157"/>
      <c r="G17" s="157"/>
      <c r="H17" s="157"/>
      <c r="I17" s="157"/>
      <c r="J17" s="157"/>
      <c r="K17" s="157"/>
      <c r="L17" s="157"/>
      <c r="M17" s="157"/>
    </row>
    <row r="18" spans="1:14" ht="15.75" x14ac:dyDescent="0.25">
      <c r="B18" s="735"/>
      <c r="C18" s="735"/>
      <c r="D18" s="735"/>
      <c r="E18" s="299"/>
      <c r="F18" s="735"/>
      <c r="G18" s="735"/>
      <c r="H18" s="735"/>
      <c r="I18" s="299"/>
      <c r="J18" s="735"/>
      <c r="K18" s="735"/>
      <c r="L18" s="735"/>
      <c r="M18" s="299"/>
    </row>
    <row r="19" spans="1:14" x14ac:dyDescent="0.2">
      <c r="A19" s="144"/>
      <c r="B19" s="733" t="s">
        <v>0</v>
      </c>
      <c r="C19" s="734"/>
      <c r="D19" s="734"/>
      <c r="E19" s="301"/>
      <c r="F19" s="733" t="s">
        <v>1</v>
      </c>
      <c r="G19" s="734"/>
      <c r="H19" s="734"/>
      <c r="I19" s="304"/>
      <c r="J19" s="733" t="s">
        <v>2</v>
      </c>
      <c r="K19" s="734"/>
      <c r="L19" s="734"/>
      <c r="M19" s="304"/>
    </row>
    <row r="20" spans="1:14" x14ac:dyDescent="0.2">
      <c r="A20" s="140" t="s">
        <v>5</v>
      </c>
      <c r="B20" s="152" t="s">
        <v>421</v>
      </c>
      <c r="C20" s="152" t="s">
        <v>422</v>
      </c>
      <c r="D20" s="162" t="s">
        <v>3</v>
      </c>
      <c r="E20" s="305" t="s">
        <v>29</v>
      </c>
      <c r="F20" s="152" t="s">
        <v>421</v>
      </c>
      <c r="G20" s="152" t="s">
        <v>422</v>
      </c>
      <c r="H20" s="162" t="s">
        <v>3</v>
      </c>
      <c r="I20" s="162" t="s">
        <v>29</v>
      </c>
      <c r="J20" s="152" t="s">
        <v>421</v>
      </c>
      <c r="K20" s="152" t="s">
        <v>422</v>
      </c>
      <c r="L20" s="162" t="s">
        <v>3</v>
      </c>
      <c r="M20" s="162" t="s">
        <v>29</v>
      </c>
    </row>
    <row r="21" spans="1:14" x14ac:dyDescent="0.2">
      <c r="A21" s="708"/>
      <c r="B21" s="156"/>
      <c r="C21" s="156"/>
      <c r="D21" s="246" t="s">
        <v>4</v>
      </c>
      <c r="E21" s="156" t="s">
        <v>30</v>
      </c>
      <c r="F21" s="161"/>
      <c r="G21" s="161"/>
      <c r="H21" s="245" t="s">
        <v>4</v>
      </c>
      <c r="I21" s="156" t="s">
        <v>30</v>
      </c>
      <c r="J21" s="161"/>
      <c r="K21" s="161"/>
      <c r="L21" s="156" t="s">
        <v>4</v>
      </c>
      <c r="M21" s="156" t="s">
        <v>30</v>
      </c>
    </row>
    <row r="22" spans="1:14" ht="15.75" x14ac:dyDescent="0.2">
      <c r="A22" s="14" t="s">
        <v>23</v>
      </c>
      <c r="B22" s="310">
        <v>6841.3779999999997</v>
      </c>
      <c r="C22" s="310">
        <v>5444.7569999999996</v>
      </c>
      <c r="D22" s="350">
        <f t="shared" ref="D22:D37" si="5">IF(B22=0, "    ---- ", IF(ABS(ROUND(100/B22*C22-100,1))&lt;999,ROUND(100/B22*C22-100,1),IF(ROUND(100/B22*C22-100,1)&gt;999,999,-999)))</f>
        <v>-20.399999999999999</v>
      </c>
      <c r="E22" s="11">
        <f>IFERROR(100/'Skjema total MA'!C22*C22,0)</f>
        <v>0.40677480651664455</v>
      </c>
      <c r="F22" s="318">
        <v>253665.288</v>
      </c>
      <c r="G22" s="318">
        <v>277763.80800000002</v>
      </c>
      <c r="H22" s="350">
        <f t="shared" ref="H22:H35" si="6">IF(F22=0, "    ---- ", IF(ABS(ROUND(100/F22*G22-100,1))&lt;999,ROUND(100/F22*G22-100,1),IF(ROUND(100/F22*G22-100,1)&gt;999,999,-999)))</f>
        <v>9.5</v>
      </c>
      <c r="I22" s="11">
        <f>IFERROR(100/'Skjema total MA'!F22*G22,0)</f>
        <v>30.071384385538192</v>
      </c>
      <c r="J22" s="316">
        <f t="shared" ref="J22:K35" si="7">SUM(B22,F22)</f>
        <v>260506.666</v>
      </c>
      <c r="K22" s="316">
        <f t="shared" si="7"/>
        <v>283208.565</v>
      </c>
      <c r="L22" s="427">
        <f t="shared" ref="L22:L35" si="8">IF(J22=0, "    ---- ", IF(ABS(ROUND(100/J22*K22-100,1))&lt;999,ROUND(100/J22*K22-100,1),IF(ROUND(100/J22*K22-100,1)&gt;999,999,-999)))</f>
        <v>8.6999999999999993</v>
      </c>
      <c r="M22" s="24">
        <f>IFERROR(100/'Skjema total MA'!I22*K22,0)</f>
        <v>12.51916444431502</v>
      </c>
    </row>
    <row r="23" spans="1:14" ht="15.75" x14ac:dyDescent="0.2">
      <c r="A23" s="584" t="s">
        <v>368</v>
      </c>
      <c r="B23" s="281">
        <v>893.77800000000002</v>
      </c>
      <c r="C23" s="281">
        <v>716.58900000000006</v>
      </c>
      <c r="D23" s="166">
        <f t="shared" si="5"/>
        <v>-19.8</v>
      </c>
      <c r="E23" s="11">
        <f>IFERROR(100/'Skjema total MA'!C23*C23,0)</f>
        <v>0.14290599023855585</v>
      </c>
      <c r="F23" s="290">
        <v>16564.284</v>
      </c>
      <c r="G23" s="290">
        <v>17342.732</v>
      </c>
      <c r="H23" s="166">
        <f t="shared" si="6"/>
        <v>4.7</v>
      </c>
      <c r="I23" s="417">
        <f>IFERROR(100/'Skjema total MA'!F23*G23,0)</f>
        <v>14.531070567336103</v>
      </c>
      <c r="J23" s="290">
        <f t="shared" ref="J23:J26" si="9">SUM(B23,F23)</f>
        <v>17458.061999999998</v>
      </c>
      <c r="K23" s="290">
        <f t="shared" ref="K23:K26" si="10">SUM(C23,G23)</f>
        <v>18059.321</v>
      </c>
      <c r="L23" s="166">
        <f t="shared" si="8"/>
        <v>3.4</v>
      </c>
      <c r="M23" s="23">
        <f>IFERROR(100/'Skjema total MA'!I23*K23,0)</f>
        <v>2.9090862746653681</v>
      </c>
    </row>
    <row r="24" spans="1:14" ht="15.75" x14ac:dyDescent="0.2">
      <c r="A24" s="584" t="s">
        <v>369</v>
      </c>
      <c r="B24" s="281">
        <v>5947.6</v>
      </c>
      <c r="C24" s="281">
        <v>4728.1679999999997</v>
      </c>
      <c r="D24" s="166">
        <f t="shared" si="5"/>
        <v>-20.5</v>
      </c>
      <c r="E24" s="11">
        <f>IFERROR(100/'Skjema total MA'!C24*C24,0)</f>
        <v>19.500999317701272</v>
      </c>
      <c r="F24" s="290">
        <v>-3.371</v>
      </c>
      <c r="G24" s="290">
        <v>22.085999999999999</v>
      </c>
      <c r="H24" s="166">
        <f t="shared" si="6"/>
        <v>-755.2</v>
      </c>
      <c r="I24" s="417">
        <f>IFERROR(100/'Skjema total MA'!F24*G24,0)</f>
        <v>2.27499101735979</v>
      </c>
      <c r="J24" s="290">
        <f t="shared" si="9"/>
        <v>5944.2290000000003</v>
      </c>
      <c r="K24" s="290">
        <f t="shared" si="10"/>
        <v>4750.2539999999999</v>
      </c>
      <c r="L24" s="166">
        <f t="shared" si="8"/>
        <v>-20.100000000000001</v>
      </c>
      <c r="M24" s="23">
        <f>IFERROR(100/'Skjema total MA'!I24*K24,0)</f>
        <v>18.837812815314741</v>
      </c>
    </row>
    <row r="25" spans="1:14" ht="15.75" x14ac:dyDescent="0.2">
      <c r="A25" s="584" t="s">
        <v>370</v>
      </c>
      <c r="B25" s="281"/>
      <c r="C25" s="281"/>
      <c r="D25" s="166"/>
      <c r="E25" s="11"/>
      <c r="F25" s="290">
        <v>-187.429</v>
      </c>
      <c r="G25" s="290">
        <v>157.90799999999999</v>
      </c>
      <c r="H25" s="166">
        <f t="shared" si="6"/>
        <v>-184.2</v>
      </c>
      <c r="I25" s="417">
        <f>IFERROR(100/'Skjema total MA'!F25*G25,0)</f>
        <v>0.87074665455308964</v>
      </c>
      <c r="J25" s="290">
        <f t="shared" si="9"/>
        <v>-187.429</v>
      </c>
      <c r="K25" s="290">
        <f t="shared" si="10"/>
        <v>157.90799999999999</v>
      </c>
      <c r="L25" s="166">
        <f t="shared" si="8"/>
        <v>-184.2</v>
      </c>
      <c r="M25" s="23">
        <f>IFERROR(100/'Skjema total MA'!I25*K25,0)</f>
        <v>0.37322305725391286</v>
      </c>
    </row>
    <row r="26" spans="1:14" ht="15.75" x14ac:dyDescent="0.2">
      <c r="A26" s="584" t="s">
        <v>371</v>
      </c>
      <c r="B26" s="281"/>
      <c r="C26" s="281"/>
      <c r="D26" s="166"/>
      <c r="E26" s="11"/>
      <c r="F26" s="290">
        <v>237291.804</v>
      </c>
      <c r="G26" s="290">
        <v>260241.08199999999</v>
      </c>
      <c r="H26" s="166">
        <f t="shared" si="6"/>
        <v>9.6999999999999993</v>
      </c>
      <c r="I26" s="417">
        <f>IFERROR(100/'Skjema total MA'!F26*G26,0)</f>
        <v>33.142164398148282</v>
      </c>
      <c r="J26" s="290">
        <f t="shared" si="9"/>
        <v>237291.804</v>
      </c>
      <c r="K26" s="290">
        <f t="shared" si="10"/>
        <v>260241.08199999999</v>
      </c>
      <c r="L26" s="166">
        <f t="shared" si="8"/>
        <v>9.6999999999999993</v>
      </c>
      <c r="M26" s="23">
        <f>IFERROR(100/'Skjema total MA'!I26*K26,0)</f>
        <v>33.142164398148282</v>
      </c>
    </row>
    <row r="27" spans="1:14" x14ac:dyDescent="0.2">
      <c r="A27" s="584" t="s">
        <v>11</v>
      </c>
      <c r="B27" s="281"/>
      <c r="C27" s="281"/>
      <c r="D27" s="166"/>
      <c r="E27" s="11"/>
      <c r="F27" s="290"/>
      <c r="G27" s="290"/>
      <c r="H27" s="166"/>
      <c r="I27" s="417"/>
      <c r="J27" s="290"/>
      <c r="K27" s="290"/>
      <c r="L27" s="166"/>
      <c r="M27" s="23"/>
    </row>
    <row r="28" spans="1:14" ht="15.75" x14ac:dyDescent="0.2">
      <c r="A28" s="49" t="s">
        <v>276</v>
      </c>
      <c r="B28" s="44">
        <v>145453.932</v>
      </c>
      <c r="C28" s="287">
        <v>148435.51699999999</v>
      </c>
      <c r="D28" s="166">
        <f t="shared" si="5"/>
        <v>2</v>
      </c>
      <c r="E28" s="11">
        <f>IFERROR(100/'Skjema total MA'!C28*C28,0)</f>
        <v>10.021971224862741</v>
      </c>
      <c r="F28" s="234"/>
      <c r="G28" s="287"/>
      <c r="H28" s="166"/>
      <c r="I28" s="27"/>
      <c r="J28" s="44">
        <f t="shared" si="7"/>
        <v>145453.932</v>
      </c>
      <c r="K28" s="44">
        <f t="shared" si="7"/>
        <v>148435.51699999999</v>
      </c>
      <c r="L28" s="254">
        <f t="shared" si="8"/>
        <v>2</v>
      </c>
      <c r="M28" s="23">
        <f>IFERROR(100/'Skjema total MA'!I28*K28,0)</f>
        <v>10.021971224862741</v>
      </c>
    </row>
    <row r="29" spans="1:14" s="3" customFormat="1" ht="15.75" x14ac:dyDescent="0.2">
      <c r="A29" s="13" t="s">
        <v>365</v>
      </c>
      <c r="B29" s="236">
        <v>9853661.5</v>
      </c>
      <c r="C29" s="236">
        <v>9177139.1209999993</v>
      </c>
      <c r="D29" s="171">
        <f t="shared" si="5"/>
        <v>-6.9</v>
      </c>
      <c r="E29" s="11">
        <f>IFERROR(100/'Skjema total MA'!C29*C29,0)</f>
        <v>19.965602123992575</v>
      </c>
      <c r="F29" s="308">
        <v>4627191.7010000004</v>
      </c>
      <c r="G29" s="308">
        <v>5214457.5719999997</v>
      </c>
      <c r="H29" s="171">
        <f t="shared" si="6"/>
        <v>12.7</v>
      </c>
      <c r="I29" s="11">
        <f>IFERROR(100/'Skjema total MA'!F29*G29,0)</f>
        <v>22.801418780367758</v>
      </c>
      <c r="J29" s="236">
        <f t="shared" si="7"/>
        <v>14480853.201000001</v>
      </c>
      <c r="K29" s="236">
        <f t="shared" si="7"/>
        <v>14391596.693</v>
      </c>
      <c r="L29" s="428">
        <f t="shared" si="8"/>
        <v>-0.6</v>
      </c>
      <c r="M29" s="24">
        <f>IFERROR(100/'Skjema total MA'!I29*K29,0)</f>
        <v>20.907760589195728</v>
      </c>
      <c r="N29" s="148"/>
    </row>
    <row r="30" spans="1:14" s="3" customFormat="1" ht="15.75" x14ac:dyDescent="0.2">
      <c r="A30" s="584" t="s">
        <v>368</v>
      </c>
      <c r="B30" s="281">
        <v>1287311.4680000001</v>
      </c>
      <c r="C30" s="281">
        <v>1207811.548</v>
      </c>
      <c r="D30" s="166">
        <f t="shared" si="5"/>
        <v>-6.2</v>
      </c>
      <c r="E30" s="11">
        <f>IFERROR(100/'Skjema total MA'!C30*C30,0)</f>
        <v>8.8055363078731972</v>
      </c>
      <c r="F30" s="290">
        <v>494746.847000001</v>
      </c>
      <c r="G30" s="290">
        <v>499761.016</v>
      </c>
      <c r="H30" s="166">
        <f t="shared" si="6"/>
        <v>1</v>
      </c>
      <c r="I30" s="417">
        <f>IFERROR(100/'Skjema total MA'!F30*G30,0)</f>
        <v>11.262400619771773</v>
      </c>
      <c r="J30" s="290">
        <f t="shared" ref="J30:J33" si="11">SUM(B30,F30)</f>
        <v>1782058.3150000011</v>
      </c>
      <c r="K30" s="290">
        <f t="shared" ref="K30:K33" si="12">SUM(C30,G30)</f>
        <v>1707572.564</v>
      </c>
      <c r="L30" s="166">
        <f t="shared" si="8"/>
        <v>-4.2</v>
      </c>
      <c r="M30" s="23">
        <f>IFERROR(100/'Skjema total MA'!I30*K30,0)</f>
        <v>9.406076257254135</v>
      </c>
      <c r="N30" s="148"/>
    </row>
    <row r="31" spans="1:14" s="3" customFormat="1" ht="15.75" x14ac:dyDescent="0.2">
      <c r="A31" s="584" t="s">
        <v>369</v>
      </c>
      <c r="B31" s="281">
        <v>8566350.0319999997</v>
      </c>
      <c r="C31" s="281">
        <v>7969327.5729999999</v>
      </c>
      <c r="D31" s="166">
        <f t="shared" si="5"/>
        <v>-7</v>
      </c>
      <c r="E31" s="11">
        <f>IFERROR(100/'Skjema total MA'!C31*C31,0)</f>
        <v>33.455085559066191</v>
      </c>
      <c r="F31" s="290">
        <v>1833713.6810000001</v>
      </c>
      <c r="G31" s="290">
        <v>1705611.1259999999</v>
      </c>
      <c r="H31" s="166">
        <f t="shared" si="6"/>
        <v>-7</v>
      </c>
      <c r="I31" s="417">
        <f>IFERROR(100/'Skjema total MA'!F31*G31,0)</f>
        <v>18.43113403592907</v>
      </c>
      <c r="J31" s="290">
        <f t="shared" si="11"/>
        <v>10400063.713</v>
      </c>
      <c r="K31" s="290">
        <f t="shared" si="12"/>
        <v>9674938.6989999991</v>
      </c>
      <c r="L31" s="166">
        <f t="shared" si="8"/>
        <v>-7</v>
      </c>
      <c r="M31" s="23">
        <f>IFERROR(100/'Skjema total MA'!I31*K31,0)</f>
        <v>29.251566311039038</v>
      </c>
      <c r="N31" s="148"/>
    </row>
    <row r="32" spans="1:14" ht="15.75" x14ac:dyDescent="0.2">
      <c r="A32" s="584" t="s">
        <v>370</v>
      </c>
      <c r="B32" s="281"/>
      <c r="C32" s="281"/>
      <c r="D32" s="166"/>
      <c r="E32" s="11"/>
      <c r="F32" s="290">
        <v>1339934.142</v>
      </c>
      <c r="G32" s="290">
        <v>1590066.662</v>
      </c>
      <c r="H32" s="166">
        <f t="shared" si="6"/>
        <v>18.7</v>
      </c>
      <c r="I32" s="417">
        <f>IFERROR(100/'Skjema total MA'!F32*G32,0)</f>
        <v>32.449306362432068</v>
      </c>
      <c r="J32" s="290">
        <f t="shared" si="11"/>
        <v>1339934.142</v>
      </c>
      <c r="K32" s="290">
        <f t="shared" si="12"/>
        <v>1590066.662</v>
      </c>
      <c r="L32" s="166">
        <f t="shared" si="8"/>
        <v>18.7</v>
      </c>
      <c r="M32" s="23">
        <f>IFERROR(100/'Skjema total MA'!I32*K32,0)</f>
        <v>20.252375139240044</v>
      </c>
    </row>
    <row r="33" spans="1:14" ht="15.75" x14ac:dyDescent="0.2">
      <c r="A33" s="584" t="s">
        <v>371</v>
      </c>
      <c r="B33" s="281"/>
      <c r="C33" s="281"/>
      <c r="D33" s="166"/>
      <c r="E33" s="11"/>
      <c r="F33" s="290">
        <v>958797.03099999996</v>
      </c>
      <c r="G33" s="290">
        <v>1419018.7679999999</v>
      </c>
      <c r="H33" s="166">
        <f t="shared" si="6"/>
        <v>48</v>
      </c>
      <c r="I33" s="417">
        <f>IFERROR(100/'Skjema total MA'!F34*G33,0)</f>
        <v>13032.783395263266</v>
      </c>
      <c r="J33" s="290">
        <f t="shared" si="11"/>
        <v>958797.03099999996</v>
      </c>
      <c r="K33" s="290">
        <f t="shared" si="12"/>
        <v>1419018.7679999999</v>
      </c>
      <c r="L33" s="166">
        <f t="shared" si="8"/>
        <v>48</v>
      </c>
      <c r="M33" s="23">
        <f>IFERROR(100/'Skjema total MA'!I34*K33,0)</f>
        <v>5651.1761143659787</v>
      </c>
    </row>
    <row r="34" spans="1:14" ht="15.75" x14ac:dyDescent="0.2">
      <c r="A34" s="13" t="s">
        <v>366</v>
      </c>
      <c r="B34" s="236">
        <v>5272.8789999999999</v>
      </c>
      <c r="C34" s="309">
        <v>7084.0780000000004</v>
      </c>
      <c r="D34" s="171">
        <f t="shared" si="5"/>
        <v>34.299999999999997</v>
      </c>
      <c r="E34" s="11">
        <f>IFERROR(100/'Skjema total MA'!C34*C34,0)</f>
        <v>49.810428546376983</v>
      </c>
      <c r="F34" s="308">
        <v>10953.87</v>
      </c>
      <c r="G34" s="309">
        <v>14272.023999999999</v>
      </c>
      <c r="H34" s="171">
        <f t="shared" si="6"/>
        <v>30.3</v>
      </c>
      <c r="I34" s="11">
        <f>IFERROR(100/'Skjema total MA'!F34*G34,0)</f>
        <v>131.07944841783714</v>
      </c>
      <c r="J34" s="236">
        <f t="shared" si="7"/>
        <v>16226.749</v>
      </c>
      <c r="K34" s="236">
        <f t="shared" si="7"/>
        <v>21356.101999999999</v>
      </c>
      <c r="L34" s="428">
        <f t="shared" si="8"/>
        <v>31.6</v>
      </c>
      <c r="M34" s="24">
        <f>IFERROR(100/'Skjema total MA'!I34*K34,0)</f>
        <v>85.04968097670961</v>
      </c>
    </row>
    <row r="35" spans="1:14" ht="15.75" x14ac:dyDescent="0.2">
      <c r="A35" s="13" t="s">
        <v>367</v>
      </c>
      <c r="B35" s="236">
        <v>860.14099999999996</v>
      </c>
      <c r="C35" s="309">
        <v>2443.2399999999998</v>
      </c>
      <c r="D35" s="171">
        <f t="shared" si="5"/>
        <v>184.1</v>
      </c>
      <c r="E35" s="11">
        <f>IFERROR(100/'Skjema total MA'!C35*C35,0)</f>
        <v>-3.1725633472348131</v>
      </c>
      <c r="F35" s="308">
        <v>16398.353999999999</v>
      </c>
      <c r="G35" s="309">
        <v>23694.687000000002</v>
      </c>
      <c r="H35" s="171">
        <f t="shared" si="6"/>
        <v>44.5</v>
      </c>
      <c r="I35" s="11">
        <f>IFERROR(100/'Skjema total MA'!F35*G35,0)</f>
        <v>20.471781771829455</v>
      </c>
      <c r="J35" s="236">
        <f t="shared" si="7"/>
        <v>17258.494999999999</v>
      </c>
      <c r="K35" s="236">
        <f t="shared" si="7"/>
        <v>26137.927000000003</v>
      </c>
      <c r="L35" s="428">
        <f t="shared" si="8"/>
        <v>51.4</v>
      </c>
      <c r="M35" s="24">
        <f>IFERROR(100/'Skjema total MA'!I35*K35,0)</f>
        <v>67.484731458763036</v>
      </c>
    </row>
    <row r="36" spans="1:14" ht="15.75" x14ac:dyDescent="0.2">
      <c r="A36" s="12" t="s">
        <v>284</v>
      </c>
      <c r="B36" s="236">
        <v>52.220999999999997</v>
      </c>
      <c r="C36" s="309">
        <v>58.33</v>
      </c>
      <c r="D36" s="171">
        <f t="shared" si="5"/>
        <v>11.7</v>
      </c>
      <c r="E36" s="11">
        <f>100/'Skjema total MA'!C36*C36</f>
        <v>2.1301304079493706</v>
      </c>
      <c r="F36" s="319"/>
      <c r="G36" s="320"/>
      <c r="H36" s="171"/>
      <c r="I36" s="434"/>
      <c r="J36" s="236">
        <f t="shared" ref="J36:J37" si="13">SUM(B36,F36)</f>
        <v>52.220999999999997</v>
      </c>
      <c r="K36" s="236">
        <f t="shared" ref="K36:K37" si="14">SUM(C36,G36)</f>
        <v>58.33</v>
      </c>
      <c r="L36" s="428"/>
      <c r="M36" s="24">
        <f>IFERROR(100/'Skjema total MA'!I36*K36,0)</f>
        <v>2.1301304079493706</v>
      </c>
    </row>
    <row r="37" spans="1:14" ht="15.75" x14ac:dyDescent="0.2">
      <c r="A37" s="12" t="s">
        <v>373</v>
      </c>
      <c r="B37" s="236">
        <v>462809.01500000001</v>
      </c>
      <c r="C37" s="309">
        <v>455527.53700000001</v>
      </c>
      <c r="D37" s="171">
        <f t="shared" si="5"/>
        <v>-1.6</v>
      </c>
      <c r="E37" s="11">
        <f>100/'Skjema total MA'!C37*C37</f>
        <v>12.716341864816386</v>
      </c>
      <c r="F37" s="319"/>
      <c r="G37" s="321"/>
      <c r="H37" s="171"/>
      <c r="I37" s="434"/>
      <c r="J37" s="236">
        <f t="shared" si="13"/>
        <v>462809.01500000001</v>
      </c>
      <c r="K37" s="236">
        <f t="shared" si="14"/>
        <v>455527.53700000001</v>
      </c>
      <c r="L37" s="428"/>
      <c r="M37" s="24">
        <f>IFERROR(100/'Skjema total MA'!I37*K37,0)</f>
        <v>12.716341864816386</v>
      </c>
    </row>
    <row r="38" spans="1:14" ht="15.75" x14ac:dyDescent="0.2">
      <c r="A38" s="12" t="s">
        <v>374</v>
      </c>
      <c r="B38" s="236"/>
      <c r="C38" s="309"/>
      <c r="D38" s="171"/>
      <c r="E38" s="24"/>
      <c r="F38" s="319"/>
      <c r="G38" s="320"/>
      <c r="H38" s="171"/>
      <c r="I38" s="434"/>
      <c r="J38" s="236"/>
      <c r="K38" s="236"/>
      <c r="L38" s="428"/>
      <c r="M38" s="24"/>
    </row>
    <row r="39" spans="1:14" ht="15.75" x14ac:dyDescent="0.2">
      <c r="A39" s="18" t="s">
        <v>375</v>
      </c>
      <c r="B39" s="276"/>
      <c r="C39" s="315"/>
      <c r="D39" s="169"/>
      <c r="E39" s="36"/>
      <c r="F39" s="322"/>
      <c r="G39" s="323"/>
      <c r="H39" s="169"/>
      <c r="I39" s="36"/>
      <c r="J39" s="236"/>
      <c r="K39" s="236"/>
      <c r="L39" s="429"/>
      <c r="M39" s="36"/>
    </row>
    <row r="40" spans="1:14" ht="15.75" x14ac:dyDescent="0.25">
      <c r="A40" s="47"/>
      <c r="B40" s="253"/>
      <c r="C40" s="253"/>
      <c r="D40" s="736"/>
      <c r="E40" s="736"/>
      <c r="F40" s="736"/>
      <c r="G40" s="736"/>
      <c r="H40" s="736"/>
      <c r="I40" s="736"/>
      <c r="J40" s="736"/>
      <c r="K40" s="736"/>
      <c r="L40" s="736"/>
      <c r="M40" s="302"/>
    </row>
    <row r="41" spans="1:14" x14ac:dyDescent="0.2">
      <c r="A41" s="155"/>
    </row>
    <row r="42" spans="1:14" ht="15.75" x14ac:dyDescent="0.25">
      <c r="A42" s="147" t="s">
        <v>273</v>
      </c>
      <c r="B42" s="732"/>
      <c r="C42" s="732"/>
      <c r="D42" s="732"/>
      <c r="E42" s="299"/>
      <c r="F42" s="737"/>
      <c r="G42" s="737"/>
      <c r="H42" s="737"/>
      <c r="I42" s="302"/>
      <c r="J42" s="737"/>
      <c r="K42" s="737"/>
      <c r="L42" s="737"/>
      <c r="M42" s="302"/>
    </row>
    <row r="43" spans="1:14" ht="15.75" x14ac:dyDescent="0.25">
      <c r="A43" s="163"/>
      <c r="B43" s="303"/>
      <c r="C43" s="303"/>
      <c r="D43" s="303"/>
      <c r="E43" s="303"/>
      <c r="F43" s="302"/>
      <c r="G43" s="302"/>
      <c r="H43" s="302"/>
      <c r="I43" s="302"/>
      <c r="J43" s="302"/>
      <c r="K43" s="302"/>
      <c r="L43" s="302"/>
      <c r="M43" s="302"/>
    </row>
    <row r="44" spans="1:14" ht="15.75" x14ac:dyDescent="0.25">
      <c r="A44" s="247"/>
      <c r="B44" s="733" t="s">
        <v>0</v>
      </c>
      <c r="C44" s="734"/>
      <c r="D44" s="734"/>
      <c r="E44" s="243"/>
      <c r="F44" s="302"/>
      <c r="G44" s="302"/>
      <c r="H44" s="302"/>
      <c r="I44" s="302"/>
      <c r="J44" s="302"/>
      <c r="K44" s="302"/>
      <c r="L44" s="302"/>
      <c r="M44" s="302"/>
    </row>
    <row r="45" spans="1:14" s="3" customFormat="1" x14ac:dyDescent="0.2">
      <c r="A45" s="140"/>
      <c r="B45" s="152" t="s">
        <v>421</v>
      </c>
      <c r="C45" s="152" t="s">
        <v>422</v>
      </c>
      <c r="D45" s="162" t="s">
        <v>3</v>
      </c>
      <c r="E45" s="162" t="s">
        <v>29</v>
      </c>
      <c r="F45" s="174"/>
      <c r="G45" s="174"/>
      <c r="H45" s="173"/>
      <c r="I45" s="173"/>
      <c r="J45" s="174"/>
      <c r="K45" s="174"/>
      <c r="L45" s="173"/>
      <c r="M45" s="173"/>
      <c r="N45" s="148"/>
    </row>
    <row r="46" spans="1:14" s="3" customFormat="1" x14ac:dyDescent="0.2">
      <c r="A46" s="708"/>
      <c r="B46" s="244"/>
      <c r="C46" s="244"/>
      <c r="D46" s="245" t="s">
        <v>4</v>
      </c>
      <c r="E46" s="156" t="s">
        <v>30</v>
      </c>
      <c r="F46" s="173"/>
      <c r="G46" s="173"/>
      <c r="H46" s="173"/>
      <c r="I46" s="173"/>
      <c r="J46" s="173"/>
      <c r="K46" s="173"/>
      <c r="L46" s="173"/>
      <c r="M46" s="173"/>
      <c r="N46" s="148"/>
    </row>
    <row r="47" spans="1:14" s="3" customFormat="1" ht="15.75" x14ac:dyDescent="0.2">
      <c r="A47" s="14" t="s">
        <v>23</v>
      </c>
      <c r="B47" s="310">
        <v>639691.64999999991</v>
      </c>
      <c r="C47" s="311">
        <v>819110.875</v>
      </c>
      <c r="D47" s="427">
        <f t="shared" ref="D47:D57" si="15">IF(B47=0, "    ---- ", IF(ABS(ROUND(100/B47*C47-100,1))&lt;999,ROUND(100/B47*C47-100,1),IF(ROUND(100/B47*C47-100,1)&gt;999,999,-999)))</f>
        <v>28</v>
      </c>
      <c r="E47" s="11">
        <f>IFERROR(100/'Skjema total MA'!C47*C47,0)</f>
        <v>19.382263943967239</v>
      </c>
      <c r="F47" s="145"/>
      <c r="G47" s="33"/>
      <c r="H47" s="159"/>
      <c r="I47" s="159"/>
      <c r="J47" s="37"/>
      <c r="K47" s="37"/>
      <c r="L47" s="159"/>
      <c r="M47" s="159"/>
      <c r="N47" s="148"/>
    </row>
    <row r="48" spans="1:14" s="3" customFormat="1" ht="15.75" x14ac:dyDescent="0.2">
      <c r="A48" s="38" t="s">
        <v>376</v>
      </c>
      <c r="B48" s="281">
        <v>333992.77399999998</v>
      </c>
      <c r="C48" s="282">
        <v>454990.88</v>
      </c>
      <c r="D48" s="254">
        <f t="shared" si="15"/>
        <v>36.200000000000003</v>
      </c>
      <c r="E48" s="27">
        <f>IFERROR(100/'Skjema total MA'!C48*C48,0)</f>
        <v>19.126307532612358</v>
      </c>
      <c r="F48" s="145"/>
      <c r="G48" s="33"/>
      <c r="H48" s="145"/>
      <c r="I48" s="145"/>
      <c r="J48" s="33"/>
      <c r="K48" s="33"/>
      <c r="L48" s="159"/>
      <c r="M48" s="159"/>
      <c r="N48" s="148"/>
    </row>
    <row r="49" spans="1:14" s="3" customFormat="1" ht="15.75" x14ac:dyDescent="0.2">
      <c r="A49" s="38" t="s">
        <v>377</v>
      </c>
      <c r="B49" s="44">
        <v>305698.87599999999</v>
      </c>
      <c r="C49" s="287">
        <v>364119.995</v>
      </c>
      <c r="D49" s="254">
        <f>IF(B49=0, "    ---- ", IF(ABS(ROUND(100/B49*C49-100,1))&lt;999,ROUND(100/B49*C49-100,1),IF(ROUND(100/B49*C49-100,1)&gt;999,999,-999)))</f>
        <v>19.100000000000001</v>
      </c>
      <c r="E49" s="27">
        <f>IFERROR(100/'Skjema total MA'!C49*C49,0)</f>
        <v>19.711889825747271</v>
      </c>
      <c r="F49" s="145"/>
      <c r="G49" s="33"/>
      <c r="H49" s="145"/>
      <c r="I49" s="145"/>
      <c r="J49" s="37"/>
      <c r="K49" s="37"/>
      <c r="L49" s="159"/>
      <c r="M49" s="159"/>
      <c r="N49" s="148"/>
    </row>
    <row r="50" spans="1:14" s="3" customFormat="1" x14ac:dyDescent="0.2">
      <c r="A50" s="296" t="s">
        <v>6</v>
      </c>
      <c r="B50" s="290"/>
      <c r="C50" s="291"/>
      <c r="D50" s="254"/>
      <c r="E50" s="23"/>
      <c r="F50" s="145"/>
      <c r="G50" s="33"/>
      <c r="H50" s="145"/>
      <c r="I50" s="145"/>
      <c r="J50" s="33"/>
      <c r="K50" s="33"/>
      <c r="L50" s="159"/>
      <c r="M50" s="159"/>
      <c r="N50" s="148"/>
    </row>
    <row r="51" spans="1:14" s="3" customFormat="1" x14ac:dyDescent="0.2">
      <c r="A51" s="296" t="s">
        <v>7</v>
      </c>
      <c r="B51" s="290"/>
      <c r="C51" s="291"/>
      <c r="D51" s="254"/>
      <c r="E51" s="23"/>
      <c r="F51" s="145"/>
      <c r="G51" s="33"/>
      <c r="H51" s="145"/>
      <c r="I51" s="145"/>
      <c r="J51" s="33"/>
      <c r="K51" s="33"/>
      <c r="L51" s="159"/>
      <c r="M51" s="159"/>
      <c r="N51" s="148"/>
    </row>
    <row r="52" spans="1:14" s="3" customFormat="1" x14ac:dyDescent="0.2">
      <c r="A52" s="296" t="s">
        <v>8</v>
      </c>
      <c r="B52" s="290"/>
      <c r="C52" s="291"/>
      <c r="D52" s="254"/>
      <c r="E52" s="23"/>
      <c r="F52" s="145"/>
      <c r="G52" s="33"/>
      <c r="H52" s="145"/>
      <c r="I52" s="145"/>
      <c r="J52" s="33"/>
      <c r="K52" s="33"/>
      <c r="L52" s="159"/>
      <c r="M52" s="159"/>
      <c r="N52" s="148"/>
    </row>
    <row r="53" spans="1:14" s="3" customFormat="1" ht="15.75" x14ac:dyDescent="0.2">
      <c r="A53" s="39" t="s">
        <v>378</v>
      </c>
      <c r="B53" s="310">
        <v>7626.4530000000004</v>
      </c>
      <c r="C53" s="311">
        <v>8906.4699999999993</v>
      </c>
      <c r="D53" s="428">
        <f t="shared" si="15"/>
        <v>16.8</v>
      </c>
      <c r="E53" s="11">
        <f>IFERROR(100/'Skjema total MA'!C53*C53,0)</f>
        <v>5.729008771044521</v>
      </c>
      <c r="F53" s="145"/>
      <c r="G53" s="33"/>
      <c r="H53" s="145"/>
      <c r="I53" s="145"/>
      <c r="J53" s="33"/>
      <c r="K53" s="33"/>
      <c r="L53" s="159"/>
      <c r="M53" s="159"/>
      <c r="N53" s="148"/>
    </row>
    <row r="54" spans="1:14" s="3" customFormat="1" ht="15.75" x14ac:dyDescent="0.2">
      <c r="A54" s="38" t="s">
        <v>376</v>
      </c>
      <c r="B54" s="281">
        <v>7626.4530000000004</v>
      </c>
      <c r="C54" s="282">
        <v>8906.4699999999993</v>
      </c>
      <c r="D54" s="254">
        <f t="shared" si="15"/>
        <v>16.8</v>
      </c>
      <c r="E54" s="27">
        <f>IFERROR(100/'Skjema total MA'!C54*C54,0)</f>
        <v>5.729008771044521</v>
      </c>
      <c r="F54" s="145"/>
      <c r="G54" s="33"/>
      <c r="H54" s="145"/>
      <c r="I54" s="145"/>
      <c r="J54" s="33"/>
      <c r="K54" s="33"/>
      <c r="L54" s="159"/>
      <c r="M54" s="159"/>
      <c r="N54" s="148"/>
    </row>
    <row r="55" spans="1:14" s="3" customFormat="1" ht="15.75" x14ac:dyDescent="0.2">
      <c r="A55" s="38" t="s">
        <v>377</v>
      </c>
      <c r="B55" s="281"/>
      <c r="C55" s="282"/>
      <c r="D55" s="254"/>
      <c r="E55" s="27"/>
      <c r="F55" s="145"/>
      <c r="G55" s="33"/>
      <c r="H55" s="145"/>
      <c r="I55" s="145"/>
      <c r="J55" s="33"/>
      <c r="K55" s="33"/>
      <c r="L55" s="159"/>
      <c r="M55" s="159"/>
      <c r="N55" s="148"/>
    </row>
    <row r="56" spans="1:14" s="3" customFormat="1" ht="15.75" x14ac:dyDescent="0.2">
      <c r="A56" s="39" t="s">
        <v>379</v>
      </c>
      <c r="B56" s="310">
        <v>5196.3689999999997</v>
      </c>
      <c r="C56" s="311">
        <v>1460.376</v>
      </c>
      <c r="D56" s="428">
        <f t="shared" si="15"/>
        <v>-71.900000000000006</v>
      </c>
      <c r="E56" s="11">
        <f>IFERROR(100/'Skjema total MA'!C56*C56,0)</f>
        <v>1.2301170555972012</v>
      </c>
      <c r="F56" s="145"/>
      <c r="G56" s="33"/>
      <c r="H56" s="145"/>
      <c r="I56" s="145"/>
      <c r="J56" s="33"/>
      <c r="K56" s="33"/>
      <c r="L56" s="159"/>
      <c r="M56" s="159"/>
      <c r="N56" s="148"/>
    </row>
    <row r="57" spans="1:14" s="3" customFormat="1" ht="15.75" x14ac:dyDescent="0.2">
      <c r="A57" s="38" t="s">
        <v>376</v>
      </c>
      <c r="B57" s="281">
        <v>5196.3689999999997</v>
      </c>
      <c r="C57" s="282">
        <v>1460.376</v>
      </c>
      <c r="D57" s="254">
        <f t="shared" si="15"/>
        <v>-71.900000000000006</v>
      </c>
      <c r="E57" s="27">
        <f>IFERROR(100/'Skjema total MA'!C57*C57,0)</f>
        <v>1.2301170555972012</v>
      </c>
      <c r="F57" s="145"/>
      <c r="G57" s="33"/>
      <c r="H57" s="145"/>
      <c r="I57" s="145"/>
      <c r="J57" s="33"/>
      <c r="K57" s="33"/>
      <c r="L57" s="159"/>
      <c r="M57" s="159"/>
      <c r="N57" s="148"/>
    </row>
    <row r="58" spans="1:14" s="3" customFormat="1" ht="15.75" x14ac:dyDescent="0.2">
      <c r="A58" s="46" t="s">
        <v>377</v>
      </c>
      <c r="B58" s="283"/>
      <c r="C58" s="284"/>
      <c r="D58" s="255"/>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274</v>
      </c>
      <c r="C61" s="26"/>
      <c r="D61" s="26"/>
      <c r="E61" s="26"/>
      <c r="F61" s="26"/>
      <c r="G61" s="26"/>
      <c r="H61" s="26"/>
      <c r="I61" s="26"/>
      <c r="J61" s="26"/>
      <c r="K61" s="26"/>
      <c r="L61" s="26"/>
      <c r="M61" s="26"/>
    </row>
    <row r="62" spans="1:14" ht="15.75" x14ac:dyDescent="0.25">
      <c r="B62" s="735"/>
      <c r="C62" s="735"/>
      <c r="D62" s="735"/>
      <c r="E62" s="299"/>
      <c r="F62" s="735"/>
      <c r="G62" s="735"/>
      <c r="H62" s="735"/>
      <c r="I62" s="299"/>
      <c r="J62" s="735"/>
      <c r="K62" s="735"/>
      <c r="L62" s="735"/>
      <c r="M62" s="299"/>
    </row>
    <row r="63" spans="1:14" x14ac:dyDescent="0.2">
      <c r="A63" s="144"/>
      <c r="B63" s="733" t="s">
        <v>0</v>
      </c>
      <c r="C63" s="734"/>
      <c r="D63" s="738"/>
      <c r="E63" s="300"/>
      <c r="F63" s="734" t="s">
        <v>1</v>
      </c>
      <c r="G63" s="734"/>
      <c r="H63" s="734"/>
      <c r="I63" s="304"/>
      <c r="J63" s="733" t="s">
        <v>2</v>
      </c>
      <c r="K63" s="734"/>
      <c r="L63" s="734"/>
      <c r="M63" s="304"/>
    </row>
    <row r="64" spans="1:14" x14ac:dyDescent="0.2">
      <c r="A64" s="140"/>
      <c r="B64" s="152" t="s">
        <v>421</v>
      </c>
      <c r="C64" s="152" t="s">
        <v>422</v>
      </c>
      <c r="D64" s="245" t="s">
        <v>3</v>
      </c>
      <c r="E64" s="305" t="s">
        <v>29</v>
      </c>
      <c r="F64" s="152" t="s">
        <v>421</v>
      </c>
      <c r="G64" s="152" t="s">
        <v>422</v>
      </c>
      <c r="H64" s="245" t="s">
        <v>3</v>
      </c>
      <c r="I64" s="305" t="s">
        <v>29</v>
      </c>
      <c r="J64" s="152" t="s">
        <v>421</v>
      </c>
      <c r="K64" s="152" t="s">
        <v>422</v>
      </c>
      <c r="L64" s="245" t="s">
        <v>3</v>
      </c>
      <c r="M64" s="162" t="s">
        <v>29</v>
      </c>
    </row>
    <row r="65" spans="1:14" x14ac:dyDescent="0.2">
      <c r="A65" s="708"/>
      <c r="B65" s="156"/>
      <c r="C65" s="156"/>
      <c r="D65" s="246" t="s">
        <v>4</v>
      </c>
      <c r="E65" s="156" t="s">
        <v>30</v>
      </c>
      <c r="F65" s="161"/>
      <c r="G65" s="161"/>
      <c r="H65" s="245" t="s">
        <v>4</v>
      </c>
      <c r="I65" s="156" t="s">
        <v>30</v>
      </c>
      <c r="J65" s="161"/>
      <c r="K65" s="206"/>
      <c r="L65" s="156" t="s">
        <v>4</v>
      </c>
      <c r="M65" s="156" t="s">
        <v>30</v>
      </c>
    </row>
    <row r="66" spans="1:14" ht="15.75" x14ac:dyDescent="0.2">
      <c r="A66" s="14" t="s">
        <v>23</v>
      </c>
      <c r="B66" s="353">
        <v>3060622.8039999995</v>
      </c>
      <c r="C66" s="353">
        <v>2652564.5860000001</v>
      </c>
      <c r="D66" s="350">
        <f t="shared" ref="D66:D111" si="16">IF(B66=0, "    ---- ", IF(ABS(ROUND(100/B66*C66-100,1))&lt;999,ROUND(100/B66*C66-100,1),IF(ROUND(100/B66*C66-100,1)&gt;999,999,-999)))</f>
        <v>-13.3</v>
      </c>
      <c r="E66" s="11">
        <f>IFERROR(100/'Skjema total MA'!C66*C66,0)</f>
        <v>44.771657085338674</v>
      </c>
      <c r="F66" s="352">
        <v>7010087.9040000001</v>
      </c>
      <c r="G66" s="352">
        <v>8175812.3589999992</v>
      </c>
      <c r="H66" s="350">
        <f t="shared" ref="H66:H111" si="17">IF(F66=0, "    ---- ", IF(ABS(ROUND(100/F66*G66-100,1))&lt;999,ROUND(100/F66*G66-100,1),IF(ROUND(100/F66*G66-100,1)&gt;999,999,-999)))</f>
        <v>16.600000000000001</v>
      </c>
      <c r="I66" s="11">
        <f>IFERROR(100/'Skjema total MA'!F66*G66,0)</f>
        <v>31.42556955621302</v>
      </c>
      <c r="J66" s="309">
        <f t="shared" ref="J66:K86" si="18">SUM(B66,F66)</f>
        <v>10070710.708000001</v>
      </c>
      <c r="K66" s="316">
        <f t="shared" si="18"/>
        <v>10828376.945</v>
      </c>
      <c r="L66" s="428">
        <f t="shared" ref="L66:L111" si="19">IF(J66=0, "    ---- ", IF(ABS(ROUND(100/J66*K66-100,1))&lt;999,ROUND(100/J66*K66-100,1),IF(ROUND(100/J66*K66-100,1)&gt;999,999,-999)))</f>
        <v>7.5</v>
      </c>
      <c r="M66" s="11">
        <f>IFERROR(100/'Skjema total MA'!I66*K66,0)</f>
        <v>33.901093360016972</v>
      </c>
    </row>
    <row r="67" spans="1:14" x14ac:dyDescent="0.2">
      <c r="A67" s="419" t="s">
        <v>9</v>
      </c>
      <c r="B67" s="44">
        <v>2271040.4759999998</v>
      </c>
      <c r="C67" s="145">
        <v>1754334.0589999999</v>
      </c>
      <c r="D67" s="166">
        <f t="shared" si="16"/>
        <v>-22.8</v>
      </c>
      <c r="E67" s="27">
        <f>IFERROR(100/'Skjema total MA'!C67*C67,0)</f>
        <v>42.111916286321801</v>
      </c>
      <c r="F67" s="234"/>
      <c r="G67" s="145"/>
      <c r="H67" s="166"/>
      <c r="I67" s="27"/>
      <c r="J67" s="287">
        <f t="shared" si="18"/>
        <v>2271040.4759999998</v>
      </c>
      <c r="K67" s="44">
        <f t="shared" si="18"/>
        <v>1754334.0589999999</v>
      </c>
      <c r="L67" s="254">
        <f t="shared" si="19"/>
        <v>-22.8</v>
      </c>
      <c r="M67" s="27">
        <f>IFERROR(100/'Skjema total MA'!I67*K67,0)</f>
        <v>42.111916286321801</v>
      </c>
    </row>
    <row r="68" spans="1:14" x14ac:dyDescent="0.2">
      <c r="A68" s="21" t="s">
        <v>10</v>
      </c>
      <c r="B68" s="292"/>
      <c r="C68" s="293"/>
      <c r="D68" s="166"/>
      <c r="E68" s="27"/>
      <c r="F68" s="292">
        <v>6869632.1979999999</v>
      </c>
      <c r="G68" s="293">
        <v>7357437.0939999996</v>
      </c>
      <c r="H68" s="166">
        <f t="shared" si="17"/>
        <v>7.1</v>
      </c>
      <c r="I68" s="27">
        <f>IFERROR(100/'Skjema total MA'!F68*G68,0)</f>
        <v>29.444567908318817</v>
      </c>
      <c r="J68" s="287">
        <f t="shared" si="18"/>
        <v>6869632.1979999999</v>
      </c>
      <c r="K68" s="44">
        <f t="shared" si="18"/>
        <v>7357437.0939999996</v>
      </c>
      <c r="L68" s="254">
        <f t="shared" si="19"/>
        <v>7.1</v>
      </c>
      <c r="M68" s="27">
        <f>IFERROR(100/'Skjema total MA'!I68*K68,0)</f>
        <v>29.305699439966268</v>
      </c>
    </row>
    <row r="69" spans="1:14" ht="15.75" x14ac:dyDescent="0.2">
      <c r="A69" s="296" t="s">
        <v>380</v>
      </c>
      <c r="B69" s="294"/>
      <c r="C69" s="295"/>
      <c r="D69" s="166"/>
      <c r="E69" s="417"/>
      <c r="F69" s="294"/>
      <c r="G69" s="295"/>
      <c r="H69" s="166"/>
      <c r="I69" s="417"/>
      <c r="J69" s="294"/>
      <c r="K69" s="295"/>
      <c r="L69" s="166"/>
      <c r="M69" s="23"/>
    </row>
    <row r="70" spans="1:14" x14ac:dyDescent="0.2">
      <c r="A70" s="296" t="s">
        <v>12</v>
      </c>
      <c r="B70" s="294"/>
      <c r="C70" s="295"/>
      <c r="D70" s="166"/>
      <c r="E70" s="417"/>
      <c r="F70" s="294"/>
      <c r="G70" s="295"/>
      <c r="H70" s="166"/>
      <c r="I70" s="417"/>
      <c r="J70" s="294"/>
      <c r="K70" s="295"/>
      <c r="L70" s="166"/>
      <c r="M70" s="23"/>
    </row>
    <row r="71" spans="1:14" x14ac:dyDescent="0.2">
      <c r="A71" s="296" t="s">
        <v>13</v>
      </c>
      <c r="B71" s="235"/>
      <c r="C71" s="289"/>
      <c r="D71" s="166"/>
      <c r="E71" s="417"/>
      <c r="F71" s="294"/>
      <c r="G71" s="295"/>
      <c r="H71" s="166"/>
      <c r="I71" s="417"/>
      <c r="J71" s="294"/>
      <c r="K71" s="295"/>
      <c r="L71" s="166"/>
      <c r="M71" s="23"/>
    </row>
    <row r="72" spans="1:14" ht="15.75" x14ac:dyDescent="0.2">
      <c r="A72" s="296" t="s">
        <v>381</v>
      </c>
      <c r="B72" s="294"/>
      <c r="C72" s="295"/>
      <c r="D72" s="166"/>
      <c r="E72" s="417"/>
      <c r="F72" s="294"/>
      <c r="G72" s="295"/>
      <c r="H72" s="166"/>
      <c r="I72" s="417"/>
      <c r="J72" s="294"/>
      <c r="K72" s="295"/>
      <c r="L72" s="166"/>
      <c r="M72" s="23"/>
    </row>
    <row r="73" spans="1:14" x14ac:dyDescent="0.2">
      <c r="A73" s="296" t="s">
        <v>12</v>
      </c>
      <c r="B73" s="235"/>
      <c r="C73" s="289"/>
      <c r="D73" s="166"/>
      <c r="E73" s="417"/>
      <c r="F73" s="294"/>
      <c r="G73" s="295"/>
      <c r="H73" s="166"/>
      <c r="I73" s="417"/>
      <c r="J73" s="294"/>
      <c r="K73" s="295"/>
      <c r="L73" s="166"/>
      <c r="M73" s="23"/>
    </row>
    <row r="74" spans="1:14" s="3" customFormat="1" x14ac:dyDescent="0.2">
      <c r="A74" s="296" t="s">
        <v>13</v>
      </c>
      <c r="B74" s="235"/>
      <c r="C74" s="289"/>
      <c r="D74" s="166"/>
      <c r="E74" s="417"/>
      <c r="F74" s="294"/>
      <c r="G74" s="295"/>
      <c r="H74" s="166"/>
      <c r="I74" s="417"/>
      <c r="J74" s="294"/>
      <c r="K74" s="295"/>
      <c r="L74" s="166"/>
      <c r="M74" s="23"/>
      <c r="N74" s="148"/>
    </row>
    <row r="75" spans="1:14" s="3" customFormat="1" x14ac:dyDescent="0.2">
      <c r="A75" s="21" t="s">
        <v>350</v>
      </c>
      <c r="B75" s="234">
        <v>69015.554000000004</v>
      </c>
      <c r="C75" s="145">
        <v>91479.131999999998</v>
      </c>
      <c r="D75" s="166">
        <f t="shared" si="16"/>
        <v>32.5</v>
      </c>
      <c r="E75" s="27">
        <f>IFERROR(100/'Skjema total MA'!C75*C75,0)</f>
        <v>27.236891246511316</v>
      </c>
      <c r="F75" s="234">
        <v>140455.70600000001</v>
      </c>
      <c r="G75" s="145">
        <v>818375.26500000001</v>
      </c>
      <c r="H75" s="166">
        <f t="shared" si="17"/>
        <v>482.7</v>
      </c>
      <c r="I75" s="27">
        <f>IFERROR(100/'Skjema total MA'!F75*G75,0)</f>
        <v>79.529893413856982</v>
      </c>
      <c r="J75" s="287">
        <f t="shared" si="18"/>
        <v>209471.26</v>
      </c>
      <c r="K75" s="44">
        <f t="shared" si="18"/>
        <v>909854.397</v>
      </c>
      <c r="L75" s="254">
        <f t="shared" si="19"/>
        <v>334.4</v>
      </c>
      <c r="M75" s="27">
        <f>IFERROR(100/'Skjema total MA'!I75*K75,0)</f>
        <v>66.661824657737924</v>
      </c>
      <c r="N75" s="148"/>
    </row>
    <row r="76" spans="1:14" s="3" customFormat="1" x14ac:dyDescent="0.2">
      <c r="A76" s="21" t="s">
        <v>349</v>
      </c>
      <c r="B76" s="234">
        <v>720566.77399999998</v>
      </c>
      <c r="C76" s="145">
        <v>806751.39500000002</v>
      </c>
      <c r="D76" s="166">
        <f t="shared" ref="D76" si="20">IF(B76=0, "    ---- ", IF(ABS(ROUND(100/B76*C76-100,1))&lt;999,ROUND(100/B76*C76-100,1),IF(ROUND(100/B76*C76-100,1)&gt;999,999,-999)))</f>
        <v>12</v>
      </c>
      <c r="E76" s="27">
        <f>IFERROR(100/'Skjema total MA'!C77*C76,0)</f>
        <v>19.457376513998337</v>
      </c>
      <c r="F76" s="234"/>
      <c r="G76" s="145"/>
      <c r="H76" s="166"/>
      <c r="I76" s="27"/>
      <c r="J76" s="287">
        <f t="shared" ref="J76" si="21">SUM(B76,F76)</f>
        <v>720566.77399999998</v>
      </c>
      <c r="K76" s="44">
        <f t="shared" ref="K76" si="22">SUM(C76,G76)</f>
        <v>806751.39500000002</v>
      </c>
      <c r="L76" s="254">
        <f t="shared" ref="L76" si="23">IF(J76=0, "    ---- ", IF(ABS(ROUND(100/J76*K76-100,1))&lt;999,ROUND(100/J76*K76-100,1),IF(ROUND(100/J76*K76-100,1)&gt;999,999,-999)))</f>
        <v>12</v>
      </c>
      <c r="M76" s="27">
        <f>IFERROR(100/'Skjema total MA'!I77*K76,0)</f>
        <v>2.7702212473761656</v>
      </c>
      <c r="N76" s="148"/>
    </row>
    <row r="77" spans="1:14" ht="15.75" x14ac:dyDescent="0.2">
      <c r="A77" s="21" t="s">
        <v>382</v>
      </c>
      <c r="B77" s="234">
        <v>2195420.5260000001</v>
      </c>
      <c r="C77" s="234">
        <v>1650394.2660000001</v>
      </c>
      <c r="D77" s="166">
        <f t="shared" si="16"/>
        <v>-24.8</v>
      </c>
      <c r="E77" s="27">
        <f>IFERROR(100/'Skjema total MA'!C77*C77,0)</f>
        <v>39.804508339407242</v>
      </c>
      <c r="F77" s="234">
        <v>6869632.1979999999</v>
      </c>
      <c r="G77" s="145">
        <v>7357437.0939999996</v>
      </c>
      <c r="H77" s="166">
        <f t="shared" si="17"/>
        <v>7.1</v>
      </c>
      <c r="I77" s="27">
        <f>IFERROR(100/'Skjema total MA'!F77*G77,0)</f>
        <v>29.458000451388237</v>
      </c>
      <c r="J77" s="287">
        <f t="shared" si="18"/>
        <v>9065052.7239999995</v>
      </c>
      <c r="K77" s="44">
        <f t="shared" si="18"/>
        <v>9007831.3599999994</v>
      </c>
      <c r="L77" s="254">
        <f t="shared" si="19"/>
        <v>-0.6</v>
      </c>
      <c r="M77" s="27">
        <f>IFERROR(100/'Skjema total MA'!I77*K77,0)</f>
        <v>30.931072423188482</v>
      </c>
    </row>
    <row r="78" spans="1:14" x14ac:dyDescent="0.2">
      <c r="A78" s="21" t="s">
        <v>9</v>
      </c>
      <c r="B78" s="234">
        <v>2195420.5260000001</v>
      </c>
      <c r="C78" s="145">
        <v>1650394.2660000001</v>
      </c>
      <c r="D78" s="166">
        <f t="shared" si="16"/>
        <v>-24.8</v>
      </c>
      <c r="E78" s="27">
        <f>IFERROR(100/'Skjema total MA'!C78*C78,0)</f>
        <v>40.955340839926755</v>
      </c>
      <c r="F78" s="234"/>
      <c r="G78" s="145"/>
      <c r="H78" s="166"/>
      <c r="I78" s="27"/>
      <c r="J78" s="287">
        <f t="shared" si="18"/>
        <v>2195420.5260000001</v>
      </c>
      <c r="K78" s="44">
        <f t="shared" si="18"/>
        <v>1650394.2660000001</v>
      </c>
      <c r="L78" s="254">
        <f t="shared" si="19"/>
        <v>-24.8</v>
      </c>
      <c r="M78" s="27">
        <f>IFERROR(100/'Skjema total MA'!I78*K78,0)</f>
        <v>40.955340839926755</v>
      </c>
    </row>
    <row r="79" spans="1:14" x14ac:dyDescent="0.2">
      <c r="A79" s="21" t="s">
        <v>10</v>
      </c>
      <c r="B79" s="292"/>
      <c r="C79" s="293"/>
      <c r="D79" s="166"/>
      <c r="E79" s="27"/>
      <c r="F79" s="292">
        <v>6869632.1979999999</v>
      </c>
      <c r="G79" s="293">
        <v>7357437.0939999996</v>
      </c>
      <c r="H79" s="166">
        <f t="shared" si="17"/>
        <v>7.1</v>
      </c>
      <c r="I79" s="27">
        <f>IFERROR(100/'Skjema total MA'!F79*G79,0)</f>
        <v>29.458000451388237</v>
      </c>
      <c r="J79" s="287">
        <f t="shared" si="18"/>
        <v>6869632.1979999999</v>
      </c>
      <c r="K79" s="44">
        <f t="shared" si="18"/>
        <v>7357437.0939999996</v>
      </c>
      <c r="L79" s="254">
        <f t="shared" si="19"/>
        <v>7.1</v>
      </c>
      <c r="M79" s="27">
        <f>IFERROR(100/'Skjema total MA'!I79*K79,0)</f>
        <v>29.32122259356268</v>
      </c>
    </row>
    <row r="80" spans="1:14" ht="15.75" x14ac:dyDescent="0.2">
      <c r="A80" s="296" t="s">
        <v>380</v>
      </c>
      <c r="B80" s="294"/>
      <c r="C80" s="295"/>
      <c r="D80" s="166"/>
      <c r="E80" s="417"/>
      <c r="F80" s="294"/>
      <c r="G80" s="295"/>
      <c r="H80" s="166"/>
      <c r="I80" s="417"/>
      <c r="J80" s="294"/>
      <c r="K80" s="295"/>
      <c r="L80" s="166"/>
      <c r="M80" s="23"/>
    </row>
    <row r="81" spans="1:13" x14ac:dyDescent="0.2">
      <c r="A81" s="296" t="s">
        <v>12</v>
      </c>
      <c r="B81" s="294"/>
      <c r="C81" s="295"/>
      <c r="D81" s="166"/>
      <c r="E81" s="417"/>
      <c r="F81" s="294"/>
      <c r="G81" s="295"/>
      <c r="H81" s="166"/>
      <c r="I81" s="417"/>
      <c r="J81" s="294"/>
      <c r="K81" s="295"/>
      <c r="L81" s="166"/>
      <c r="M81" s="23"/>
    </row>
    <row r="82" spans="1:13" x14ac:dyDescent="0.2">
      <c r="A82" s="296" t="s">
        <v>13</v>
      </c>
      <c r="B82" s="294"/>
      <c r="C82" s="295"/>
      <c r="D82" s="166"/>
      <c r="E82" s="417"/>
      <c r="F82" s="294"/>
      <c r="G82" s="295"/>
      <c r="H82" s="166"/>
      <c r="I82" s="417"/>
      <c r="J82" s="294"/>
      <c r="K82" s="295"/>
      <c r="L82" s="166"/>
      <c r="M82" s="23"/>
    </row>
    <row r="83" spans="1:13" ht="15.75" x14ac:dyDescent="0.2">
      <c r="A83" s="296" t="s">
        <v>381</v>
      </c>
      <c r="B83" s="294"/>
      <c r="C83" s="295"/>
      <c r="D83" s="166"/>
      <c r="E83" s="417"/>
      <c r="F83" s="294"/>
      <c r="G83" s="295"/>
      <c r="H83" s="166"/>
      <c r="I83" s="417"/>
      <c r="J83" s="294"/>
      <c r="K83" s="295"/>
      <c r="L83" s="166"/>
      <c r="M83" s="23"/>
    </row>
    <row r="84" spans="1:13" x14ac:dyDescent="0.2">
      <c r="A84" s="296" t="s">
        <v>12</v>
      </c>
      <c r="B84" s="294"/>
      <c r="C84" s="295"/>
      <c r="D84" s="166"/>
      <c r="E84" s="417"/>
      <c r="F84" s="294"/>
      <c r="G84" s="295"/>
      <c r="H84" s="166"/>
      <c r="I84" s="417"/>
      <c r="J84" s="294"/>
      <c r="K84" s="295"/>
      <c r="L84" s="166"/>
      <c r="M84" s="23"/>
    </row>
    <row r="85" spans="1:13" x14ac:dyDescent="0.2">
      <c r="A85" s="296" t="s">
        <v>13</v>
      </c>
      <c r="B85" s="294"/>
      <c r="C85" s="295"/>
      <c r="D85" s="166"/>
      <c r="E85" s="417"/>
      <c r="F85" s="294"/>
      <c r="G85" s="295"/>
      <c r="H85" s="166"/>
      <c r="I85" s="417"/>
      <c r="J85" s="294"/>
      <c r="K85" s="295"/>
      <c r="L85" s="166"/>
      <c r="M85" s="23"/>
    </row>
    <row r="86" spans="1:13" ht="15.75" x14ac:dyDescent="0.2">
      <c r="A86" s="21" t="s">
        <v>383</v>
      </c>
      <c r="B86" s="234">
        <v>75619.95</v>
      </c>
      <c r="C86" s="145">
        <v>103939.79300000001</v>
      </c>
      <c r="D86" s="166">
        <f t="shared" si="16"/>
        <v>37.5</v>
      </c>
      <c r="E86" s="27">
        <f>IFERROR(100/'Skjema total MA'!C86*C86,0)</f>
        <v>75.296131749513165</v>
      </c>
      <c r="F86" s="234"/>
      <c r="G86" s="145"/>
      <c r="H86" s="166"/>
      <c r="I86" s="27"/>
      <c r="J86" s="287">
        <f t="shared" si="18"/>
        <v>75619.95</v>
      </c>
      <c r="K86" s="44">
        <f t="shared" si="18"/>
        <v>103939.79300000001</v>
      </c>
      <c r="L86" s="254">
        <f t="shared" si="19"/>
        <v>37.5</v>
      </c>
      <c r="M86" s="27">
        <f>IFERROR(100/'Skjema total MA'!I86*K86,0)</f>
        <v>69.555024316143644</v>
      </c>
    </row>
    <row r="87" spans="1:13" ht="15.75" x14ac:dyDescent="0.2">
      <c r="A87" s="13" t="s">
        <v>365</v>
      </c>
      <c r="B87" s="353">
        <v>163890535.31600001</v>
      </c>
      <c r="C87" s="353">
        <v>165466856.82699999</v>
      </c>
      <c r="D87" s="171">
        <f t="shared" si="16"/>
        <v>1</v>
      </c>
      <c r="E87" s="11">
        <f>IFERROR(100/'Skjema total MA'!C87*C87,0)</f>
        <v>42.057637894161005</v>
      </c>
      <c r="F87" s="352">
        <v>95961217.671000004</v>
      </c>
      <c r="G87" s="352">
        <v>111505875.809</v>
      </c>
      <c r="H87" s="171">
        <f t="shared" si="17"/>
        <v>16.2</v>
      </c>
      <c r="I87" s="11">
        <f>IFERROR(100/'Skjema total MA'!F87*G87,0)</f>
        <v>32.963011898686482</v>
      </c>
      <c r="J87" s="309">
        <f t="shared" ref="J87:K111" si="24">SUM(B87,F87)</f>
        <v>259851752.98700002</v>
      </c>
      <c r="K87" s="236">
        <f t="shared" si="24"/>
        <v>276972732.63599998</v>
      </c>
      <c r="L87" s="428">
        <f t="shared" si="19"/>
        <v>6.6</v>
      </c>
      <c r="M87" s="11">
        <f>IFERROR(100/'Skjema total MA'!I87*K87,0)</f>
        <v>37.853083660706453</v>
      </c>
    </row>
    <row r="88" spans="1:13" x14ac:dyDescent="0.2">
      <c r="A88" s="21" t="s">
        <v>9</v>
      </c>
      <c r="B88" s="234">
        <v>159310363.61500001</v>
      </c>
      <c r="C88" s="145">
        <v>159629713.93099999</v>
      </c>
      <c r="D88" s="166">
        <f t="shared" si="16"/>
        <v>0.2</v>
      </c>
      <c r="E88" s="27">
        <f>IFERROR(100/'Skjema total MA'!C88*C88,0)</f>
        <v>41.801971661289102</v>
      </c>
      <c r="F88" s="234"/>
      <c r="G88" s="145"/>
      <c r="H88" s="166"/>
      <c r="I88" s="27"/>
      <c r="J88" s="287">
        <f t="shared" si="24"/>
        <v>159310363.61500001</v>
      </c>
      <c r="K88" s="44">
        <f t="shared" si="24"/>
        <v>159629713.93099999</v>
      </c>
      <c r="L88" s="254">
        <f t="shared" si="19"/>
        <v>0.2</v>
      </c>
      <c r="M88" s="27">
        <f>IFERROR(100/'Skjema total MA'!I88*K88,0)</f>
        <v>41.801971661289102</v>
      </c>
    </row>
    <row r="89" spans="1:13" x14ac:dyDescent="0.2">
      <c r="A89" s="21" t="s">
        <v>10</v>
      </c>
      <c r="B89" s="234">
        <v>48571.762999999999</v>
      </c>
      <c r="C89" s="145">
        <v>48536.794000000002</v>
      </c>
      <c r="D89" s="166">
        <f t="shared" si="16"/>
        <v>-0.1</v>
      </c>
      <c r="E89" s="27">
        <f>IFERROR(100/'Skjema total MA'!C89*C89,0)</f>
        <v>1.5320649802240789</v>
      </c>
      <c r="F89" s="234">
        <v>95413276.042999998</v>
      </c>
      <c r="G89" s="145">
        <v>110052786.163</v>
      </c>
      <c r="H89" s="166">
        <f t="shared" si="17"/>
        <v>15.3</v>
      </c>
      <c r="I89" s="27">
        <f>IFERROR(100/'Skjema total MA'!F89*G89,0)</f>
        <v>32.78273897505121</v>
      </c>
      <c r="J89" s="287">
        <f t="shared" si="24"/>
        <v>95461847.805999994</v>
      </c>
      <c r="K89" s="44">
        <f t="shared" si="24"/>
        <v>110101322.957</v>
      </c>
      <c r="L89" s="254">
        <f t="shared" si="19"/>
        <v>15.3</v>
      </c>
      <c r="M89" s="27">
        <f>IFERROR(100/'Skjema total MA'!I89*K89,0)</f>
        <v>32.49058067758677</v>
      </c>
    </row>
    <row r="90" spans="1:13" ht="15.75" x14ac:dyDescent="0.2">
      <c r="A90" s="296" t="s">
        <v>380</v>
      </c>
      <c r="B90" s="294"/>
      <c r="C90" s="295"/>
      <c r="D90" s="166"/>
      <c r="E90" s="417"/>
      <c r="F90" s="294"/>
      <c r="G90" s="295"/>
      <c r="H90" s="166"/>
      <c r="I90" s="417"/>
      <c r="J90" s="294"/>
      <c r="K90" s="295"/>
      <c r="L90" s="166"/>
      <c r="M90" s="23"/>
    </row>
    <row r="91" spans="1:13" x14ac:dyDescent="0.2">
      <c r="A91" s="296" t="s">
        <v>12</v>
      </c>
      <c r="B91" s="294"/>
      <c r="C91" s="295"/>
      <c r="D91" s="166"/>
      <c r="E91" s="417"/>
      <c r="F91" s="294"/>
      <c r="G91" s="295"/>
      <c r="H91" s="166"/>
      <c r="I91" s="417"/>
      <c r="J91" s="294"/>
      <c r="K91" s="295"/>
      <c r="L91" s="166"/>
      <c r="M91" s="23"/>
    </row>
    <row r="92" spans="1:13" x14ac:dyDescent="0.2">
      <c r="A92" s="296" t="s">
        <v>13</v>
      </c>
      <c r="B92" s="294"/>
      <c r="C92" s="295"/>
      <c r="D92" s="166"/>
      <c r="E92" s="417"/>
      <c r="F92" s="294"/>
      <c r="G92" s="295"/>
      <c r="H92" s="166"/>
      <c r="I92" s="417"/>
      <c r="J92" s="294"/>
      <c r="K92" s="295"/>
      <c r="L92" s="166"/>
      <c r="M92" s="23"/>
    </row>
    <row r="93" spans="1:13" ht="15.75" x14ac:dyDescent="0.2">
      <c r="A93" s="296" t="s">
        <v>381</v>
      </c>
      <c r="B93" s="294"/>
      <c r="C93" s="295"/>
      <c r="D93" s="166"/>
      <c r="E93" s="417"/>
      <c r="F93" s="294"/>
      <c r="G93" s="295"/>
      <c r="H93" s="166"/>
      <c r="I93" s="417"/>
      <c r="J93" s="294"/>
      <c r="K93" s="295"/>
      <c r="L93" s="166"/>
      <c r="M93" s="23"/>
    </row>
    <row r="94" spans="1:13" x14ac:dyDescent="0.2">
      <c r="A94" s="296" t="s">
        <v>12</v>
      </c>
      <c r="B94" s="294"/>
      <c r="C94" s="295"/>
      <c r="D94" s="166"/>
      <c r="E94" s="417"/>
      <c r="F94" s="294"/>
      <c r="G94" s="295"/>
      <c r="H94" s="166"/>
      <c r="I94" s="417"/>
      <c r="J94" s="294"/>
      <c r="K94" s="295"/>
      <c r="L94" s="166"/>
      <c r="M94" s="23"/>
    </row>
    <row r="95" spans="1:13" x14ac:dyDescent="0.2">
      <c r="A95" s="296" t="s">
        <v>13</v>
      </c>
      <c r="B95" s="294"/>
      <c r="C95" s="295"/>
      <c r="D95" s="166"/>
      <c r="E95" s="417"/>
      <c r="F95" s="294"/>
      <c r="G95" s="295"/>
      <c r="H95" s="166"/>
      <c r="I95" s="417"/>
      <c r="J95" s="294"/>
      <c r="K95" s="295"/>
      <c r="L95" s="166"/>
      <c r="M95" s="23"/>
    </row>
    <row r="96" spans="1:13" x14ac:dyDescent="0.2">
      <c r="A96" s="21" t="s">
        <v>348</v>
      </c>
      <c r="B96" s="234">
        <v>199805.30499999999</v>
      </c>
      <c r="C96" s="145">
        <v>381340.12900000002</v>
      </c>
      <c r="D96" s="166">
        <f t="shared" si="16"/>
        <v>90.9</v>
      </c>
      <c r="E96" s="27">
        <f>IFERROR(100/'Skjema total MA'!C96*C96,0)</f>
        <v>20.681193813318988</v>
      </c>
      <c r="F96" s="234">
        <v>547941.62800000003</v>
      </c>
      <c r="G96" s="145">
        <v>1453089.6459999999</v>
      </c>
      <c r="H96" s="166">
        <f t="shared" si="17"/>
        <v>165.2</v>
      </c>
      <c r="I96" s="27">
        <f>IFERROR(100/'Skjema total MA'!F96*G96,0)</f>
        <v>56.48992033771637</v>
      </c>
      <c r="J96" s="287">
        <f t="shared" si="24"/>
        <v>747746.93299999996</v>
      </c>
      <c r="K96" s="44">
        <f t="shared" si="24"/>
        <v>1834429.7749999999</v>
      </c>
      <c r="L96" s="254">
        <f t="shared" si="19"/>
        <v>145.30000000000001</v>
      </c>
      <c r="M96" s="27">
        <f>IFERROR(100/'Skjema total MA'!I96*K96,0)</f>
        <v>41.538675979137622</v>
      </c>
    </row>
    <row r="97" spans="1:13" x14ac:dyDescent="0.2">
      <c r="A97" s="21" t="s">
        <v>347</v>
      </c>
      <c r="B97" s="234">
        <v>4331794.6330000004</v>
      </c>
      <c r="C97" s="145">
        <v>5407265.9730000002</v>
      </c>
      <c r="D97" s="166">
        <f t="shared" ref="D97" si="25">IF(B97=0, "    ---- ", IF(ABS(ROUND(100/B97*C97-100,1))&lt;999,ROUND(100/B97*C97-100,1),IF(ROUND(100/B97*C97-100,1)&gt;999,999,-999)))</f>
        <v>24.8</v>
      </c>
      <c r="E97" s="27">
        <f>IFERROR(100/'Skjema total MA'!C98*C97,0)</f>
        <v>1.4206268581476897</v>
      </c>
      <c r="F97" s="234"/>
      <c r="G97" s="145"/>
      <c r="H97" s="166"/>
      <c r="I97" s="27"/>
      <c r="J97" s="287">
        <f t="shared" ref="J97" si="26">SUM(B97,F97)</f>
        <v>4331794.6330000004</v>
      </c>
      <c r="K97" s="44">
        <f t="shared" ref="K97" si="27">SUM(C97,G97)</f>
        <v>5407265.9730000002</v>
      </c>
      <c r="L97" s="254">
        <f t="shared" ref="L97" si="28">IF(J97=0, "    ---- ", IF(ABS(ROUND(100/J97*K97-100,1))&lt;999,ROUND(100/J97*K97-100,1),IF(ROUND(100/J97*K97-100,1)&gt;999,999,-999)))</f>
        <v>24.8</v>
      </c>
      <c r="M97" s="27">
        <f>IFERROR(100/'Skjema total MA'!I98*K97,0)</f>
        <v>0.75585299691648189</v>
      </c>
    </row>
    <row r="98" spans="1:13" ht="15.75" x14ac:dyDescent="0.2">
      <c r="A98" s="21" t="s">
        <v>382</v>
      </c>
      <c r="B98" s="234">
        <v>156058521.91000003</v>
      </c>
      <c r="C98" s="234">
        <v>156419682.27399999</v>
      </c>
      <c r="D98" s="166">
        <f t="shared" si="16"/>
        <v>0.2</v>
      </c>
      <c r="E98" s="27">
        <f>IFERROR(100/'Skjema total MA'!C98*C98,0)</f>
        <v>41.095445071677538</v>
      </c>
      <c r="F98" s="292">
        <v>95413276.042999998</v>
      </c>
      <c r="G98" s="292">
        <v>110052786.163</v>
      </c>
      <c r="H98" s="166">
        <f t="shared" si="17"/>
        <v>15.3</v>
      </c>
      <c r="I98" s="27">
        <f>IFERROR(100/'Skjema total MA'!F98*G98,0)</f>
        <v>32.875073723734928</v>
      </c>
      <c r="J98" s="287">
        <f t="shared" si="24"/>
        <v>251471797.95300001</v>
      </c>
      <c r="K98" s="44">
        <f t="shared" si="24"/>
        <v>266472468.43699998</v>
      </c>
      <c r="L98" s="254">
        <f t="shared" si="19"/>
        <v>6</v>
      </c>
      <c r="M98" s="27">
        <f>IFERROR(100/'Skjema total MA'!I98*K98,0)</f>
        <v>37.248771351281015</v>
      </c>
    </row>
    <row r="99" spans="1:13" x14ac:dyDescent="0.2">
      <c r="A99" s="21" t="s">
        <v>9</v>
      </c>
      <c r="B99" s="292">
        <v>156009950.14700001</v>
      </c>
      <c r="C99" s="293">
        <v>156371145.47999999</v>
      </c>
      <c r="D99" s="166">
        <f t="shared" si="16"/>
        <v>0.2</v>
      </c>
      <c r="E99" s="27">
        <f>IFERROR(100/'Skjema total MA'!C99*C99,0)</f>
        <v>41.42750729713552</v>
      </c>
      <c r="F99" s="234"/>
      <c r="G99" s="145"/>
      <c r="H99" s="166"/>
      <c r="I99" s="27"/>
      <c r="J99" s="287">
        <f t="shared" si="24"/>
        <v>156009950.14700001</v>
      </c>
      <c r="K99" s="44">
        <f t="shared" si="24"/>
        <v>156371145.47999999</v>
      </c>
      <c r="L99" s="254">
        <f t="shared" si="19"/>
        <v>0.2</v>
      </c>
      <c r="M99" s="27">
        <f>IFERROR(100/'Skjema total MA'!I99*K99,0)</f>
        <v>41.42750729713552</v>
      </c>
    </row>
    <row r="100" spans="1:13" x14ac:dyDescent="0.2">
      <c r="A100" s="21" t="s">
        <v>10</v>
      </c>
      <c r="B100" s="292">
        <v>48571.762999999999</v>
      </c>
      <c r="C100" s="293">
        <v>48536.794000000002</v>
      </c>
      <c r="D100" s="166">
        <f t="shared" si="16"/>
        <v>-0.1</v>
      </c>
      <c r="E100" s="27">
        <f>IFERROR(100/'Skjema total MA'!C100*C100,0)</f>
        <v>1.5320649802240789</v>
      </c>
      <c r="F100" s="234">
        <v>95413276.042999998</v>
      </c>
      <c r="G100" s="234">
        <v>110052786.163</v>
      </c>
      <c r="H100" s="166">
        <f t="shared" si="17"/>
        <v>15.3</v>
      </c>
      <c r="I100" s="27">
        <f>IFERROR(100/'Skjema total MA'!F100*G100,0)</f>
        <v>32.875073723734928</v>
      </c>
      <c r="J100" s="287">
        <f t="shared" si="24"/>
        <v>95461847.805999994</v>
      </c>
      <c r="K100" s="44">
        <f t="shared" si="24"/>
        <v>110101322.957</v>
      </c>
      <c r="L100" s="254">
        <f t="shared" si="19"/>
        <v>15.3</v>
      </c>
      <c r="M100" s="27">
        <f>IFERROR(100/'Skjema total MA'!I100*K100,0)</f>
        <v>32.581234624090349</v>
      </c>
    </row>
    <row r="101" spans="1:13" ht="15.75" x14ac:dyDescent="0.2">
      <c r="A101" s="296" t="s">
        <v>380</v>
      </c>
      <c r="B101" s="294"/>
      <c r="C101" s="295"/>
      <c r="D101" s="166"/>
      <c r="E101" s="417"/>
      <c r="F101" s="294"/>
      <c r="G101" s="295"/>
      <c r="H101" s="166"/>
      <c r="I101" s="417"/>
      <c r="J101" s="294"/>
      <c r="K101" s="295"/>
      <c r="L101" s="166"/>
      <c r="M101" s="23"/>
    </row>
    <row r="102" spans="1:13" x14ac:dyDescent="0.2">
      <c r="A102" s="296" t="s">
        <v>12</v>
      </c>
      <c r="B102" s="294"/>
      <c r="C102" s="295"/>
      <c r="D102" s="166"/>
      <c r="E102" s="417"/>
      <c r="F102" s="294"/>
      <c r="G102" s="295"/>
      <c r="H102" s="166"/>
      <c r="I102" s="417"/>
      <c r="J102" s="294"/>
      <c r="K102" s="295"/>
      <c r="L102" s="166"/>
      <c r="M102" s="23"/>
    </row>
    <row r="103" spans="1:13" x14ac:dyDescent="0.2">
      <c r="A103" s="296" t="s">
        <v>13</v>
      </c>
      <c r="B103" s="294"/>
      <c r="C103" s="295"/>
      <c r="D103" s="166"/>
      <c r="E103" s="417"/>
      <c r="F103" s="294"/>
      <c r="G103" s="295"/>
      <c r="H103" s="166"/>
      <c r="I103" s="417"/>
      <c r="J103" s="294"/>
      <c r="K103" s="295"/>
      <c r="L103" s="166"/>
      <c r="M103" s="23"/>
    </row>
    <row r="104" spans="1:13" ht="15.75" x14ac:dyDescent="0.2">
      <c r="A104" s="296" t="s">
        <v>381</v>
      </c>
      <c r="B104" s="294"/>
      <c r="C104" s="295"/>
      <c r="D104" s="166"/>
      <c r="E104" s="417"/>
      <c r="F104" s="294"/>
      <c r="G104" s="295"/>
      <c r="H104" s="166"/>
      <c r="I104" s="417"/>
      <c r="J104" s="294"/>
      <c r="K104" s="295"/>
      <c r="L104" s="166"/>
      <c r="M104" s="23"/>
    </row>
    <row r="105" spans="1:13" x14ac:dyDescent="0.2">
      <c r="A105" s="296" t="s">
        <v>12</v>
      </c>
      <c r="B105" s="294"/>
      <c r="C105" s="295"/>
      <c r="D105" s="166"/>
      <c r="E105" s="417"/>
      <c r="F105" s="294"/>
      <c r="G105" s="295"/>
      <c r="H105" s="166"/>
      <c r="I105" s="417"/>
      <c r="J105" s="294"/>
      <c r="K105" s="295"/>
      <c r="L105" s="166"/>
      <c r="M105" s="23"/>
    </row>
    <row r="106" spans="1:13" x14ac:dyDescent="0.2">
      <c r="A106" s="296" t="s">
        <v>13</v>
      </c>
      <c r="B106" s="294"/>
      <c r="C106" s="295"/>
      <c r="D106" s="166"/>
      <c r="E106" s="417"/>
      <c r="F106" s="294"/>
      <c r="G106" s="295"/>
      <c r="H106" s="166"/>
      <c r="I106" s="417"/>
      <c r="J106" s="294"/>
      <c r="K106" s="295"/>
      <c r="L106" s="166"/>
      <c r="M106" s="23"/>
    </row>
    <row r="107" spans="1:13" ht="15.75" x14ac:dyDescent="0.2">
      <c r="A107" s="21" t="s">
        <v>383</v>
      </c>
      <c r="B107" s="234">
        <v>3300413.4679999999</v>
      </c>
      <c r="C107" s="145">
        <v>3258568.4509999999</v>
      </c>
      <c r="D107" s="166">
        <f t="shared" si="16"/>
        <v>-1.3</v>
      </c>
      <c r="E107" s="27">
        <f>IFERROR(100/'Skjema total MA'!C107*C107,0)</f>
        <v>73.824025574104382</v>
      </c>
      <c r="F107" s="234"/>
      <c r="G107" s="145"/>
      <c r="H107" s="166"/>
      <c r="I107" s="27"/>
      <c r="J107" s="287">
        <f t="shared" si="24"/>
        <v>3300413.4679999999</v>
      </c>
      <c r="K107" s="44">
        <f t="shared" si="24"/>
        <v>3258568.4509999999</v>
      </c>
      <c r="L107" s="254">
        <f t="shared" si="19"/>
        <v>-1.3</v>
      </c>
      <c r="M107" s="27">
        <f>IFERROR(100/'Skjema total MA'!I107*K107,0)</f>
        <v>60.830021205242929</v>
      </c>
    </row>
    <row r="108" spans="1:13" ht="15.75" x14ac:dyDescent="0.2">
      <c r="A108" s="21" t="s">
        <v>384</v>
      </c>
      <c r="B108" s="234">
        <v>132884622.057</v>
      </c>
      <c r="C108" s="234">
        <v>137350729.38999999</v>
      </c>
      <c r="D108" s="166">
        <f t="shared" si="16"/>
        <v>3.4</v>
      </c>
      <c r="E108" s="27">
        <f>IFERROR(100/'Skjema total MA'!C108*C108,0)</f>
        <v>42.215683911303337</v>
      </c>
      <c r="F108" s="234">
        <v>15871864.275</v>
      </c>
      <c r="G108" s="234">
        <v>16557006.169</v>
      </c>
      <c r="H108" s="166">
        <f t="shared" si="17"/>
        <v>4.3</v>
      </c>
      <c r="I108" s="27">
        <f>IFERROR(100/'Skjema total MA'!F108*G108,0)</f>
        <v>95.465465528318589</v>
      </c>
      <c r="J108" s="287">
        <f t="shared" si="24"/>
        <v>148756486.33199999</v>
      </c>
      <c r="K108" s="44">
        <f t="shared" si="24"/>
        <v>153907735.55899999</v>
      </c>
      <c r="L108" s="254">
        <f t="shared" si="19"/>
        <v>3.5</v>
      </c>
      <c r="M108" s="27">
        <f>IFERROR(100/'Skjema total MA'!I108*K108,0)</f>
        <v>44.910576951569247</v>
      </c>
    </row>
    <row r="109" spans="1:13" ht="15.75" x14ac:dyDescent="0.2">
      <c r="A109" s="21" t="s">
        <v>385</v>
      </c>
      <c r="B109" s="234"/>
      <c r="C109" s="234"/>
      <c r="D109" s="166"/>
      <c r="E109" s="27"/>
      <c r="F109" s="234">
        <v>29318003.734000001</v>
      </c>
      <c r="G109" s="234">
        <v>34907480.998999998</v>
      </c>
      <c r="H109" s="166">
        <f t="shared" si="17"/>
        <v>19.100000000000001</v>
      </c>
      <c r="I109" s="27">
        <f>IFERROR(100/'Skjema total MA'!F109*G109,0)</f>
        <v>29.528516726905515</v>
      </c>
      <c r="J109" s="287">
        <f t="shared" si="24"/>
        <v>29318003.734000001</v>
      </c>
      <c r="K109" s="44">
        <f t="shared" si="24"/>
        <v>34907480.998999998</v>
      </c>
      <c r="L109" s="254">
        <f t="shared" si="19"/>
        <v>19.100000000000001</v>
      </c>
      <c r="M109" s="27">
        <f>IFERROR(100/'Skjema total MA'!I109*K109,0)</f>
        <v>29.269310736999952</v>
      </c>
    </row>
    <row r="110" spans="1:13" ht="15.75" x14ac:dyDescent="0.2">
      <c r="A110" s="21" t="s">
        <v>386</v>
      </c>
      <c r="B110" s="234">
        <v>78702.42</v>
      </c>
      <c r="C110" s="234">
        <v>133748.22200000001</v>
      </c>
      <c r="D110" s="166">
        <f t="shared" si="16"/>
        <v>69.900000000000006</v>
      </c>
      <c r="E110" s="27">
        <f>IFERROR(100/'Skjema total MA'!C110*C110,0)</f>
        <v>31.399520010001467</v>
      </c>
      <c r="F110" s="234"/>
      <c r="G110" s="234"/>
      <c r="H110" s="166"/>
      <c r="I110" s="27"/>
      <c r="J110" s="287">
        <f t="shared" si="24"/>
        <v>78702.42</v>
      </c>
      <c r="K110" s="44">
        <f t="shared" si="24"/>
        <v>133748.22200000001</v>
      </c>
      <c r="L110" s="254">
        <f t="shared" si="19"/>
        <v>69.900000000000006</v>
      </c>
      <c r="M110" s="27">
        <f>IFERROR(100/'Skjema total MA'!I110*K110,0)</f>
        <v>31.399520010001467</v>
      </c>
    </row>
    <row r="111" spans="1:13" ht="15.75" x14ac:dyDescent="0.2">
      <c r="A111" s="13" t="s">
        <v>366</v>
      </c>
      <c r="B111" s="308">
        <v>68854.680999999997</v>
      </c>
      <c r="C111" s="159">
        <v>389565.114</v>
      </c>
      <c r="D111" s="171">
        <f t="shared" si="16"/>
        <v>465.8</v>
      </c>
      <c r="E111" s="11">
        <f>IFERROR(100/'Skjema total MA'!C111*C111,0)</f>
        <v>58.620566110387948</v>
      </c>
      <c r="F111" s="308">
        <v>2304597.5389999999</v>
      </c>
      <c r="G111" s="159">
        <v>4902510.7879999997</v>
      </c>
      <c r="H111" s="171">
        <f t="shared" si="17"/>
        <v>112.7</v>
      </c>
      <c r="I111" s="11">
        <f>IFERROR(100/'Skjema total MA'!F111*G111,0)</f>
        <v>33.248462112460487</v>
      </c>
      <c r="J111" s="309">
        <f t="shared" si="24"/>
        <v>2373452.2199999997</v>
      </c>
      <c r="K111" s="236">
        <f t="shared" si="24"/>
        <v>5292075.9019999998</v>
      </c>
      <c r="L111" s="428">
        <f t="shared" si="19"/>
        <v>123</v>
      </c>
      <c r="M111" s="11">
        <f>IFERROR(100/'Skjema total MA'!I111*K111,0)</f>
        <v>34.342656166336887</v>
      </c>
    </row>
    <row r="112" spans="1:13" x14ac:dyDescent="0.2">
      <c r="A112" s="21" t="s">
        <v>9</v>
      </c>
      <c r="B112" s="234">
        <v>12236.338</v>
      </c>
      <c r="C112" s="145">
        <v>1304.673</v>
      </c>
      <c r="D112" s="166">
        <f t="shared" ref="D112:D125" si="29">IF(B112=0, "    ---- ", IF(ABS(ROUND(100/B112*C112-100,1))&lt;999,ROUND(100/B112*C112-100,1),IF(ROUND(100/B112*C112-100,1)&gt;999,999,-999)))</f>
        <v>-89.3</v>
      </c>
      <c r="E112" s="27">
        <f>IFERROR(100/'Skjema total MA'!C112*C112,0)</f>
        <v>0.49498238727157184</v>
      </c>
      <c r="F112" s="234">
        <v>5871.0330000000004</v>
      </c>
      <c r="G112" s="145">
        <v>4186.2830000000004</v>
      </c>
      <c r="H112" s="166">
        <f t="shared" ref="H112:H125" si="30">IF(F112=0, "    ---- ", IF(ABS(ROUND(100/F112*G112-100,1))&lt;999,ROUND(100/F112*G112-100,1),IF(ROUND(100/F112*G112-100,1)&gt;999,999,-999)))</f>
        <v>-28.7</v>
      </c>
      <c r="I112" s="27">
        <f>IFERROR(100/'Skjema total MA'!F112*G112,0)</f>
        <v>100</v>
      </c>
      <c r="J112" s="287">
        <f t="shared" ref="J112:K125" si="31">SUM(B112,F112)</f>
        <v>18107.370999999999</v>
      </c>
      <c r="K112" s="44">
        <f t="shared" si="31"/>
        <v>5490.9560000000001</v>
      </c>
      <c r="L112" s="254">
        <f t="shared" ref="L112:L125" si="32">IF(J112=0, "    ---- ", IF(ABS(ROUND(100/J112*K112-100,1))&lt;999,ROUND(100/J112*K112-100,1),IF(ROUND(100/J112*K112-100,1)&gt;999,999,-999)))</f>
        <v>-69.7</v>
      </c>
      <c r="M112" s="27">
        <f>IFERROR(100/'Skjema total MA'!I112*K112,0)</f>
        <v>2.0506549477406808</v>
      </c>
    </row>
    <row r="113" spans="1:14" x14ac:dyDescent="0.2">
      <c r="A113" s="21" t="s">
        <v>10</v>
      </c>
      <c r="B113" s="234"/>
      <c r="C113" s="145"/>
      <c r="D113" s="166"/>
      <c r="E113" s="27"/>
      <c r="F113" s="234">
        <v>2296926.696</v>
      </c>
      <c r="G113" s="145">
        <v>4829555.42</v>
      </c>
      <c r="H113" s="166">
        <f t="shared" si="30"/>
        <v>110.3</v>
      </c>
      <c r="I113" s="27">
        <f>IFERROR(100/'Skjema total MA'!F113*G113,0)</f>
        <v>32.916947617888255</v>
      </c>
      <c r="J113" s="287">
        <f t="shared" si="31"/>
        <v>2296926.696</v>
      </c>
      <c r="K113" s="44">
        <f t="shared" si="31"/>
        <v>4829555.42</v>
      </c>
      <c r="L113" s="254">
        <f t="shared" si="32"/>
        <v>110.3</v>
      </c>
      <c r="M113" s="27">
        <f>IFERROR(100/'Skjema total MA'!I113*K113,0)</f>
        <v>32.905519437109724</v>
      </c>
    </row>
    <row r="114" spans="1:14" x14ac:dyDescent="0.2">
      <c r="A114" s="21" t="s">
        <v>26</v>
      </c>
      <c r="B114" s="234">
        <v>56618.343000000001</v>
      </c>
      <c r="C114" s="145">
        <v>388260.44099999999</v>
      </c>
      <c r="D114" s="166">
        <f t="shared" si="29"/>
        <v>585.79999999999995</v>
      </c>
      <c r="E114" s="27">
        <f>IFERROR(100/'Skjema total MA'!C114*C114,0)</f>
        <v>98.07569073423717</v>
      </c>
      <c r="F114" s="234">
        <v>1799.81</v>
      </c>
      <c r="G114" s="145">
        <v>68769.085000000006</v>
      </c>
      <c r="H114" s="166">
        <f t="shared" si="30"/>
        <v>999</v>
      </c>
      <c r="I114" s="27">
        <f>IFERROR(100/'Skjema total MA'!F114*G114,0)</f>
        <v>99.741683442429633</v>
      </c>
      <c r="J114" s="287">
        <f t="shared" si="31"/>
        <v>58418.152999999998</v>
      </c>
      <c r="K114" s="44">
        <f t="shared" si="31"/>
        <v>457029.52600000001</v>
      </c>
      <c r="L114" s="254">
        <f t="shared" si="32"/>
        <v>682.3</v>
      </c>
      <c r="M114" s="27">
        <f>IFERROR(100/'Skjema total MA'!I114*K114,0)</f>
        <v>98.322806045095888</v>
      </c>
    </row>
    <row r="115" spans="1:14" x14ac:dyDescent="0.2">
      <c r="A115" s="296" t="s">
        <v>15</v>
      </c>
      <c r="B115" s="294"/>
      <c r="C115" s="295"/>
      <c r="D115" s="166"/>
      <c r="E115" s="417"/>
      <c r="F115" s="294"/>
      <c r="G115" s="295"/>
      <c r="H115" s="166"/>
      <c r="I115" s="417"/>
      <c r="J115" s="294"/>
      <c r="K115" s="295"/>
      <c r="L115" s="166"/>
      <c r="M115" s="23"/>
    </row>
    <row r="116" spans="1:14" ht="15.75" x14ac:dyDescent="0.2">
      <c r="A116" s="21" t="s">
        <v>387</v>
      </c>
      <c r="B116" s="234">
        <v>13047.608</v>
      </c>
      <c r="C116" s="234">
        <v>2255.6489999999999</v>
      </c>
      <c r="D116" s="166">
        <f t="shared" si="29"/>
        <v>-82.7</v>
      </c>
      <c r="E116" s="27">
        <f>IFERROR(100/'Skjema total MA'!C116*C116,0)</f>
        <v>3.5397931765684572</v>
      </c>
      <c r="F116" s="234">
        <v>5871.0330000000004</v>
      </c>
      <c r="G116" s="234">
        <v>4186.2830000000004</v>
      </c>
      <c r="H116" s="166">
        <f t="shared" si="30"/>
        <v>-28.7</v>
      </c>
      <c r="I116" s="27">
        <f>IFERROR(100/'Skjema total MA'!F116*G116,0)</f>
        <v>100</v>
      </c>
      <c r="J116" s="287">
        <f t="shared" si="31"/>
        <v>18918.641</v>
      </c>
      <c r="K116" s="44">
        <f t="shared" si="31"/>
        <v>6441.9320000000007</v>
      </c>
      <c r="L116" s="254">
        <f t="shared" si="32"/>
        <v>-65.900000000000006</v>
      </c>
      <c r="M116" s="27">
        <f>IFERROR(100/'Skjema total MA'!I116*K116,0)</f>
        <v>9.4861374488370718</v>
      </c>
    </row>
    <row r="117" spans="1:14" ht="15.75" x14ac:dyDescent="0.2">
      <c r="A117" s="21" t="s">
        <v>388</v>
      </c>
      <c r="B117" s="234"/>
      <c r="C117" s="234"/>
      <c r="D117" s="166"/>
      <c r="E117" s="27"/>
      <c r="F117" s="234">
        <v>748194.18700000003</v>
      </c>
      <c r="G117" s="234">
        <v>587807.42299999995</v>
      </c>
      <c r="H117" s="166">
        <f t="shared" si="30"/>
        <v>-21.4</v>
      </c>
      <c r="I117" s="27">
        <f>IFERROR(100/'Skjema total MA'!F117*G117,0)</f>
        <v>24.819275075224621</v>
      </c>
      <c r="J117" s="287">
        <f t="shared" si="31"/>
        <v>748194.18700000003</v>
      </c>
      <c r="K117" s="44">
        <f t="shared" si="31"/>
        <v>587807.42299999995</v>
      </c>
      <c r="L117" s="254">
        <f t="shared" si="32"/>
        <v>-21.4</v>
      </c>
      <c r="M117" s="27">
        <f>IFERROR(100/'Skjema total MA'!I117*K117,0)</f>
        <v>24.819275075224621</v>
      </c>
    </row>
    <row r="118" spans="1:14" ht="15.75" x14ac:dyDescent="0.2">
      <c r="A118" s="21" t="s">
        <v>386</v>
      </c>
      <c r="B118" s="234"/>
      <c r="C118" s="234"/>
      <c r="D118" s="166"/>
      <c r="E118" s="27"/>
      <c r="F118" s="234"/>
      <c r="G118" s="234"/>
      <c r="H118" s="166"/>
      <c r="I118" s="27"/>
      <c r="J118" s="287"/>
      <c r="K118" s="44"/>
      <c r="L118" s="254"/>
      <c r="M118" s="27"/>
    </row>
    <row r="119" spans="1:14" ht="15.75" x14ac:dyDescent="0.2">
      <c r="A119" s="13" t="s">
        <v>367</v>
      </c>
      <c r="B119" s="308">
        <v>174207.516</v>
      </c>
      <c r="C119" s="159">
        <v>189926.68899999998</v>
      </c>
      <c r="D119" s="171">
        <f t="shared" si="29"/>
        <v>9</v>
      </c>
      <c r="E119" s="11">
        <f>IFERROR(100/'Skjema total MA'!C119*C119,0)</f>
        <v>25.836289202375809</v>
      </c>
      <c r="F119" s="308">
        <v>3685057.73</v>
      </c>
      <c r="G119" s="159">
        <v>3986709.733</v>
      </c>
      <c r="H119" s="171">
        <f t="shared" si="30"/>
        <v>8.1999999999999993</v>
      </c>
      <c r="I119" s="11">
        <f>IFERROR(100/'Skjema total MA'!F119*G119,0)</f>
        <v>27.183448798802502</v>
      </c>
      <c r="J119" s="309">
        <f t="shared" si="31"/>
        <v>3859265.2459999998</v>
      </c>
      <c r="K119" s="236">
        <f t="shared" si="31"/>
        <v>4176636.4219999998</v>
      </c>
      <c r="L119" s="428">
        <f t="shared" si="32"/>
        <v>8.1999999999999993</v>
      </c>
      <c r="M119" s="11">
        <f>IFERROR(100/'Skjema total MA'!I119*K119,0)</f>
        <v>27.119146831502537</v>
      </c>
    </row>
    <row r="120" spans="1:14" x14ac:dyDescent="0.2">
      <c r="A120" s="21" t="s">
        <v>9</v>
      </c>
      <c r="B120" s="234">
        <v>39410.033000000003</v>
      </c>
      <c r="C120" s="145">
        <v>30846.05</v>
      </c>
      <c r="D120" s="166">
        <f t="shared" si="29"/>
        <v>-21.7</v>
      </c>
      <c r="E120" s="27">
        <f>IFERROR(100/'Skjema total MA'!C120*C120,0)</f>
        <v>5.4856602138309585</v>
      </c>
      <c r="F120" s="234"/>
      <c r="G120" s="145"/>
      <c r="H120" s="166"/>
      <c r="I120" s="27"/>
      <c r="J120" s="287">
        <f t="shared" si="31"/>
        <v>39410.033000000003</v>
      </c>
      <c r="K120" s="44">
        <f t="shared" si="31"/>
        <v>30846.05</v>
      </c>
      <c r="L120" s="254">
        <f t="shared" si="32"/>
        <v>-21.7</v>
      </c>
      <c r="M120" s="27">
        <f>IFERROR(100/'Skjema total MA'!I120*K120,0)</f>
        <v>5.4856602138309585</v>
      </c>
    </row>
    <row r="121" spans="1:14" x14ac:dyDescent="0.2">
      <c r="A121" s="21" t="s">
        <v>10</v>
      </c>
      <c r="B121" s="234"/>
      <c r="C121" s="145"/>
      <c r="D121" s="166"/>
      <c r="E121" s="27"/>
      <c r="F121" s="234">
        <v>3685057.73</v>
      </c>
      <c r="G121" s="145">
        <v>3986709.733</v>
      </c>
      <c r="H121" s="166">
        <f t="shared" si="30"/>
        <v>8.1999999999999993</v>
      </c>
      <c r="I121" s="27">
        <f>IFERROR(100/'Skjema total MA'!F121*G121,0)</f>
        <v>27.183448798802502</v>
      </c>
      <c r="J121" s="287">
        <f t="shared" si="31"/>
        <v>3685057.73</v>
      </c>
      <c r="K121" s="44">
        <f t="shared" si="31"/>
        <v>3986709.733</v>
      </c>
      <c r="L121" s="254">
        <f t="shared" si="32"/>
        <v>8.1999999999999993</v>
      </c>
      <c r="M121" s="27">
        <f>IFERROR(100/'Skjema total MA'!I121*K121,0)</f>
        <v>27.173247003542915</v>
      </c>
    </row>
    <row r="122" spans="1:14" x14ac:dyDescent="0.2">
      <c r="A122" s="21" t="s">
        <v>26</v>
      </c>
      <c r="B122" s="234">
        <v>134797.48300000001</v>
      </c>
      <c r="C122" s="145">
        <v>159080.639</v>
      </c>
      <c r="D122" s="166">
        <f t="shared" si="29"/>
        <v>18</v>
      </c>
      <c r="E122" s="27">
        <f>IFERROR(100/'Skjema total MA'!C122*C122,0)</f>
        <v>95.083340291898068</v>
      </c>
      <c r="F122" s="234"/>
      <c r="G122" s="145"/>
      <c r="H122" s="166"/>
      <c r="I122" s="27"/>
      <c r="J122" s="287">
        <f t="shared" si="31"/>
        <v>134797.48300000001</v>
      </c>
      <c r="K122" s="44">
        <f t="shared" si="31"/>
        <v>159080.639</v>
      </c>
      <c r="L122" s="254">
        <f t="shared" si="32"/>
        <v>18</v>
      </c>
      <c r="M122" s="27">
        <f>IFERROR(100/'Skjema total MA'!I122*K122,0)</f>
        <v>95.083340291898068</v>
      </c>
    </row>
    <row r="123" spans="1:14" x14ac:dyDescent="0.2">
      <c r="A123" s="296" t="s">
        <v>14</v>
      </c>
      <c r="B123" s="294"/>
      <c r="C123" s="295"/>
      <c r="D123" s="166"/>
      <c r="E123" s="417"/>
      <c r="F123" s="294"/>
      <c r="G123" s="295"/>
      <c r="H123" s="166"/>
      <c r="I123" s="417"/>
      <c r="J123" s="294"/>
      <c r="K123" s="295"/>
      <c r="L123" s="166"/>
      <c r="M123" s="23"/>
    </row>
    <row r="124" spans="1:14" ht="15.75" x14ac:dyDescent="0.2">
      <c r="A124" s="21" t="s">
        <v>393</v>
      </c>
      <c r="B124" s="234">
        <v>3881.27</v>
      </c>
      <c r="C124" s="234">
        <v>3739.2460000000001</v>
      </c>
      <c r="D124" s="166">
        <f t="shared" si="29"/>
        <v>-3.7</v>
      </c>
      <c r="E124" s="27">
        <f>IFERROR(100/'Skjema total MA'!C124*C124,0)</f>
        <v>7.9331830194122555</v>
      </c>
      <c r="F124" s="234">
        <v>17361.552</v>
      </c>
      <c r="G124" s="234">
        <v>18657.546999999999</v>
      </c>
      <c r="H124" s="166">
        <f t="shared" si="30"/>
        <v>7.5</v>
      </c>
      <c r="I124" s="27">
        <f>IFERROR(100/'Skjema total MA'!F124*G124,0)</f>
        <v>100</v>
      </c>
      <c r="J124" s="287">
        <f t="shared" si="31"/>
        <v>21242.822</v>
      </c>
      <c r="K124" s="44">
        <f t="shared" si="31"/>
        <v>22396.792999999998</v>
      </c>
      <c r="L124" s="254">
        <f t="shared" si="32"/>
        <v>5.4</v>
      </c>
      <c r="M124" s="27">
        <f>IFERROR(100/'Skjema total MA'!I124*K124,0)</f>
        <v>34.041925259583664</v>
      </c>
    </row>
    <row r="125" spans="1:14" ht="15.75" x14ac:dyDescent="0.2">
      <c r="A125" s="21" t="s">
        <v>385</v>
      </c>
      <c r="B125" s="234">
        <v>6.27</v>
      </c>
      <c r="C125" s="234">
        <v>155.43100000000001</v>
      </c>
      <c r="D125" s="166">
        <f t="shared" si="29"/>
        <v>999</v>
      </c>
      <c r="E125" s="27">
        <f>IFERROR(100/'Skjema total MA'!C125*C125,0)</f>
        <v>11.369841846173635</v>
      </c>
      <c r="F125" s="234">
        <v>449150.52299999999</v>
      </c>
      <c r="G125" s="234">
        <v>634306.65300000005</v>
      </c>
      <c r="H125" s="166">
        <f t="shared" si="30"/>
        <v>41.2</v>
      </c>
      <c r="I125" s="27">
        <f>IFERROR(100/'Skjema total MA'!F125*G125,0)</f>
        <v>24.200310790460435</v>
      </c>
      <c r="J125" s="287">
        <f t="shared" si="31"/>
        <v>449156.79300000001</v>
      </c>
      <c r="K125" s="44">
        <f t="shared" si="31"/>
        <v>634462.08400000003</v>
      </c>
      <c r="L125" s="254">
        <f t="shared" si="32"/>
        <v>41.3</v>
      </c>
      <c r="M125" s="27">
        <f>IFERROR(100/'Skjema total MA'!I125*K125,0)</f>
        <v>24.193622409958078</v>
      </c>
    </row>
    <row r="126" spans="1:14" ht="15.75" x14ac:dyDescent="0.2">
      <c r="A126" s="10" t="s">
        <v>386</v>
      </c>
      <c r="B126" s="45"/>
      <c r="C126" s="45"/>
      <c r="D126" s="167"/>
      <c r="E126" s="418"/>
      <c r="F126" s="45"/>
      <c r="G126" s="45"/>
      <c r="H126" s="167"/>
      <c r="I126" s="22"/>
      <c r="J126" s="288"/>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35"/>
      <c r="C130" s="735"/>
      <c r="D130" s="735"/>
      <c r="E130" s="299"/>
      <c r="F130" s="735"/>
      <c r="G130" s="735"/>
      <c r="H130" s="735"/>
      <c r="I130" s="299"/>
      <c r="J130" s="735"/>
      <c r="K130" s="735"/>
      <c r="L130" s="735"/>
      <c r="M130" s="299"/>
    </row>
    <row r="131" spans="1:14" s="3" customFormat="1" x14ac:dyDescent="0.2">
      <c r="A131" s="144"/>
      <c r="B131" s="733" t="s">
        <v>0</v>
      </c>
      <c r="C131" s="734"/>
      <c r="D131" s="734"/>
      <c r="E131" s="301"/>
      <c r="F131" s="733" t="s">
        <v>1</v>
      </c>
      <c r="G131" s="734"/>
      <c r="H131" s="734"/>
      <c r="I131" s="304"/>
      <c r="J131" s="733" t="s">
        <v>2</v>
      </c>
      <c r="K131" s="734"/>
      <c r="L131" s="734"/>
      <c r="M131" s="304"/>
      <c r="N131" s="148"/>
    </row>
    <row r="132" spans="1:14" s="3" customFormat="1" x14ac:dyDescent="0.2">
      <c r="A132" s="140"/>
      <c r="B132" s="152" t="s">
        <v>421</v>
      </c>
      <c r="C132" s="152" t="s">
        <v>422</v>
      </c>
      <c r="D132" s="245" t="s">
        <v>3</v>
      </c>
      <c r="E132" s="305" t="s">
        <v>29</v>
      </c>
      <c r="F132" s="152" t="s">
        <v>421</v>
      </c>
      <c r="G132" s="152" t="s">
        <v>422</v>
      </c>
      <c r="H132" s="206" t="s">
        <v>3</v>
      </c>
      <c r="I132" s="162" t="s">
        <v>29</v>
      </c>
      <c r="J132" s="152" t="s">
        <v>421</v>
      </c>
      <c r="K132" s="152" t="s">
        <v>422</v>
      </c>
      <c r="L132" s="246" t="s">
        <v>3</v>
      </c>
      <c r="M132" s="162" t="s">
        <v>29</v>
      </c>
      <c r="N132" s="148"/>
    </row>
    <row r="133" spans="1:14" s="3" customFormat="1" x14ac:dyDescent="0.2">
      <c r="A133" s="708"/>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389</v>
      </c>
      <c r="B134" s="236">
        <v>208978.02499999999</v>
      </c>
      <c r="C134" s="309">
        <v>218584.15599999999</v>
      </c>
      <c r="D134" s="350">
        <f t="shared" ref="D134:D135" si="33">IF(B134=0, "    ---- ", IF(ABS(ROUND(100/B134*C134-100,1))&lt;999,ROUND(100/B134*C134-100,1),IF(ROUND(100/B134*C134-100,1)&gt;999,999,-999)))</f>
        <v>4.5999999999999996</v>
      </c>
      <c r="E134" s="11">
        <f>IFERROR(100/'Skjema total MA'!C134*C134,0)</f>
        <v>0.75801573219874097</v>
      </c>
      <c r="F134" s="316"/>
      <c r="G134" s="317"/>
      <c r="H134" s="431"/>
      <c r="I134" s="24"/>
      <c r="J134" s="318">
        <f t="shared" ref="J134:K135" si="34">SUM(B134,F134)</f>
        <v>208978.02499999999</v>
      </c>
      <c r="K134" s="318">
        <f t="shared" si="34"/>
        <v>218584.15599999999</v>
      </c>
      <c r="L134" s="427">
        <f t="shared" ref="L134:L135" si="35">IF(J134=0, "    ---- ", IF(ABS(ROUND(100/J134*K134-100,1))&lt;999,ROUND(100/J134*K134-100,1),IF(ROUND(100/J134*K134-100,1)&gt;999,999,-999)))</f>
        <v>4.5999999999999996</v>
      </c>
      <c r="M134" s="11">
        <f>IFERROR(100/'Skjema total MA'!I134*K134,0)</f>
        <v>0.75634024199172756</v>
      </c>
      <c r="N134" s="148"/>
    </row>
    <row r="135" spans="1:14" s="3" customFormat="1" ht="15.75" x14ac:dyDescent="0.2">
      <c r="A135" s="13" t="s">
        <v>394</v>
      </c>
      <c r="B135" s="236">
        <v>2864229.051</v>
      </c>
      <c r="C135" s="309">
        <v>2922500.9730000002</v>
      </c>
      <c r="D135" s="171">
        <f t="shared" si="33"/>
        <v>2</v>
      </c>
      <c r="E135" s="11">
        <f>IFERROR(100/'Skjema total MA'!C135*C135,0)</f>
        <v>0.47956755083346203</v>
      </c>
      <c r="F135" s="236"/>
      <c r="G135" s="309"/>
      <c r="H135" s="432"/>
      <c r="I135" s="24"/>
      <c r="J135" s="308">
        <f t="shared" si="34"/>
        <v>2864229.051</v>
      </c>
      <c r="K135" s="308">
        <f t="shared" si="34"/>
        <v>2922500.9730000002</v>
      </c>
      <c r="L135" s="428">
        <f t="shared" si="35"/>
        <v>2</v>
      </c>
      <c r="M135" s="11">
        <f>IFERROR(100/'Skjema total MA'!I135*K135,0)</f>
        <v>0.4780185749078607</v>
      </c>
      <c r="N135" s="148"/>
    </row>
    <row r="136" spans="1:14" s="3" customFormat="1" ht="15.75" x14ac:dyDescent="0.2">
      <c r="A136" s="13" t="s">
        <v>391</v>
      </c>
      <c r="B136" s="236"/>
      <c r="C136" s="309"/>
      <c r="D136" s="171"/>
      <c r="E136" s="11"/>
      <c r="F136" s="236"/>
      <c r="G136" s="309"/>
      <c r="H136" s="432"/>
      <c r="I136" s="24"/>
      <c r="J136" s="308"/>
      <c r="K136" s="308"/>
      <c r="L136" s="428"/>
      <c r="M136" s="11"/>
      <c r="N136" s="148"/>
    </row>
    <row r="137" spans="1:14" s="3" customFormat="1" ht="15.75" x14ac:dyDescent="0.2">
      <c r="A137" s="41" t="s">
        <v>392</v>
      </c>
      <c r="B137" s="276"/>
      <c r="C137" s="315"/>
      <c r="D137" s="169"/>
      <c r="E137" s="9"/>
      <c r="F137" s="276"/>
      <c r="G137" s="315"/>
      <c r="H137" s="433"/>
      <c r="I137" s="36"/>
      <c r="J137" s="314"/>
      <c r="K137" s="314"/>
      <c r="L137" s="429"/>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252" priority="132">
      <formula>kvartal &lt; 4</formula>
    </cfRule>
  </conditionalFormatting>
  <conditionalFormatting sqref="A50:A52">
    <cfRule type="expression" dxfId="251" priority="12">
      <formula>kvartal &lt; 4</formula>
    </cfRule>
  </conditionalFormatting>
  <conditionalFormatting sqref="A69:A74">
    <cfRule type="expression" dxfId="250" priority="10">
      <formula>kvartal &lt; 4</formula>
    </cfRule>
  </conditionalFormatting>
  <conditionalFormatting sqref="A80:A85">
    <cfRule type="expression" dxfId="249" priority="9">
      <formula>kvartal &lt; 4</formula>
    </cfRule>
  </conditionalFormatting>
  <conditionalFormatting sqref="A90:A95">
    <cfRule type="expression" dxfId="248" priority="6">
      <formula>kvartal &lt; 4</formula>
    </cfRule>
  </conditionalFormatting>
  <conditionalFormatting sqref="A101:A106">
    <cfRule type="expression" dxfId="247" priority="5">
      <formula>kvartal &lt; 4</formula>
    </cfRule>
  </conditionalFormatting>
  <conditionalFormatting sqref="A115">
    <cfRule type="expression" dxfId="246" priority="4">
      <formula>kvartal &lt; 4</formula>
    </cfRule>
  </conditionalFormatting>
  <conditionalFormatting sqref="A123">
    <cfRule type="expression" dxfId="245" priority="3">
      <formula>kvartal &lt; 4</formula>
    </cfRule>
  </conditionalFormatting>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Ark31"/>
  <dimension ref="A1:N144"/>
  <sheetViews>
    <sheetView showGridLines="0" zoomScaleNormal="100" workbookViewId="0">
      <selection activeCell="A3" sqref="A3"/>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135</v>
      </c>
      <c r="B1" s="709"/>
      <c r="C1" s="248" t="s">
        <v>131</v>
      </c>
      <c r="D1" s="26"/>
      <c r="E1" s="26"/>
      <c r="F1" s="26"/>
      <c r="G1" s="26"/>
      <c r="H1" s="26"/>
      <c r="I1" s="26"/>
      <c r="J1" s="26"/>
      <c r="K1" s="26"/>
      <c r="L1" s="26"/>
      <c r="M1" s="26"/>
    </row>
    <row r="2" spans="1:14" ht="15.75" x14ac:dyDescent="0.25">
      <c r="A2" s="165" t="s">
        <v>28</v>
      </c>
      <c r="B2" s="732"/>
      <c r="C2" s="732"/>
      <c r="D2" s="732"/>
      <c r="E2" s="299"/>
      <c r="F2" s="732"/>
      <c r="G2" s="732"/>
      <c r="H2" s="732"/>
      <c r="I2" s="299"/>
      <c r="J2" s="732"/>
      <c r="K2" s="732"/>
      <c r="L2" s="732"/>
      <c r="M2" s="299"/>
    </row>
    <row r="3" spans="1:14" ht="15.75" x14ac:dyDescent="0.25">
      <c r="A3" s="163"/>
      <c r="B3" s="299"/>
      <c r="C3" s="299"/>
      <c r="D3" s="299"/>
      <c r="E3" s="299"/>
      <c r="F3" s="299"/>
      <c r="G3" s="299"/>
      <c r="H3" s="299"/>
      <c r="I3" s="299"/>
      <c r="J3" s="299"/>
      <c r="K3" s="299"/>
      <c r="L3" s="299"/>
      <c r="M3" s="299"/>
    </row>
    <row r="4" spans="1:14" x14ac:dyDescent="0.2">
      <c r="A4" s="144"/>
      <c r="B4" s="733" t="s">
        <v>0</v>
      </c>
      <c r="C4" s="734"/>
      <c r="D4" s="734"/>
      <c r="E4" s="301"/>
      <c r="F4" s="733" t="s">
        <v>1</v>
      </c>
      <c r="G4" s="734"/>
      <c r="H4" s="734"/>
      <c r="I4" s="304"/>
      <c r="J4" s="733" t="s">
        <v>2</v>
      </c>
      <c r="K4" s="734"/>
      <c r="L4" s="734"/>
      <c r="M4" s="304"/>
    </row>
    <row r="5" spans="1:14" x14ac:dyDescent="0.2">
      <c r="A5" s="158"/>
      <c r="B5" s="152" t="s">
        <v>421</v>
      </c>
      <c r="C5" s="152" t="s">
        <v>422</v>
      </c>
      <c r="D5" s="245" t="s">
        <v>3</v>
      </c>
      <c r="E5" s="305" t="s">
        <v>29</v>
      </c>
      <c r="F5" s="152" t="s">
        <v>421</v>
      </c>
      <c r="G5" s="152" t="s">
        <v>422</v>
      </c>
      <c r="H5" s="245" t="s">
        <v>3</v>
      </c>
      <c r="I5" s="162" t="s">
        <v>29</v>
      </c>
      <c r="J5" s="152" t="s">
        <v>421</v>
      </c>
      <c r="K5" s="152" t="s">
        <v>422</v>
      </c>
      <c r="L5" s="245" t="s">
        <v>3</v>
      </c>
      <c r="M5" s="162" t="s">
        <v>29</v>
      </c>
    </row>
    <row r="6" spans="1:14" x14ac:dyDescent="0.2">
      <c r="A6" s="707"/>
      <c r="B6" s="156"/>
      <c r="C6" s="156"/>
      <c r="D6" s="246" t="s">
        <v>4</v>
      </c>
      <c r="E6" s="156" t="s">
        <v>30</v>
      </c>
      <c r="F6" s="161"/>
      <c r="G6" s="161"/>
      <c r="H6" s="245" t="s">
        <v>4</v>
      </c>
      <c r="I6" s="156" t="s">
        <v>30</v>
      </c>
      <c r="J6" s="161"/>
      <c r="K6" s="161"/>
      <c r="L6" s="245" t="s">
        <v>4</v>
      </c>
      <c r="M6" s="156" t="s">
        <v>30</v>
      </c>
    </row>
    <row r="7" spans="1:14" ht="15.75" x14ac:dyDescent="0.2">
      <c r="A7" s="14" t="s">
        <v>23</v>
      </c>
      <c r="B7" s="306"/>
      <c r="C7" s="307"/>
      <c r="D7" s="350"/>
      <c r="E7" s="11"/>
      <c r="F7" s="306"/>
      <c r="G7" s="307"/>
      <c r="H7" s="350"/>
      <c r="I7" s="160"/>
      <c r="J7" s="308"/>
      <c r="K7" s="309"/>
      <c r="L7" s="427"/>
      <c r="M7" s="11"/>
    </row>
    <row r="8" spans="1:14" ht="15.75" x14ac:dyDescent="0.2">
      <c r="A8" s="21" t="s">
        <v>25</v>
      </c>
      <c r="B8" s="281"/>
      <c r="C8" s="282"/>
      <c r="D8" s="166"/>
      <c r="E8" s="27"/>
      <c r="F8" s="285"/>
      <c r="G8" s="286"/>
      <c r="H8" s="166"/>
      <c r="I8" s="175"/>
      <c r="J8" s="234"/>
      <c r="K8" s="287"/>
      <c r="L8" s="166"/>
      <c r="M8" s="27"/>
    </row>
    <row r="9" spans="1:14" ht="15.75" x14ac:dyDescent="0.2">
      <c r="A9" s="21" t="s">
        <v>24</v>
      </c>
      <c r="B9" s="281"/>
      <c r="C9" s="282"/>
      <c r="D9" s="166"/>
      <c r="E9" s="27"/>
      <c r="F9" s="285"/>
      <c r="G9" s="286"/>
      <c r="H9" s="166"/>
      <c r="I9" s="175"/>
      <c r="J9" s="234"/>
      <c r="K9" s="287"/>
      <c r="L9" s="166"/>
      <c r="M9" s="27"/>
    </row>
    <row r="10" spans="1:14" ht="15.75" x14ac:dyDescent="0.2">
      <c r="A10" s="13" t="s">
        <v>365</v>
      </c>
      <c r="B10" s="310"/>
      <c r="C10" s="311"/>
      <c r="D10" s="171"/>
      <c r="E10" s="11"/>
      <c r="F10" s="310"/>
      <c r="G10" s="311"/>
      <c r="H10" s="171"/>
      <c r="I10" s="160"/>
      <c r="J10" s="308"/>
      <c r="K10" s="309"/>
      <c r="L10" s="428"/>
      <c r="M10" s="11"/>
    </row>
    <row r="11" spans="1:14" s="43" customFormat="1" ht="15.75" x14ac:dyDescent="0.2">
      <c r="A11" s="13" t="s">
        <v>366</v>
      </c>
      <c r="B11" s="310"/>
      <c r="C11" s="311"/>
      <c r="D11" s="171"/>
      <c r="E11" s="11"/>
      <c r="F11" s="310"/>
      <c r="G11" s="311"/>
      <c r="H11" s="171"/>
      <c r="I11" s="160"/>
      <c r="J11" s="308"/>
      <c r="K11" s="309"/>
      <c r="L11" s="428"/>
      <c r="M11" s="11"/>
      <c r="N11" s="143"/>
    </row>
    <row r="12" spans="1:14" s="43" customFormat="1" ht="15.75" x14ac:dyDescent="0.2">
      <c r="A12" s="41" t="s">
        <v>367</v>
      </c>
      <c r="B12" s="312"/>
      <c r="C12" s="313"/>
      <c r="D12" s="169"/>
      <c r="E12" s="36"/>
      <c r="F12" s="312"/>
      <c r="G12" s="313"/>
      <c r="H12" s="169"/>
      <c r="I12" s="169"/>
      <c r="J12" s="314"/>
      <c r="K12" s="315"/>
      <c r="L12" s="429"/>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275</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272</v>
      </c>
      <c r="B17" s="157"/>
      <c r="C17" s="157"/>
      <c r="D17" s="151"/>
      <c r="E17" s="151"/>
      <c r="F17" s="157"/>
      <c r="G17" s="157"/>
      <c r="H17" s="157"/>
      <c r="I17" s="157"/>
      <c r="J17" s="157"/>
      <c r="K17" s="157"/>
      <c r="L17" s="157"/>
      <c r="M17" s="157"/>
    </row>
    <row r="18" spans="1:14" ht="15.75" x14ac:dyDescent="0.25">
      <c r="B18" s="735"/>
      <c r="C18" s="735"/>
      <c r="D18" s="735"/>
      <c r="E18" s="299"/>
      <c r="F18" s="735"/>
      <c r="G18" s="735"/>
      <c r="H18" s="735"/>
      <c r="I18" s="299"/>
      <c r="J18" s="735"/>
      <c r="K18" s="735"/>
      <c r="L18" s="735"/>
      <c r="M18" s="299"/>
    </row>
    <row r="19" spans="1:14" x14ac:dyDescent="0.2">
      <c r="A19" s="144"/>
      <c r="B19" s="733" t="s">
        <v>0</v>
      </c>
      <c r="C19" s="734"/>
      <c r="D19" s="734"/>
      <c r="E19" s="301"/>
      <c r="F19" s="733" t="s">
        <v>1</v>
      </c>
      <c r="G19" s="734"/>
      <c r="H19" s="734"/>
      <c r="I19" s="304"/>
      <c r="J19" s="733" t="s">
        <v>2</v>
      </c>
      <c r="K19" s="734"/>
      <c r="L19" s="734"/>
      <c r="M19" s="304"/>
    </row>
    <row r="20" spans="1:14" x14ac:dyDescent="0.2">
      <c r="A20" s="140" t="s">
        <v>5</v>
      </c>
      <c r="B20" s="152" t="s">
        <v>421</v>
      </c>
      <c r="C20" s="152" t="s">
        <v>422</v>
      </c>
      <c r="D20" s="162" t="s">
        <v>3</v>
      </c>
      <c r="E20" s="305" t="s">
        <v>29</v>
      </c>
      <c r="F20" s="152" t="s">
        <v>421</v>
      </c>
      <c r="G20" s="152" t="s">
        <v>422</v>
      </c>
      <c r="H20" s="162" t="s">
        <v>3</v>
      </c>
      <c r="I20" s="162" t="s">
        <v>29</v>
      </c>
      <c r="J20" s="152" t="s">
        <v>421</v>
      </c>
      <c r="K20" s="152" t="s">
        <v>422</v>
      </c>
      <c r="L20" s="162" t="s">
        <v>3</v>
      </c>
      <c r="M20" s="162" t="s">
        <v>29</v>
      </c>
    </row>
    <row r="21" spans="1:14" x14ac:dyDescent="0.2">
      <c r="A21" s="708"/>
      <c r="B21" s="156"/>
      <c r="C21" s="156"/>
      <c r="D21" s="246" t="s">
        <v>4</v>
      </c>
      <c r="E21" s="156" t="s">
        <v>30</v>
      </c>
      <c r="F21" s="161"/>
      <c r="G21" s="161"/>
      <c r="H21" s="245" t="s">
        <v>4</v>
      </c>
      <c r="I21" s="156" t="s">
        <v>30</v>
      </c>
      <c r="J21" s="161"/>
      <c r="K21" s="161"/>
      <c r="L21" s="156" t="s">
        <v>4</v>
      </c>
      <c r="M21" s="156" t="s">
        <v>30</v>
      </c>
    </row>
    <row r="22" spans="1:14" ht="15.75" x14ac:dyDescent="0.2">
      <c r="A22" s="14" t="s">
        <v>23</v>
      </c>
      <c r="B22" s="310"/>
      <c r="C22" s="310"/>
      <c r="D22" s="350"/>
      <c r="E22" s="11"/>
      <c r="F22" s="318"/>
      <c r="G22" s="318"/>
      <c r="H22" s="350"/>
      <c r="I22" s="11"/>
      <c r="J22" s="316"/>
      <c r="K22" s="316"/>
      <c r="L22" s="427"/>
      <c r="M22" s="24"/>
    </row>
    <row r="23" spans="1:14" ht="15.75" x14ac:dyDescent="0.2">
      <c r="A23" s="584" t="s">
        <v>368</v>
      </c>
      <c r="B23" s="281"/>
      <c r="C23" s="281"/>
      <c r="D23" s="166"/>
      <c r="E23" s="11"/>
      <c r="F23" s="290"/>
      <c r="G23" s="290"/>
      <c r="H23" s="166"/>
      <c r="I23" s="417"/>
      <c r="J23" s="290"/>
      <c r="K23" s="290"/>
      <c r="L23" s="166"/>
      <c r="M23" s="23"/>
    </row>
    <row r="24" spans="1:14" ht="15.75" x14ac:dyDescent="0.2">
      <c r="A24" s="584" t="s">
        <v>369</v>
      </c>
      <c r="B24" s="281"/>
      <c r="C24" s="281"/>
      <c r="D24" s="166"/>
      <c r="E24" s="11"/>
      <c r="F24" s="290"/>
      <c r="G24" s="290"/>
      <c r="H24" s="166"/>
      <c r="I24" s="417"/>
      <c r="J24" s="290"/>
      <c r="K24" s="290"/>
      <c r="L24" s="166"/>
      <c r="M24" s="23"/>
    </row>
    <row r="25" spans="1:14" ht="15.75" x14ac:dyDescent="0.2">
      <c r="A25" s="584" t="s">
        <v>370</v>
      </c>
      <c r="B25" s="281"/>
      <c r="C25" s="281"/>
      <c r="D25" s="166"/>
      <c r="E25" s="11"/>
      <c r="F25" s="290"/>
      <c r="G25" s="290"/>
      <c r="H25" s="166"/>
      <c r="I25" s="417"/>
      <c r="J25" s="290"/>
      <c r="K25" s="290"/>
      <c r="L25" s="166"/>
      <c r="M25" s="23"/>
    </row>
    <row r="26" spans="1:14" ht="15.75" x14ac:dyDescent="0.2">
      <c r="A26" s="584" t="s">
        <v>371</v>
      </c>
      <c r="B26" s="281"/>
      <c r="C26" s="281"/>
      <c r="D26" s="166"/>
      <c r="E26" s="11"/>
      <c r="F26" s="290"/>
      <c r="G26" s="290"/>
      <c r="H26" s="166"/>
      <c r="I26" s="417"/>
      <c r="J26" s="290"/>
      <c r="K26" s="290"/>
      <c r="L26" s="166"/>
      <c r="M26" s="23"/>
    </row>
    <row r="27" spans="1:14" x14ac:dyDescent="0.2">
      <c r="A27" s="584" t="s">
        <v>11</v>
      </c>
      <c r="B27" s="281"/>
      <c r="C27" s="281"/>
      <c r="D27" s="166"/>
      <c r="E27" s="11"/>
      <c r="F27" s="290"/>
      <c r="G27" s="290"/>
      <c r="H27" s="166"/>
      <c r="I27" s="417"/>
      <c r="J27" s="290"/>
      <c r="K27" s="290"/>
      <c r="L27" s="166"/>
      <c r="M27" s="23"/>
    </row>
    <row r="28" spans="1:14" ht="15.75" x14ac:dyDescent="0.2">
      <c r="A28" s="49" t="s">
        <v>276</v>
      </c>
      <c r="B28" s="44"/>
      <c r="C28" s="287"/>
      <c r="D28" s="166"/>
      <c r="E28" s="11"/>
      <c r="F28" s="234"/>
      <c r="G28" s="287"/>
      <c r="H28" s="166"/>
      <c r="I28" s="27"/>
      <c r="J28" s="44"/>
      <c r="K28" s="44"/>
      <c r="L28" s="254"/>
      <c r="M28" s="23"/>
    </row>
    <row r="29" spans="1:14" s="3" customFormat="1" ht="15.75" x14ac:dyDescent="0.2">
      <c r="A29" s="13" t="s">
        <v>365</v>
      </c>
      <c r="B29" s="236"/>
      <c r="C29" s="236"/>
      <c r="D29" s="171"/>
      <c r="E29" s="11"/>
      <c r="F29" s="308"/>
      <c r="G29" s="308"/>
      <c r="H29" s="171"/>
      <c r="I29" s="11"/>
      <c r="J29" s="236"/>
      <c r="K29" s="236"/>
      <c r="L29" s="428"/>
      <c r="M29" s="24"/>
      <c r="N29" s="148"/>
    </row>
    <row r="30" spans="1:14" s="3" customFormat="1" ht="15.75" x14ac:dyDescent="0.2">
      <c r="A30" s="584" t="s">
        <v>368</v>
      </c>
      <c r="B30" s="281"/>
      <c r="C30" s="281"/>
      <c r="D30" s="166"/>
      <c r="E30" s="11"/>
      <c r="F30" s="290"/>
      <c r="G30" s="290"/>
      <c r="H30" s="166"/>
      <c r="I30" s="417"/>
      <c r="J30" s="290"/>
      <c r="K30" s="290"/>
      <c r="L30" s="166"/>
      <c r="M30" s="23"/>
      <c r="N30" s="148"/>
    </row>
    <row r="31" spans="1:14" s="3" customFormat="1" ht="15.75" x14ac:dyDescent="0.2">
      <c r="A31" s="584" t="s">
        <v>369</v>
      </c>
      <c r="B31" s="281"/>
      <c r="C31" s="281"/>
      <c r="D31" s="166"/>
      <c r="E31" s="11"/>
      <c r="F31" s="290"/>
      <c r="G31" s="290"/>
      <c r="H31" s="166"/>
      <c r="I31" s="417"/>
      <c r="J31" s="290"/>
      <c r="K31" s="290"/>
      <c r="L31" s="166"/>
      <c r="M31" s="23"/>
      <c r="N31" s="148"/>
    </row>
    <row r="32" spans="1:14" ht="15.75" x14ac:dyDescent="0.2">
      <c r="A32" s="584" t="s">
        <v>370</v>
      </c>
      <c r="B32" s="281"/>
      <c r="C32" s="281"/>
      <c r="D32" s="166"/>
      <c r="E32" s="11"/>
      <c r="F32" s="290"/>
      <c r="G32" s="290"/>
      <c r="H32" s="166"/>
      <c r="I32" s="417"/>
      <c r="J32" s="290"/>
      <c r="K32" s="290"/>
      <c r="L32" s="166"/>
      <c r="M32" s="23"/>
    </row>
    <row r="33" spans="1:14" ht="15.75" x14ac:dyDescent="0.2">
      <c r="A33" s="584" t="s">
        <v>371</v>
      </c>
      <c r="B33" s="281"/>
      <c r="C33" s="281"/>
      <c r="D33" s="166"/>
      <c r="E33" s="11"/>
      <c r="F33" s="290"/>
      <c r="G33" s="290"/>
      <c r="H33" s="166"/>
      <c r="I33" s="417"/>
      <c r="J33" s="290"/>
      <c r="K33" s="290"/>
      <c r="L33" s="166"/>
      <c r="M33" s="23"/>
    </row>
    <row r="34" spans="1:14" ht="15.75" x14ac:dyDescent="0.2">
      <c r="A34" s="13" t="s">
        <v>366</v>
      </c>
      <c r="B34" s="236"/>
      <c r="C34" s="309"/>
      <c r="D34" s="171"/>
      <c r="E34" s="11"/>
      <c r="F34" s="308"/>
      <c r="G34" s="309"/>
      <c r="H34" s="171"/>
      <c r="I34" s="11"/>
      <c r="J34" s="236"/>
      <c r="K34" s="236"/>
      <c r="L34" s="428"/>
      <c r="M34" s="24"/>
    </row>
    <row r="35" spans="1:14" ht="15.75" x14ac:dyDescent="0.2">
      <c r="A35" s="13" t="s">
        <v>367</v>
      </c>
      <c r="B35" s="236"/>
      <c r="C35" s="309"/>
      <c r="D35" s="171"/>
      <c r="E35" s="11"/>
      <c r="F35" s="308"/>
      <c r="G35" s="309"/>
      <c r="H35" s="171"/>
      <c r="I35" s="11"/>
      <c r="J35" s="236"/>
      <c r="K35" s="236"/>
      <c r="L35" s="428"/>
      <c r="M35" s="24"/>
    </row>
    <row r="36" spans="1:14" ht="15.75" x14ac:dyDescent="0.2">
      <c r="A36" s="12" t="s">
        <v>284</v>
      </c>
      <c r="B36" s="236"/>
      <c r="C36" s="309"/>
      <c r="D36" s="171"/>
      <c r="E36" s="11"/>
      <c r="F36" s="319"/>
      <c r="G36" s="320"/>
      <c r="H36" s="171"/>
      <c r="I36" s="434"/>
      <c r="J36" s="236"/>
      <c r="K36" s="236"/>
      <c r="L36" s="428"/>
      <c r="M36" s="24"/>
    </row>
    <row r="37" spans="1:14" ht="15.75" x14ac:dyDescent="0.2">
      <c r="A37" s="12" t="s">
        <v>373</v>
      </c>
      <c r="B37" s="236"/>
      <c r="C37" s="309"/>
      <c r="D37" s="171"/>
      <c r="E37" s="11"/>
      <c r="F37" s="319"/>
      <c r="G37" s="321"/>
      <c r="H37" s="171"/>
      <c r="I37" s="434"/>
      <c r="J37" s="236"/>
      <c r="K37" s="236"/>
      <c r="L37" s="428"/>
      <c r="M37" s="24"/>
    </row>
    <row r="38" spans="1:14" ht="15.75" x14ac:dyDescent="0.2">
      <c r="A38" s="12" t="s">
        <v>374</v>
      </c>
      <c r="B38" s="236"/>
      <c r="C38" s="309"/>
      <c r="D38" s="171"/>
      <c r="E38" s="24"/>
      <c r="F38" s="319"/>
      <c r="G38" s="320"/>
      <c r="H38" s="171"/>
      <c r="I38" s="434"/>
      <c r="J38" s="236"/>
      <c r="K38" s="236"/>
      <c r="L38" s="428"/>
      <c r="M38" s="24"/>
    </row>
    <row r="39" spans="1:14" ht="15.75" x14ac:dyDescent="0.2">
      <c r="A39" s="18" t="s">
        <v>375</v>
      </c>
      <c r="B39" s="276"/>
      <c r="C39" s="315"/>
      <c r="D39" s="169"/>
      <c r="E39" s="36"/>
      <c r="F39" s="322"/>
      <c r="G39" s="323"/>
      <c r="H39" s="169"/>
      <c r="I39" s="36"/>
      <c r="J39" s="236"/>
      <c r="K39" s="236"/>
      <c r="L39" s="429"/>
      <c r="M39" s="36"/>
    </row>
    <row r="40" spans="1:14" ht="15.75" x14ac:dyDescent="0.25">
      <c r="A40" s="47"/>
      <c r="B40" s="253"/>
      <c r="C40" s="253"/>
      <c r="D40" s="736"/>
      <c r="E40" s="736"/>
      <c r="F40" s="736"/>
      <c r="G40" s="736"/>
      <c r="H40" s="736"/>
      <c r="I40" s="736"/>
      <c r="J40" s="736"/>
      <c r="K40" s="736"/>
      <c r="L40" s="736"/>
      <c r="M40" s="302"/>
    </row>
    <row r="41" spans="1:14" x14ac:dyDescent="0.2">
      <c r="A41" s="155"/>
    </row>
    <row r="42" spans="1:14" ht="15.75" x14ac:dyDescent="0.25">
      <c r="A42" s="147" t="s">
        <v>273</v>
      </c>
      <c r="B42" s="732"/>
      <c r="C42" s="732"/>
      <c r="D42" s="732"/>
      <c r="E42" s="299"/>
      <c r="F42" s="737"/>
      <c r="G42" s="737"/>
      <c r="H42" s="737"/>
      <c r="I42" s="302"/>
      <c r="J42" s="737"/>
      <c r="K42" s="737"/>
      <c r="L42" s="737"/>
      <c r="M42" s="302"/>
    </row>
    <row r="43" spans="1:14" ht="15.75" x14ac:dyDescent="0.25">
      <c r="A43" s="163"/>
      <c r="B43" s="303"/>
      <c r="C43" s="303"/>
      <c r="D43" s="303"/>
      <c r="E43" s="303"/>
      <c r="F43" s="302"/>
      <c r="G43" s="302"/>
      <c r="H43" s="302"/>
      <c r="I43" s="302"/>
      <c r="J43" s="302"/>
      <c r="K43" s="302"/>
      <c r="L43" s="302"/>
      <c r="M43" s="302"/>
    </row>
    <row r="44" spans="1:14" ht="15.75" x14ac:dyDescent="0.25">
      <c r="A44" s="247"/>
      <c r="B44" s="733" t="s">
        <v>0</v>
      </c>
      <c r="C44" s="734"/>
      <c r="D44" s="734"/>
      <c r="E44" s="243"/>
      <c r="F44" s="302"/>
      <c r="G44" s="302"/>
      <c r="H44" s="302"/>
      <c r="I44" s="302"/>
      <c r="J44" s="302"/>
      <c r="K44" s="302"/>
      <c r="L44" s="302"/>
      <c r="M44" s="302"/>
    </row>
    <row r="45" spans="1:14" s="3" customFormat="1" x14ac:dyDescent="0.2">
      <c r="A45" s="140"/>
      <c r="B45" s="152" t="s">
        <v>421</v>
      </c>
      <c r="C45" s="152" t="s">
        <v>422</v>
      </c>
      <c r="D45" s="162" t="s">
        <v>3</v>
      </c>
      <c r="E45" s="162" t="s">
        <v>29</v>
      </c>
      <c r="F45" s="174"/>
      <c r="G45" s="174"/>
      <c r="H45" s="173"/>
      <c r="I45" s="173"/>
      <c r="J45" s="174"/>
      <c r="K45" s="174"/>
      <c r="L45" s="173"/>
      <c r="M45" s="173"/>
      <c r="N45" s="148"/>
    </row>
    <row r="46" spans="1:14" s="3" customFormat="1" x14ac:dyDescent="0.2">
      <c r="A46" s="708"/>
      <c r="B46" s="244"/>
      <c r="C46" s="244"/>
      <c r="D46" s="245" t="s">
        <v>4</v>
      </c>
      <c r="E46" s="156" t="s">
        <v>30</v>
      </c>
      <c r="F46" s="173"/>
      <c r="G46" s="173"/>
      <c r="H46" s="173"/>
      <c r="I46" s="173"/>
      <c r="J46" s="173"/>
      <c r="K46" s="173"/>
      <c r="L46" s="173"/>
      <c r="M46" s="173"/>
      <c r="N46" s="148"/>
    </row>
    <row r="47" spans="1:14" s="3" customFormat="1" ht="15.75" x14ac:dyDescent="0.2">
      <c r="A47" s="14" t="s">
        <v>23</v>
      </c>
      <c r="B47" s="310"/>
      <c r="C47" s="311"/>
      <c r="D47" s="427"/>
      <c r="E47" s="11"/>
      <c r="F47" s="145"/>
      <c r="G47" s="33"/>
      <c r="H47" s="159"/>
      <c r="I47" s="159"/>
      <c r="J47" s="37"/>
      <c r="K47" s="37"/>
      <c r="L47" s="159"/>
      <c r="M47" s="159"/>
      <c r="N47" s="148"/>
    </row>
    <row r="48" spans="1:14" s="3" customFormat="1" ht="15.75" x14ac:dyDescent="0.2">
      <c r="A48" s="38" t="s">
        <v>376</v>
      </c>
      <c r="B48" s="281"/>
      <c r="C48" s="282"/>
      <c r="D48" s="254"/>
      <c r="E48" s="27"/>
      <c r="F48" s="145"/>
      <c r="G48" s="33"/>
      <c r="H48" s="145"/>
      <c r="I48" s="145"/>
      <c r="J48" s="33"/>
      <c r="K48" s="33"/>
      <c r="L48" s="159"/>
      <c r="M48" s="159"/>
      <c r="N48" s="148"/>
    </row>
    <row r="49" spans="1:14" s="3" customFormat="1" ht="15.75" x14ac:dyDescent="0.2">
      <c r="A49" s="38" t="s">
        <v>377</v>
      </c>
      <c r="B49" s="44"/>
      <c r="C49" s="287"/>
      <c r="D49" s="254"/>
      <c r="E49" s="27"/>
      <c r="F49" s="145"/>
      <c r="G49" s="33"/>
      <c r="H49" s="145"/>
      <c r="I49" s="145"/>
      <c r="J49" s="37"/>
      <c r="K49" s="37"/>
      <c r="L49" s="159"/>
      <c r="M49" s="159"/>
      <c r="N49" s="148"/>
    </row>
    <row r="50" spans="1:14" s="3" customFormat="1" x14ac:dyDescent="0.2">
      <c r="A50" s="296" t="s">
        <v>6</v>
      </c>
      <c r="B50" s="290"/>
      <c r="C50" s="291"/>
      <c r="D50" s="254"/>
      <c r="E50" s="23"/>
      <c r="F50" s="145"/>
      <c r="G50" s="33"/>
      <c r="H50" s="145"/>
      <c r="I50" s="145"/>
      <c r="J50" s="33"/>
      <c r="K50" s="33"/>
      <c r="L50" s="159"/>
      <c r="M50" s="159"/>
      <c r="N50" s="148"/>
    </row>
    <row r="51" spans="1:14" s="3" customFormat="1" x14ac:dyDescent="0.2">
      <c r="A51" s="296" t="s">
        <v>7</v>
      </c>
      <c r="B51" s="290"/>
      <c r="C51" s="291"/>
      <c r="D51" s="254"/>
      <c r="E51" s="23"/>
      <c r="F51" s="145"/>
      <c r="G51" s="33"/>
      <c r="H51" s="145"/>
      <c r="I51" s="145"/>
      <c r="J51" s="33"/>
      <c r="K51" s="33"/>
      <c r="L51" s="159"/>
      <c r="M51" s="159"/>
      <c r="N51" s="148"/>
    </row>
    <row r="52" spans="1:14" s="3" customFormat="1" x14ac:dyDescent="0.2">
      <c r="A52" s="296" t="s">
        <v>8</v>
      </c>
      <c r="B52" s="290"/>
      <c r="C52" s="291"/>
      <c r="D52" s="254"/>
      <c r="E52" s="23"/>
      <c r="F52" s="145"/>
      <c r="G52" s="33"/>
      <c r="H52" s="145"/>
      <c r="I52" s="145"/>
      <c r="J52" s="33"/>
      <c r="K52" s="33"/>
      <c r="L52" s="159"/>
      <c r="M52" s="159"/>
      <c r="N52" s="148"/>
    </row>
    <row r="53" spans="1:14" s="3" customFormat="1" ht="15.75" x14ac:dyDescent="0.2">
      <c r="A53" s="39" t="s">
        <v>378</v>
      </c>
      <c r="B53" s="310"/>
      <c r="C53" s="311"/>
      <c r="D53" s="428"/>
      <c r="E53" s="11"/>
      <c r="F53" s="145"/>
      <c r="G53" s="33"/>
      <c r="H53" s="145"/>
      <c r="I53" s="145"/>
      <c r="J53" s="33"/>
      <c r="K53" s="33"/>
      <c r="L53" s="159"/>
      <c r="M53" s="159"/>
      <c r="N53" s="148"/>
    </row>
    <row r="54" spans="1:14" s="3" customFormat="1" ht="15.75" x14ac:dyDescent="0.2">
      <c r="A54" s="38" t="s">
        <v>376</v>
      </c>
      <c r="B54" s="281"/>
      <c r="C54" s="282"/>
      <c r="D54" s="254"/>
      <c r="E54" s="27"/>
      <c r="F54" s="145"/>
      <c r="G54" s="33"/>
      <c r="H54" s="145"/>
      <c r="I54" s="145"/>
      <c r="J54" s="33"/>
      <c r="K54" s="33"/>
      <c r="L54" s="159"/>
      <c r="M54" s="159"/>
      <c r="N54" s="148"/>
    </row>
    <row r="55" spans="1:14" s="3" customFormat="1" ht="15.75" x14ac:dyDescent="0.2">
      <c r="A55" s="38" t="s">
        <v>377</v>
      </c>
      <c r="B55" s="281"/>
      <c r="C55" s="282"/>
      <c r="D55" s="254"/>
      <c r="E55" s="27"/>
      <c r="F55" s="145"/>
      <c r="G55" s="33"/>
      <c r="H55" s="145"/>
      <c r="I55" s="145"/>
      <c r="J55" s="33"/>
      <c r="K55" s="33"/>
      <c r="L55" s="159"/>
      <c r="M55" s="159"/>
      <c r="N55" s="148"/>
    </row>
    <row r="56" spans="1:14" s="3" customFormat="1" ht="15.75" x14ac:dyDescent="0.2">
      <c r="A56" s="39" t="s">
        <v>379</v>
      </c>
      <c r="B56" s="310"/>
      <c r="C56" s="311"/>
      <c r="D56" s="428"/>
      <c r="E56" s="11"/>
      <c r="F56" s="145"/>
      <c r="G56" s="33"/>
      <c r="H56" s="145"/>
      <c r="I56" s="145"/>
      <c r="J56" s="33"/>
      <c r="K56" s="33"/>
      <c r="L56" s="159"/>
      <c r="M56" s="159"/>
      <c r="N56" s="148"/>
    </row>
    <row r="57" spans="1:14" s="3" customFormat="1" ht="15.75" x14ac:dyDescent="0.2">
      <c r="A57" s="38" t="s">
        <v>376</v>
      </c>
      <c r="B57" s="281"/>
      <c r="C57" s="282"/>
      <c r="D57" s="254"/>
      <c r="E57" s="27"/>
      <c r="F57" s="145"/>
      <c r="G57" s="33"/>
      <c r="H57" s="145"/>
      <c r="I57" s="145"/>
      <c r="J57" s="33"/>
      <c r="K57" s="33"/>
      <c r="L57" s="159"/>
      <c r="M57" s="159"/>
      <c r="N57" s="148"/>
    </row>
    <row r="58" spans="1:14" s="3" customFormat="1" ht="15.75" x14ac:dyDescent="0.2">
      <c r="A58" s="46" t="s">
        <v>377</v>
      </c>
      <c r="B58" s="283"/>
      <c r="C58" s="284"/>
      <c r="D58" s="255"/>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274</v>
      </c>
      <c r="C61" s="26"/>
      <c r="D61" s="26"/>
      <c r="E61" s="26"/>
      <c r="F61" s="26"/>
      <c r="G61" s="26"/>
      <c r="H61" s="26"/>
      <c r="I61" s="26"/>
      <c r="J61" s="26"/>
      <c r="K61" s="26"/>
      <c r="L61" s="26"/>
      <c r="M61" s="26"/>
    </row>
    <row r="62" spans="1:14" ht="15.75" x14ac:dyDescent="0.25">
      <c r="B62" s="735"/>
      <c r="C62" s="735"/>
      <c r="D62" s="735"/>
      <c r="E62" s="299"/>
      <c r="F62" s="735"/>
      <c r="G62" s="735"/>
      <c r="H62" s="735"/>
      <c r="I62" s="299"/>
      <c r="J62" s="735"/>
      <c r="K62" s="735"/>
      <c r="L62" s="735"/>
      <c r="M62" s="299"/>
    </row>
    <row r="63" spans="1:14" x14ac:dyDescent="0.2">
      <c r="A63" s="144"/>
      <c r="B63" s="733" t="s">
        <v>0</v>
      </c>
      <c r="C63" s="734"/>
      <c r="D63" s="738"/>
      <c r="E63" s="300"/>
      <c r="F63" s="734" t="s">
        <v>1</v>
      </c>
      <c r="G63" s="734"/>
      <c r="H63" s="734"/>
      <c r="I63" s="304"/>
      <c r="J63" s="733" t="s">
        <v>2</v>
      </c>
      <c r="K63" s="734"/>
      <c r="L63" s="734"/>
      <c r="M63" s="304"/>
    </row>
    <row r="64" spans="1:14" x14ac:dyDescent="0.2">
      <c r="A64" s="140"/>
      <c r="B64" s="152" t="s">
        <v>421</v>
      </c>
      <c r="C64" s="152" t="s">
        <v>422</v>
      </c>
      <c r="D64" s="245" t="s">
        <v>3</v>
      </c>
      <c r="E64" s="305" t="s">
        <v>29</v>
      </c>
      <c r="F64" s="152" t="s">
        <v>421</v>
      </c>
      <c r="G64" s="152" t="s">
        <v>422</v>
      </c>
      <c r="H64" s="245" t="s">
        <v>3</v>
      </c>
      <c r="I64" s="305" t="s">
        <v>29</v>
      </c>
      <c r="J64" s="152" t="s">
        <v>421</v>
      </c>
      <c r="K64" s="152" t="s">
        <v>422</v>
      </c>
      <c r="L64" s="245" t="s">
        <v>3</v>
      </c>
      <c r="M64" s="162" t="s">
        <v>29</v>
      </c>
    </row>
    <row r="65" spans="1:14" x14ac:dyDescent="0.2">
      <c r="A65" s="708"/>
      <c r="B65" s="156"/>
      <c r="C65" s="156"/>
      <c r="D65" s="246" t="s">
        <v>4</v>
      </c>
      <c r="E65" s="156" t="s">
        <v>30</v>
      </c>
      <c r="F65" s="161"/>
      <c r="G65" s="161"/>
      <c r="H65" s="245" t="s">
        <v>4</v>
      </c>
      <c r="I65" s="156" t="s">
        <v>30</v>
      </c>
      <c r="J65" s="161"/>
      <c r="K65" s="206"/>
      <c r="L65" s="156" t="s">
        <v>4</v>
      </c>
      <c r="M65" s="156" t="s">
        <v>30</v>
      </c>
    </row>
    <row r="66" spans="1:14" ht="15.75" x14ac:dyDescent="0.2">
      <c r="A66" s="14" t="s">
        <v>23</v>
      </c>
      <c r="B66" s="353"/>
      <c r="C66" s="353"/>
      <c r="D66" s="350"/>
      <c r="E66" s="11"/>
      <c r="F66" s="352"/>
      <c r="G66" s="352"/>
      <c r="H66" s="350"/>
      <c r="I66" s="11"/>
      <c r="J66" s="309"/>
      <c r="K66" s="316"/>
      <c r="L66" s="428"/>
      <c r="M66" s="11"/>
    </row>
    <row r="67" spans="1:14" x14ac:dyDescent="0.2">
      <c r="A67" s="419" t="s">
        <v>9</v>
      </c>
      <c r="B67" s="44"/>
      <c r="C67" s="145"/>
      <c r="D67" s="166"/>
      <c r="E67" s="27"/>
      <c r="F67" s="234"/>
      <c r="G67" s="145"/>
      <c r="H67" s="166"/>
      <c r="I67" s="27"/>
      <c r="J67" s="287"/>
      <c r="K67" s="44"/>
      <c r="L67" s="254"/>
      <c r="M67" s="27"/>
    </row>
    <row r="68" spans="1:14" x14ac:dyDescent="0.2">
      <c r="A68" s="21" t="s">
        <v>10</v>
      </c>
      <c r="B68" s="292"/>
      <c r="C68" s="293"/>
      <c r="D68" s="166"/>
      <c r="E68" s="27"/>
      <c r="F68" s="292"/>
      <c r="G68" s="293"/>
      <c r="H68" s="166"/>
      <c r="I68" s="27"/>
      <c r="J68" s="287"/>
      <c r="K68" s="44"/>
      <c r="L68" s="254"/>
      <c r="M68" s="27"/>
    </row>
    <row r="69" spans="1:14" ht="15.75" x14ac:dyDescent="0.2">
      <c r="A69" s="296" t="s">
        <v>380</v>
      </c>
      <c r="B69" s="294"/>
      <c r="C69" s="295"/>
      <c r="D69" s="166"/>
      <c r="E69" s="417"/>
      <c r="F69" s="294"/>
      <c r="G69" s="295"/>
      <c r="H69" s="166"/>
      <c r="I69" s="417"/>
      <c r="J69" s="294"/>
      <c r="K69" s="295"/>
      <c r="L69" s="166"/>
      <c r="M69" s="23"/>
    </row>
    <row r="70" spans="1:14" x14ac:dyDescent="0.2">
      <c r="A70" s="296" t="s">
        <v>12</v>
      </c>
      <c r="B70" s="294"/>
      <c r="C70" s="295"/>
      <c r="D70" s="166"/>
      <c r="E70" s="417"/>
      <c r="F70" s="294"/>
      <c r="G70" s="295"/>
      <c r="H70" s="166"/>
      <c r="I70" s="417"/>
      <c r="J70" s="294"/>
      <c r="K70" s="295"/>
      <c r="L70" s="166"/>
      <c r="M70" s="23"/>
    </row>
    <row r="71" spans="1:14" x14ac:dyDescent="0.2">
      <c r="A71" s="296" t="s">
        <v>13</v>
      </c>
      <c r="B71" s="235"/>
      <c r="C71" s="289"/>
      <c r="D71" s="166"/>
      <c r="E71" s="417"/>
      <c r="F71" s="294"/>
      <c r="G71" s="295"/>
      <c r="H71" s="166"/>
      <c r="I71" s="417"/>
      <c r="J71" s="294"/>
      <c r="K71" s="295"/>
      <c r="L71" s="166"/>
      <c r="M71" s="23"/>
    </row>
    <row r="72" spans="1:14" ht="15.75" x14ac:dyDescent="0.2">
      <c r="A72" s="296" t="s">
        <v>381</v>
      </c>
      <c r="B72" s="294"/>
      <c r="C72" s="295"/>
      <c r="D72" s="166"/>
      <c r="E72" s="417"/>
      <c r="F72" s="294"/>
      <c r="G72" s="295"/>
      <c r="H72" s="166"/>
      <c r="I72" s="417"/>
      <c r="J72" s="294"/>
      <c r="K72" s="295"/>
      <c r="L72" s="166"/>
      <c r="M72" s="23"/>
    </row>
    <row r="73" spans="1:14" x14ac:dyDescent="0.2">
      <c r="A73" s="296" t="s">
        <v>12</v>
      </c>
      <c r="B73" s="235"/>
      <c r="C73" s="289"/>
      <c r="D73" s="166"/>
      <c r="E73" s="417"/>
      <c r="F73" s="294"/>
      <c r="G73" s="295"/>
      <c r="H73" s="166"/>
      <c r="I73" s="417"/>
      <c r="J73" s="294"/>
      <c r="K73" s="295"/>
      <c r="L73" s="166"/>
      <c r="M73" s="23"/>
    </row>
    <row r="74" spans="1:14" s="3" customFormat="1" x14ac:dyDescent="0.2">
      <c r="A74" s="296" t="s">
        <v>13</v>
      </c>
      <c r="B74" s="235"/>
      <c r="C74" s="289"/>
      <c r="D74" s="166"/>
      <c r="E74" s="417"/>
      <c r="F74" s="294"/>
      <c r="G74" s="295"/>
      <c r="H74" s="166"/>
      <c r="I74" s="417"/>
      <c r="J74" s="294"/>
      <c r="K74" s="295"/>
      <c r="L74" s="166"/>
      <c r="M74" s="23"/>
      <c r="N74" s="148"/>
    </row>
    <row r="75" spans="1:14" s="3" customFormat="1" x14ac:dyDescent="0.2">
      <c r="A75" s="21" t="s">
        <v>350</v>
      </c>
      <c r="B75" s="234"/>
      <c r="C75" s="145"/>
      <c r="D75" s="166"/>
      <c r="E75" s="27"/>
      <c r="F75" s="234"/>
      <c r="G75" s="145"/>
      <c r="H75" s="166"/>
      <c r="I75" s="27"/>
      <c r="J75" s="287"/>
      <c r="K75" s="44"/>
      <c r="L75" s="254"/>
      <c r="M75" s="27"/>
      <c r="N75" s="148"/>
    </row>
    <row r="76" spans="1:14" s="3" customFormat="1" x14ac:dyDescent="0.2">
      <c r="A76" s="21" t="s">
        <v>349</v>
      </c>
      <c r="B76" s="234"/>
      <c r="C76" s="145"/>
      <c r="D76" s="166"/>
      <c r="E76" s="27"/>
      <c r="F76" s="234"/>
      <c r="G76" s="145"/>
      <c r="H76" s="166"/>
      <c r="I76" s="27"/>
      <c r="J76" s="287"/>
      <c r="K76" s="44"/>
      <c r="L76" s="254"/>
      <c r="M76" s="27"/>
      <c r="N76" s="148"/>
    </row>
    <row r="77" spans="1:14" ht="15.75" x14ac:dyDescent="0.2">
      <c r="A77" s="21" t="s">
        <v>382</v>
      </c>
      <c r="B77" s="234"/>
      <c r="C77" s="234"/>
      <c r="D77" s="166"/>
      <c r="E77" s="27"/>
      <c r="F77" s="234"/>
      <c r="G77" s="145"/>
      <c r="H77" s="166"/>
      <c r="I77" s="27"/>
      <c r="J77" s="287"/>
      <c r="K77" s="44"/>
      <c r="L77" s="254"/>
      <c r="M77" s="27"/>
    </row>
    <row r="78" spans="1:14" x14ac:dyDescent="0.2">
      <c r="A78" s="21" t="s">
        <v>9</v>
      </c>
      <c r="B78" s="234"/>
      <c r="C78" s="145"/>
      <c r="D78" s="166"/>
      <c r="E78" s="27"/>
      <c r="F78" s="234"/>
      <c r="G78" s="145"/>
      <c r="H78" s="166"/>
      <c r="I78" s="27"/>
      <c r="J78" s="287"/>
      <c r="K78" s="44"/>
      <c r="L78" s="254"/>
      <c r="M78" s="27"/>
    </row>
    <row r="79" spans="1:14" x14ac:dyDescent="0.2">
      <c r="A79" s="21" t="s">
        <v>10</v>
      </c>
      <c r="B79" s="292"/>
      <c r="C79" s="293"/>
      <c r="D79" s="166"/>
      <c r="E79" s="27"/>
      <c r="F79" s="292"/>
      <c r="G79" s="293"/>
      <c r="H79" s="166"/>
      <c r="I79" s="27"/>
      <c r="J79" s="287"/>
      <c r="K79" s="44"/>
      <c r="L79" s="254"/>
      <c r="M79" s="27"/>
    </row>
    <row r="80" spans="1:14" ht="15.75" x14ac:dyDescent="0.2">
      <c r="A80" s="296" t="s">
        <v>380</v>
      </c>
      <c r="B80" s="294"/>
      <c r="C80" s="295"/>
      <c r="D80" s="166"/>
      <c r="E80" s="417"/>
      <c r="F80" s="294"/>
      <c r="G80" s="295"/>
      <c r="H80" s="166"/>
      <c r="I80" s="417"/>
      <c r="J80" s="294"/>
      <c r="K80" s="295"/>
      <c r="L80" s="166"/>
      <c r="M80" s="23"/>
    </row>
    <row r="81" spans="1:13" x14ac:dyDescent="0.2">
      <c r="A81" s="296" t="s">
        <v>12</v>
      </c>
      <c r="B81" s="294"/>
      <c r="C81" s="295"/>
      <c r="D81" s="166"/>
      <c r="E81" s="417"/>
      <c r="F81" s="294"/>
      <c r="G81" s="295"/>
      <c r="H81" s="166"/>
      <c r="I81" s="417"/>
      <c r="J81" s="294"/>
      <c r="K81" s="295"/>
      <c r="L81" s="166"/>
      <c r="M81" s="23"/>
    </row>
    <row r="82" spans="1:13" x14ac:dyDescent="0.2">
      <c r="A82" s="296" t="s">
        <v>13</v>
      </c>
      <c r="B82" s="294"/>
      <c r="C82" s="295"/>
      <c r="D82" s="166"/>
      <c r="E82" s="417"/>
      <c r="F82" s="294"/>
      <c r="G82" s="295"/>
      <c r="H82" s="166"/>
      <c r="I82" s="417"/>
      <c r="J82" s="294"/>
      <c r="K82" s="295"/>
      <c r="L82" s="166"/>
      <c r="M82" s="23"/>
    </row>
    <row r="83" spans="1:13" ht="15.75" x14ac:dyDescent="0.2">
      <c r="A83" s="296" t="s">
        <v>381</v>
      </c>
      <c r="B83" s="294"/>
      <c r="C83" s="295"/>
      <c r="D83" s="166"/>
      <c r="E83" s="417"/>
      <c r="F83" s="294"/>
      <c r="G83" s="295"/>
      <c r="H83" s="166"/>
      <c r="I83" s="417"/>
      <c r="J83" s="294"/>
      <c r="K83" s="295"/>
      <c r="L83" s="166"/>
      <c r="M83" s="23"/>
    </row>
    <row r="84" spans="1:13" x14ac:dyDescent="0.2">
      <c r="A84" s="296" t="s">
        <v>12</v>
      </c>
      <c r="B84" s="294"/>
      <c r="C84" s="295"/>
      <c r="D84" s="166"/>
      <c r="E84" s="417"/>
      <c r="F84" s="294"/>
      <c r="G84" s="295"/>
      <c r="H84" s="166"/>
      <c r="I84" s="417"/>
      <c r="J84" s="294"/>
      <c r="K84" s="295"/>
      <c r="L84" s="166"/>
      <c r="M84" s="23"/>
    </row>
    <row r="85" spans="1:13" x14ac:dyDescent="0.2">
      <c r="A85" s="296" t="s">
        <v>13</v>
      </c>
      <c r="B85" s="294"/>
      <c r="C85" s="295"/>
      <c r="D85" s="166"/>
      <c r="E85" s="417"/>
      <c r="F85" s="294"/>
      <c r="G85" s="295"/>
      <c r="H85" s="166"/>
      <c r="I85" s="417"/>
      <c r="J85" s="294"/>
      <c r="K85" s="295"/>
      <c r="L85" s="166"/>
      <c r="M85" s="23"/>
    </row>
    <row r="86" spans="1:13" ht="15.75" x14ac:dyDescent="0.2">
      <c r="A86" s="21" t="s">
        <v>383</v>
      </c>
      <c r="B86" s="234"/>
      <c r="C86" s="145"/>
      <c r="D86" s="166"/>
      <c r="E86" s="27"/>
      <c r="F86" s="234"/>
      <c r="G86" s="145"/>
      <c r="H86" s="166"/>
      <c r="I86" s="27"/>
      <c r="J86" s="287"/>
      <c r="K86" s="44"/>
      <c r="L86" s="254"/>
      <c r="M86" s="27"/>
    </row>
    <row r="87" spans="1:13" ht="15.75" x14ac:dyDescent="0.2">
      <c r="A87" s="13" t="s">
        <v>365</v>
      </c>
      <c r="B87" s="353"/>
      <c r="C87" s="353"/>
      <c r="D87" s="171"/>
      <c r="E87" s="11"/>
      <c r="F87" s="352"/>
      <c r="G87" s="352"/>
      <c r="H87" s="171"/>
      <c r="I87" s="11"/>
      <c r="J87" s="309"/>
      <c r="K87" s="236"/>
      <c r="L87" s="428"/>
      <c r="M87" s="11"/>
    </row>
    <row r="88" spans="1:13" x14ac:dyDescent="0.2">
      <c r="A88" s="21" t="s">
        <v>9</v>
      </c>
      <c r="B88" s="234"/>
      <c r="C88" s="145"/>
      <c r="D88" s="166"/>
      <c r="E88" s="27"/>
      <c r="F88" s="234"/>
      <c r="G88" s="145"/>
      <c r="H88" s="166"/>
      <c r="I88" s="27"/>
      <c r="J88" s="287"/>
      <c r="K88" s="44"/>
      <c r="L88" s="254"/>
      <c r="M88" s="27"/>
    </row>
    <row r="89" spans="1:13" x14ac:dyDescent="0.2">
      <c r="A89" s="21" t="s">
        <v>10</v>
      </c>
      <c r="B89" s="234"/>
      <c r="C89" s="145"/>
      <c r="D89" s="166"/>
      <c r="E89" s="27"/>
      <c r="F89" s="234"/>
      <c r="G89" s="145"/>
      <c r="H89" s="166"/>
      <c r="I89" s="27"/>
      <c r="J89" s="287"/>
      <c r="K89" s="44"/>
      <c r="L89" s="254"/>
      <c r="M89" s="27"/>
    </row>
    <row r="90" spans="1:13" ht="15.75" x14ac:dyDescent="0.2">
      <c r="A90" s="296" t="s">
        <v>380</v>
      </c>
      <c r="B90" s="294"/>
      <c r="C90" s="295"/>
      <c r="D90" s="166"/>
      <c r="E90" s="417"/>
      <c r="F90" s="294"/>
      <c r="G90" s="295"/>
      <c r="H90" s="166"/>
      <c r="I90" s="417"/>
      <c r="J90" s="294"/>
      <c r="K90" s="295"/>
      <c r="L90" s="166"/>
      <c r="M90" s="23"/>
    </row>
    <row r="91" spans="1:13" x14ac:dyDescent="0.2">
      <c r="A91" s="296" t="s">
        <v>12</v>
      </c>
      <c r="B91" s="294"/>
      <c r="C91" s="295"/>
      <c r="D91" s="166"/>
      <c r="E91" s="417"/>
      <c r="F91" s="294"/>
      <c r="G91" s="295"/>
      <c r="H91" s="166"/>
      <c r="I91" s="417"/>
      <c r="J91" s="294"/>
      <c r="K91" s="295"/>
      <c r="L91" s="166"/>
      <c r="M91" s="23"/>
    </row>
    <row r="92" spans="1:13" x14ac:dyDescent="0.2">
      <c r="A92" s="296" t="s">
        <v>13</v>
      </c>
      <c r="B92" s="294"/>
      <c r="C92" s="295"/>
      <c r="D92" s="166"/>
      <c r="E92" s="417"/>
      <c r="F92" s="294"/>
      <c r="G92" s="295"/>
      <c r="H92" s="166"/>
      <c r="I92" s="417"/>
      <c r="J92" s="294"/>
      <c r="K92" s="295"/>
      <c r="L92" s="166"/>
      <c r="M92" s="23"/>
    </row>
    <row r="93" spans="1:13" ht="15.75" x14ac:dyDescent="0.2">
      <c r="A93" s="296" t="s">
        <v>381</v>
      </c>
      <c r="B93" s="294"/>
      <c r="C93" s="295"/>
      <c r="D93" s="166"/>
      <c r="E93" s="417"/>
      <c r="F93" s="294"/>
      <c r="G93" s="295"/>
      <c r="H93" s="166"/>
      <c r="I93" s="417"/>
      <c r="J93" s="294"/>
      <c r="K93" s="295"/>
      <c r="L93" s="166"/>
      <c r="M93" s="23"/>
    </row>
    <row r="94" spans="1:13" x14ac:dyDescent="0.2">
      <c r="A94" s="296" t="s">
        <v>12</v>
      </c>
      <c r="B94" s="294"/>
      <c r="C94" s="295"/>
      <c r="D94" s="166"/>
      <c r="E94" s="417"/>
      <c r="F94" s="294"/>
      <c r="G94" s="295"/>
      <c r="H94" s="166"/>
      <c r="I94" s="417"/>
      <c r="J94" s="294"/>
      <c r="K94" s="295"/>
      <c r="L94" s="166"/>
      <c r="M94" s="23"/>
    </row>
    <row r="95" spans="1:13" x14ac:dyDescent="0.2">
      <c r="A95" s="296" t="s">
        <v>13</v>
      </c>
      <c r="B95" s="294"/>
      <c r="C95" s="295"/>
      <c r="D95" s="166"/>
      <c r="E95" s="417"/>
      <c r="F95" s="294"/>
      <c r="G95" s="295"/>
      <c r="H95" s="166"/>
      <c r="I95" s="417"/>
      <c r="J95" s="294"/>
      <c r="K95" s="295"/>
      <c r="L95" s="166"/>
      <c r="M95" s="23"/>
    </row>
    <row r="96" spans="1:13" x14ac:dyDescent="0.2">
      <c r="A96" s="21" t="s">
        <v>348</v>
      </c>
      <c r="B96" s="234"/>
      <c r="C96" s="145"/>
      <c r="D96" s="166"/>
      <c r="E96" s="27"/>
      <c r="F96" s="234"/>
      <c r="G96" s="145"/>
      <c r="H96" s="166"/>
      <c r="I96" s="27"/>
      <c r="J96" s="287"/>
      <c r="K96" s="44"/>
      <c r="L96" s="254"/>
      <c r="M96" s="27"/>
    </row>
    <row r="97" spans="1:13" x14ac:dyDescent="0.2">
      <c r="A97" s="21" t="s">
        <v>347</v>
      </c>
      <c r="B97" s="234"/>
      <c r="C97" s="145"/>
      <c r="D97" s="166"/>
      <c r="E97" s="27"/>
      <c r="F97" s="234"/>
      <c r="G97" s="145"/>
      <c r="H97" s="166"/>
      <c r="I97" s="27"/>
      <c r="J97" s="287"/>
      <c r="K97" s="44"/>
      <c r="L97" s="254"/>
      <c r="M97" s="27"/>
    </row>
    <row r="98" spans="1:13" ht="15.75" x14ac:dyDescent="0.2">
      <c r="A98" s="21" t="s">
        <v>382</v>
      </c>
      <c r="B98" s="234"/>
      <c r="C98" s="234"/>
      <c r="D98" s="166"/>
      <c r="E98" s="27"/>
      <c r="F98" s="292"/>
      <c r="G98" s="292"/>
      <c r="H98" s="166"/>
      <c r="I98" s="27"/>
      <c r="J98" s="287"/>
      <c r="K98" s="44"/>
      <c r="L98" s="254"/>
      <c r="M98" s="27"/>
    </row>
    <row r="99" spans="1:13" x14ac:dyDescent="0.2">
      <c r="A99" s="21" t="s">
        <v>9</v>
      </c>
      <c r="B99" s="292"/>
      <c r="C99" s="293"/>
      <c r="D99" s="166"/>
      <c r="E99" s="27"/>
      <c r="F99" s="234"/>
      <c r="G99" s="145"/>
      <c r="H99" s="166"/>
      <c r="I99" s="27"/>
      <c r="J99" s="287"/>
      <c r="K99" s="44"/>
      <c r="L99" s="254"/>
      <c r="M99" s="27"/>
    </row>
    <row r="100" spans="1:13" x14ac:dyDescent="0.2">
      <c r="A100" s="21" t="s">
        <v>10</v>
      </c>
      <c r="B100" s="292"/>
      <c r="C100" s="293"/>
      <c r="D100" s="166"/>
      <c r="E100" s="27"/>
      <c r="F100" s="234"/>
      <c r="G100" s="234"/>
      <c r="H100" s="166"/>
      <c r="I100" s="27"/>
      <c r="J100" s="287"/>
      <c r="K100" s="44"/>
      <c r="L100" s="254"/>
      <c r="M100" s="27"/>
    </row>
    <row r="101" spans="1:13" ht="15.75" x14ac:dyDescent="0.2">
      <c r="A101" s="296" t="s">
        <v>380</v>
      </c>
      <c r="B101" s="294"/>
      <c r="C101" s="295"/>
      <c r="D101" s="166"/>
      <c r="E101" s="417"/>
      <c r="F101" s="294"/>
      <c r="G101" s="295"/>
      <c r="H101" s="166"/>
      <c r="I101" s="417"/>
      <c r="J101" s="294"/>
      <c r="K101" s="295"/>
      <c r="L101" s="166"/>
      <c r="M101" s="23"/>
    </row>
    <row r="102" spans="1:13" x14ac:dyDescent="0.2">
      <c r="A102" s="296" t="s">
        <v>12</v>
      </c>
      <c r="B102" s="294"/>
      <c r="C102" s="295"/>
      <c r="D102" s="166"/>
      <c r="E102" s="417"/>
      <c r="F102" s="294"/>
      <c r="G102" s="295"/>
      <c r="H102" s="166"/>
      <c r="I102" s="417"/>
      <c r="J102" s="294"/>
      <c r="K102" s="295"/>
      <c r="L102" s="166"/>
      <c r="M102" s="23"/>
    </row>
    <row r="103" spans="1:13" x14ac:dyDescent="0.2">
      <c r="A103" s="296" t="s">
        <v>13</v>
      </c>
      <c r="B103" s="294"/>
      <c r="C103" s="295"/>
      <c r="D103" s="166"/>
      <c r="E103" s="417"/>
      <c r="F103" s="294"/>
      <c r="G103" s="295"/>
      <c r="H103" s="166"/>
      <c r="I103" s="417"/>
      <c r="J103" s="294"/>
      <c r="K103" s="295"/>
      <c r="L103" s="166"/>
      <c r="M103" s="23"/>
    </row>
    <row r="104" spans="1:13" ht="15.75" x14ac:dyDescent="0.2">
      <c r="A104" s="296" t="s">
        <v>381</v>
      </c>
      <c r="B104" s="294"/>
      <c r="C104" s="295"/>
      <c r="D104" s="166"/>
      <c r="E104" s="417"/>
      <c r="F104" s="294"/>
      <c r="G104" s="295"/>
      <c r="H104" s="166"/>
      <c r="I104" s="417"/>
      <c r="J104" s="294"/>
      <c r="K104" s="295"/>
      <c r="L104" s="166"/>
      <c r="M104" s="23"/>
    </row>
    <row r="105" spans="1:13" x14ac:dyDescent="0.2">
      <c r="A105" s="296" t="s">
        <v>12</v>
      </c>
      <c r="B105" s="294"/>
      <c r="C105" s="295"/>
      <c r="D105" s="166"/>
      <c r="E105" s="417"/>
      <c r="F105" s="294"/>
      <c r="G105" s="295"/>
      <c r="H105" s="166"/>
      <c r="I105" s="417"/>
      <c r="J105" s="294"/>
      <c r="K105" s="295"/>
      <c r="L105" s="166"/>
      <c r="M105" s="23"/>
    </row>
    <row r="106" spans="1:13" x14ac:dyDescent="0.2">
      <c r="A106" s="296" t="s">
        <v>13</v>
      </c>
      <c r="B106" s="294"/>
      <c r="C106" s="295"/>
      <c r="D106" s="166"/>
      <c r="E106" s="417"/>
      <c r="F106" s="294"/>
      <c r="G106" s="295"/>
      <c r="H106" s="166"/>
      <c r="I106" s="417"/>
      <c r="J106" s="294"/>
      <c r="K106" s="295"/>
      <c r="L106" s="166"/>
      <c r="M106" s="23"/>
    </row>
    <row r="107" spans="1:13" ht="15.75" x14ac:dyDescent="0.2">
      <c r="A107" s="21" t="s">
        <v>383</v>
      </c>
      <c r="B107" s="234"/>
      <c r="C107" s="145"/>
      <c r="D107" s="166"/>
      <c r="E107" s="27"/>
      <c r="F107" s="234"/>
      <c r="G107" s="145"/>
      <c r="H107" s="166"/>
      <c r="I107" s="27"/>
      <c r="J107" s="287"/>
      <c r="K107" s="44"/>
      <c r="L107" s="254"/>
      <c r="M107" s="27"/>
    </row>
    <row r="108" spans="1:13" ht="15.75" x14ac:dyDescent="0.2">
      <c r="A108" s="21" t="s">
        <v>384</v>
      </c>
      <c r="B108" s="234"/>
      <c r="C108" s="234"/>
      <c r="D108" s="166"/>
      <c r="E108" s="27"/>
      <c r="F108" s="234"/>
      <c r="G108" s="234"/>
      <c r="H108" s="166"/>
      <c r="I108" s="27"/>
      <c r="J108" s="287"/>
      <c r="K108" s="44"/>
      <c r="L108" s="254"/>
      <c r="M108" s="27"/>
    </row>
    <row r="109" spans="1:13" ht="15.75" x14ac:dyDescent="0.2">
      <c r="A109" s="21" t="s">
        <v>385</v>
      </c>
      <c r="B109" s="234"/>
      <c r="C109" s="234"/>
      <c r="D109" s="166"/>
      <c r="E109" s="27"/>
      <c r="F109" s="234"/>
      <c r="G109" s="234"/>
      <c r="H109" s="166"/>
      <c r="I109" s="27"/>
      <c r="J109" s="287"/>
      <c r="K109" s="44"/>
      <c r="L109" s="254"/>
      <c r="M109" s="27"/>
    </row>
    <row r="110" spans="1:13" ht="15.75" x14ac:dyDescent="0.2">
      <c r="A110" s="21" t="s">
        <v>386</v>
      </c>
      <c r="B110" s="234"/>
      <c r="C110" s="234"/>
      <c r="D110" s="166"/>
      <c r="E110" s="27"/>
      <c r="F110" s="234"/>
      <c r="G110" s="234"/>
      <c r="H110" s="166"/>
      <c r="I110" s="27"/>
      <c r="J110" s="287"/>
      <c r="K110" s="44"/>
      <c r="L110" s="254"/>
      <c r="M110" s="27"/>
    </row>
    <row r="111" spans="1:13" ht="15.75" x14ac:dyDescent="0.2">
      <c r="A111" s="13" t="s">
        <v>366</v>
      </c>
      <c r="B111" s="308"/>
      <c r="C111" s="159"/>
      <c r="D111" s="171"/>
      <c r="E111" s="11"/>
      <c r="F111" s="308"/>
      <c r="G111" s="159"/>
      <c r="H111" s="171"/>
      <c r="I111" s="11"/>
      <c r="J111" s="309"/>
      <c r="K111" s="236"/>
      <c r="L111" s="428"/>
      <c r="M111" s="11"/>
    </row>
    <row r="112" spans="1:13" x14ac:dyDescent="0.2">
      <c r="A112" s="21" t="s">
        <v>9</v>
      </c>
      <c r="B112" s="234"/>
      <c r="C112" s="145"/>
      <c r="D112" s="166"/>
      <c r="E112" s="27"/>
      <c r="F112" s="234"/>
      <c r="G112" s="145"/>
      <c r="H112" s="166"/>
      <c r="I112" s="27"/>
      <c r="J112" s="287"/>
      <c r="K112" s="44"/>
      <c r="L112" s="254"/>
      <c r="M112" s="27"/>
    </row>
    <row r="113" spans="1:14" x14ac:dyDescent="0.2">
      <c r="A113" s="21" t="s">
        <v>10</v>
      </c>
      <c r="B113" s="234"/>
      <c r="C113" s="145"/>
      <c r="D113" s="166"/>
      <c r="E113" s="27"/>
      <c r="F113" s="234"/>
      <c r="G113" s="145"/>
      <c r="H113" s="166"/>
      <c r="I113" s="27"/>
      <c r="J113" s="287"/>
      <c r="K113" s="44"/>
      <c r="L113" s="254"/>
      <c r="M113" s="27"/>
    </row>
    <row r="114" spans="1:14" x14ac:dyDescent="0.2">
      <c r="A114" s="21" t="s">
        <v>26</v>
      </c>
      <c r="B114" s="234"/>
      <c r="C114" s="145"/>
      <c r="D114" s="166"/>
      <c r="E114" s="27"/>
      <c r="F114" s="234"/>
      <c r="G114" s="145"/>
      <c r="H114" s="166"/>
      <c r="I114" s="27"/>
      <c r="J114" s="287"/>
      <c r="K114" s="44"/>
      <c r="L114" s="254"/>
      <c r="M114" s="27"/>
    </row>
    <row r="115" spans="1:14" x14ac:dyDescent="0.2">
      <c r="A115" s="296" t="s">
        <v>15</v>
      </c>
      <c r="B115" s="294"/>
      <c r="C115" s="295"/>
      <c r="D115" s="166"/>
      <c r="E115" s="417"/>
      <c r="F115" s="294"/>
      <c r="G115" s="295"/>
      <c r="H115" s="166"/>
      <c r="I115" s="417"/>
      <c r="J115" s="294"/>
      <c r="K115" s="295"/>
      <c r="L115" s="166"/>
      <c r="M115" s="23"/>
    </row>
    <row r="116" spans="1:14" ht="15.75" x14ac:dyDescent="0.2">
      <c r="A116" s="21" t="s">
        <v>387</v>
      </c>
      <c r="B116" s="234"/>
      <c r="C116" s="234"/>
      <c r="D116" s="166"/>
      <c r="E116" s="27"/>
      <c r="F116" s="234"/>
      <c r="G116" s="234"/>
      <c r="H116" s="166"/>
      <c r="I116" s="27"/>
      <c r="J116" s="287"/>
      <c r="K116" s="44"/>
      <c r="L116" s="254"/>
      <c r="M116" s="27"/>
    </row>
    <row r="117" spans="1:14" ht="15.75" x14ac:dyDescent="0.2">
      <c r="A117" s="21" t="s">
        <v>388</v>
      </c>
      <c r="B117" s="234"/>
      <c r="C117" s="234"/>
      <c r="D117" s="166"/>
      <c r="E117" s="27"/>
      <c r="F117" s="234"/>
      <c r="G117" s="234"/>
      <c r="H117" s="166"/>
      <c r="I117" s="27"/>
      <c r="J117" s="287"/>
      <c r="K117" s="44"/>
      <c r="L117" s="254"/>
      <c r="M117" s="27"/>
    </row>
    <row r="118" spans="1:14" ht="15.75" x14ac:dyDescent="0.2">
      <c r="A118" s="21" t="s">
        <v>386</v>
      </c>
      <c r="B118" s="234"/>
      <c r="C118" s="234"/>
      <c r="D118" s="166"/>
      <c r="E118" s="27"/>
      <c r="F118" s="234"/>
      <c r="G118" s="234"/>
      <c r="H118" s="166"/>
      <c r="I118" s="27"/>
      <c r="J118" s="287"/>
      <c r="K118" s="44"/>
      <c r="L118" s="254"/>
      <c r="M118" s="27"/>
    </row>
    <row r="119" spans="1:14" ht="15.75" x14ac:dyDescent="0.2">
      <c r="A119" s="13" t="s">
        <v>367</v>
      </c>
      <c r="B119" s="308"/>
      <c r="C119" s="159"/>
      <c r="D119" s="171"/>
      <c r="E119" s="11"/>
      <c r="F119" s="308"/>
      <c r="G119" s="159"/>
      <c r="H119" s="171"/>
      <c r="I119" s="11"/>
      <c r="J119" s="309"/>
      <c r="K119" s="236"/>
      <c r="L119" s="428"/>
      <c r="M119" s="11"/>
    </row>
    <row r="120" spans="1:14" x14ac:dyDescent="0.2">
      <c r="A120" s="21" t="s">
        <v>9</v>
      </c>
      <c r="B120" s="234"/>
      <c r="C120" s="145"/>
      <c r="D120" s="166"/>
      <c r="E120" s="27"/>
      <c r="F120" s="234"/>
      <c r="G120" s="145"/>
      <c r="H120" s="166"/>
      <c r="I120" s="27"/>
      <c r="J120" s="287"/>
      <c r="K120" s="44"/>
      <c r="L120" s="254"/>
      <c r="M120" s="27"/>
    </row>
    <row r="121" spans="1:14" x14ac:dyDescent="0.2">
      <c r="A121" s="21" t="s">
        <v>10</v>
      </c>
      <c r="B121" s="234"/>
      <c r="C121" s="145"/>
      <c r="D121" s="166"/>
      <c r="E121" s="27"/>
      <c r="F121" s="234"/>
      <c r="G121" s="145"/>
      <c r="H121" s="166"/>
      <c r="I121" s="27"/>
      <c r="J121" s="287"/>
      <c r="K121" s="44"/>
      <c r="L121" s="254"/>
      <c r="M121" s="27"/>
    </row>
    <row r="122" spans="1:14" x14ac:dyDescent="0.2">
      <c r="A122" s="21" t="s">
        <v>26</v>
      </c>
      <c r="B122" s="234"/>
      <c r="C122" s="145"/>
      <c r="D122" s="166"/>
      <c r="E122" s="27"/>
      <c r="F122" s="234"/>
      <c r="G122" s="145"/>
      <c r="H122" s="166"/>
      <c r="I122" s="27"/>
      <c r="J122" s="287"/>
      <c r="K122" s="44"/>
      <c r="L122" s="254"/>
      <c r="M122" s="27"/>
    </row>
    <row r="123" spans="1:14" x14ac:dyDescent="0.2">
      <c r="A123" s="296" t="s">
        <v>14</v>
      </c>
      <c r="B123" s="294"/>
      <c r="C123" s="295"/>
      <c r="D123" s="166"/>
      <c r="E123" s="417"/>
      <c r="F123" s="294"/>
      <c r="G123" s="295"/>
      <c r="H123" s="166"/>
      <c r="I123" s="417"/>
      <c r="J123" s="294"/>
      <c r="K123" s="295"/>
      <c r="L123" s="166"/>
      <c r="M123" s="23"/>
    </row>
    <row r="124" spans="1:14" ht="15.75" x14ac:dyDescent="0.2">
      <c r="A124" s="21" t="s">
        <v>393</v>
      </c>
      <c r="B124" s="234"/>
      <c r="C124" s="234"/>
      <c r="D124" s="166"/>
      <c r="E124" s="27"/>
      <c r="F124" s="234"/>
      <c r="G124" s="234"/>
      <c r="H124" s="166"/>
      <c r="I124" s="27"/>
      <c r="J124" s="287"/>
      <c r="K124" s="44"/>
      <c r="L124" s="254"/>
      <c r="M124" s="27"/>
    </row>
    <row r="125" spans="1:14" ht="15.75" x14ac:dyDescent="0.2">
      <c r="A125" s="21" t="s">
        <v>385</v>
      </c>
      <c r="B125" s="234"/>
      <c r="C125" s="234"/>
      <c r="D125" s="166"/>
      <c r="E125" s="27"/>
      <c r="F125" s="234"/>
      <c r="G125" s="234"/>
      <c r="H125" s="166"/>
      <c r="I125" s="27"/>
      <c r="J125" s="287"/>
      <c r="K125" s="44"/>
      <c r="L125" s="254"/>
      <c r="M125" s="27"/>
    </row>
    <row r="126" spans="1:14" ht="15.75" x14ac:dyDescent="0.2">
      <c r="A126" s="10" t="s">
        <v>386</v>
      </c>
      <c r="B126" s="45"/>
      <c r="C126" s="45"/>
      <c r="D126" s="167"/>
      <c r="E126" s="418"/>
      <c r="F126" s="45"/>
      <c r="G126" s="45"/>
      <c r="H126" s="167"/>
      <c r="I126" s="22"/>
      <c r="J126" s="288"/>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35"/>
      <c r="C130" s="735"/>
      <c r="D130" s="735"/>
      <c r="E130" s="299"/>
      <c r="F130" s="735"/>
      <c r="G130" s="735"/>
      <c r="H130" s="735"/>
      <c r="I130" s="299"/>
      <c r="J130" s="735"/>
      <c r="K130" s="735"/>
      <c r="L130" s="735"/>
      <c r="M130" s="299"/>
    </row>
    <row r="131" spans="1:14" s="3" customFormat="1" x14ac:dyDescent="0.2">
      <c r="A131" s="144"/>
      <c r="B131" s="733" t="s">
        <v>0</v>
      </c>
      <c r="C131" s="734"/>
      <c r="D131" s="734"/>
      <c r="E131" s="301"/>
      <c r="F131" s="733" t="s">
        <v>1</v>
      </c>
      <c r="G131" s="734"/>
      <c r="H131" s="734"/>
      <c r="I131" s="304"/>
      <c r="J131" s="733" t="s">
        <v>2</v>
      </c>
      <c r="K131" s="734"/>
      <c r="L131" s="734"/>
      <c r="M131" s="304"/>
      <c r="N131" s="148"/>
    </row>
    <row r="132" spans="1:14" s="3" customFormat="1" x14ac:dyDescent="0.2">
      <c r="A132" s="140"/>
      <c r="B132" s="152" t="s">
        <v>421</v>
      </c>
      <c r="C132" s="152" t="s">
        <v>422</v>
      </c>
      <c r="D132" s="245" t="s">
        <v>3</v>
      </c>
      <c r="E132" s="305" t="s">
        <v>29</v>
      </c>
      <c r="F132" s="152" t="s">
        <v>421</v>
      </c>
      <c r="G132" s="152" t="s">
        <v>422</v>
      </c>
      <c r="H132" s="206" t="s">
        <v>3</v>
      </c>
      <c r="I132" s="162" t="s">
        <v>29</v>
      </c>
      <c r="J132" s="152" t="s">
        <v>421</v>
      </c>
      <c r="K132" s="152" t="s">
        <v>422</v>
      </c>
      <c r="L132" s="246" t="s">
        <v>3</v>
      </c>
      <c r="M132" s="162" t="s">
        <v>29</v>
      </c>
      <c r="N132" s="148"/>
    </row>
    <row r="133" spans="1:14" s="3" customFormat="1" x14ac:dyDescent="0.2">
      <c r="A133" s="708"/>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389</v>
      </c>
      <c r="B134" s="236"/>
      <c r="C134" s="309"/>
      <c r="D134" s="350"/>
      <c r="E134" s="11"/>
      <c r="F134" s="316"/>
      <c r="G134" s="317"/>
      <c r="H134" s="431"/>
      <c r="I134" s="24"/>
      <c r="J134" s="318"/>
      <c r="K134" s="318"/>
      <c r="L134" s="427"/>
      <c r="M134" s="11"/>
      <c r="N134" s="148"/>
    </row>
    <row r="135" spans="1:14" s="3" customFormat="1" ht="15.75" x14ac:dyDescent="0.2">
      <c r="A135" s="13" t="s">
        <v>394</v>
      </c>
      <c r="B135" s="236"/>
      <c r="C135" s="309"/>
      <c r="D135" s="171"/>
      <c r="E135" s="11"/>
      <c r="F135" s="236"/>
      <c r="G135" s="309"/>
      <c r="H135" s="432"/>
      <c r="I135" s="24"/>
      <c r="J135" s="308"/>
      <c r="K135" s="308"/>
      <c r="L135" s="428"/>
      <c r="M135" s="11"/>
      <c r="N135" s="148"/>
    </row>
    <row r="136" spans="1:14" s="3" customFormat="1" ht="15.75" x14ac:dyDescent="0.2">
      <c r="A136" s="13" t="s">
        <v>391</v>
      </c>
      <c r="B136" s="236"/>
      <c r="C136" s="309"/>
      <c r="D136" s="171"/>
      <c r="E136" s="11"/>
      <c r="F136" s="236"/>
      <c r="G136" s="309"/>
      <c r="H136" s="432"/>
      <c r="I136" s="24"/>
      <c r="J136" s="308"/>
      <c r="K136" s="308"/>
      <c r="L136" s="428"/>
      <c r="M136" s="11"/>
      <c r="N136" s="148"/>
    </row>
    <row r="137" spans="1:14" s="3" customFormat="1" ht="15.75" x14ac:dyDescent="0.2">
      <c r="A137" s="41" t="s">
        <v>392</v>
      </c>
      <c r="B137" s="276"/>
      <c r="C137" s="315"/>
      <c r="D137" s="169"/>
      <c r="E137" s="9"/>
      <c r="F137" s="276"/>
      <c r="G137" s="315"/>
      <c r="H137" s="433"/>
      <c r="I137" s="36"/>
      <c r="J137" s="314"/>
      <c r="K137" s="314"/>
      <c r="L137" s="429"/>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244" priority="132">
      <formula>kvartal &lt; 4</formula>
    </cfRule>
  </conditionalFormatting>
  <conditionalFormatting sqref="A50:A52">
    <cfRule type="expression" dxfId="243" priority="12">
      <formula>kvartal &lt; 4</formula>
    </cfRule>
  </conditionalFormatting>
  <conditionalFormatting sqref="A69:A74">
    <cfRule type="expression" dxfId="242" priority="10">
      <formula>kvartal &lt; 4</formula>
    </cfRule>
  </conditionalFormatting>
  <conditionalFormatting sqref="A80:A85">
    <cfRule type="expression" dxfId="241" priority="9">
      <formula>kvartal &lt; 4</formula>
    </cfRule>
  </conditionalFormatting>
  <conditionalFormatting sqref="A90:A95">
    <cfRule type="expression" dxfId="240" priority="6">
      <formula>kvartal &lt; 4</formula>
    </cfRule>
  </conditionalFormatting>
  <conditionalFormatting sqref="A101:A106">
    <cfRule type="expression" dxfId="239" priority="5">
      <formula>kvartal &lt; 4</formula>
    </cfRule>
  </conditionalFormatting>
  <conditionalFormatting sqref="A115">
    <cfRule type="expression" dxfId="238" priority="4">
      <formula>kvartal &lt; 4</formula>
    </cfRule>
  </conditionalFormatting>
  <conditionalFormatting sqref="A123">
    <cfRule type="expression" dxfId="237" priority="3">
      <formula>kvartal &lt; 4</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dimension ref="A1:Q176"/>
  <sheetViews>
    <sheetView showGridLines="0" showZeros="0" zoomScale="90" zoomScaleNormal="90" workbookViewId="0">
      <selection activeCell="A4" sqref="A4"/>
    </sheetView>
  </sheetViews>
  <sheetFormatPr baseColWidth="10" defaultColWidth="11.42578125" defaultRowHeight="18.75" x14ac:dyDescent="0.3"/>
  <cols>
    <col min="10" max="11" width="16.7109375" customWidth="1"/>
    <col min="12" max="12" width="20.7109375" style="74" customWidth="1"/>
    <col min="13" max="14" width="15.85546875" style="74" bestFit="1" customWidth="1"/>
    <col min="15" max="15" width="22.85546875" customWidth="1"/>
    <col min="16" max="16" width="13.42578125" customWidth="1"/>
    <col min="17" max="17" width="13.85546875" customWidth="1"/>
  </cols>
  <sheetData>
    <row r="1" spans="1:15" x14ac:dyDescent="0.3">
      <c r="A1" s="73" t="s">
        <v>52</v>
      </c>
    </row>
    <row r="2" spans="1:15" x14ac:dyDescent="0.3">
      <c r="A2" s="75"/>
      <c r="B2" s="74"/>
      <c r="C2" s="74"/>
      <c r="D2" s="74"/>
      <c r="E2" s="74"/>
      <c r="F2" s="74"/>
      <c r="G2" s="74"/>
      <c r="H2" s="74"/>
      <c r="I2" s="74"/>
      <c r="J2" s="74"/>
      <c r="K2" s="74"/>
      <c r="O2" s="74"/>
    </row>
    <row r="3" spans="1:15" x14ac:dyDescent="0.3">
      <c r="A3" s="75" t="s">
        <v>32</v>
      </c>
      <c r="B3" s="74"/>
      <c r="C3" s="74"/>
      <c r="D3" s="74"/>
      <c r="E3" s="74"/>
      <c r="F3" s="74"/>
      <c r="G3" s="74"/>
      <c r="H3" s="74"/>
      <c r="I3" s="74"/>
      <c r="J3" s="74"/>
      <c r="K3" s="74"/>
      <c r="O3" s="74"/>
    </row>
    <row r="4" spans="1:15" x14ac:dyDescent="0.3">
      <c r="A4" s="74"/>
      <c r="B4" s="74"/>
      <c r="C4" s="74"/>
      <c r="D4" s="74"/>
      <c r="E4" s="74"/>
      <c r="F4" s="74"/>
      <c r="G4" s="74"/>
      <c r="H4" s="74"/>
      <c r="I4" s="74"/>
      <c r="J4" s="74"/>
      <c r="K4" s="74"/>
      <c r="L4" s="76"/>
      <c r="O4" s="74"/>
    </row>
    <row r="5" spans="1:15" x14ac:dyDescent="0.3">
      <c r="A5" s="75" t="s">
        <v>425</v>
      </c>
      <c r="B5" s="74"/>
      <c r="C5" s="74"/>
      <c r="D5" s="74"/>
      <c r="E5" s="74"/>
      <c r="F5" s="74"/>
      <c r="G5" s="74"/>
      <c r="H5" s="74"/>
      <c r="I5" s="79"/>
      <c r="J5" s="74"/>
      <c r="K5" s="74"/>
      <c r="O5" s="74"/>
    </row>
    <row r="6" spans="1:15" x14ac:dyDescent="0.3">
      <c r="A6" s="74"/>
      <c r="B6" s="74"/>
      <c r="C6" s="74"/>
      <c r="D6" s="74"/>
      <c r="E6" s="74"/>
      <c r="F6" s="74"/>
      <c r="G6" s="74"/>
      <c r="H6" s="74"/>
      <c r="I6" s="74"/>
      <c r="J6" s="74"/>
      <c r="K6" s="74"/>
      <c r="L6" s="74" t="s">
        <v>53</v>
      </c>
      <c r="O6" s="74"/>
    </row>
    <row r="7" spans="1:15" x14ac:dyDescent="0.3">
      <c r="A7" s="74"/>
      <c r="B7" s="74"/>
      <c r="C7" s="74"/>
      <c r="D7" s="74"/>
      <c r="E7" s="74"/>
      <c r="F7" s="74"/>
      <c r="G7" s="74"/>
      <c r="H7" s="74"/>
      <c r="I7" s="74"/>
      <c r="J7" s="74"/>
      <c r="K7" s="74"/>
      <c r="L7" s="74" t="s">
        <v>0</v>
      </c>
      <c r="O7" s="74"/>
    </row>
    <row r="8" spans="1:15" x14ac:dyDescent="0.3">
      <c r="A8" s="74"/>
      <c r="B8" s="74"/>
      <c r="C8" s="74"/>
      <c r="D8" s="74"/>
      <c r="E8" s="74"/>
      <c r="F8" s="74"/>
      <c r="G8" s="74"/>
      <c r="H8" s="74"/>
      <c r="I8" s="74"/>
      <c r="J8" s="74"/>
      <c r="K8" s="74"/>
      <c r="M8" s="74">
        <v>2019</v>
      </c>
      <c r="N8" s="74">
        <v>2020</v>
      </c>
      <c r="O8" s="74"/>
    </row>
    <row r="9" spans="1:15" x14ac:dyDescent="0.3">
      <c r="A9" s="74"/>
      <c r="B9" s="74"/>
      <c r="C9" s="74"/>
      <c r="D9" s="74"/>
      <c r="E9" s="74"/>
      <c r="F9" s="74"/>
      <c r="G9" s="74"/>
      <c r="H9" s="74"/>
      <c r="I9" s="74"/>
      <c r="J9" s="74"/>
      <c r="K9" s="74"/>
      <c r="L9" s="74" t="s">
        <v>54</v>
      </c>
      <c r="M9" s="77">
        <f>'Tabel 1.1'!B9</f>
        <v>317604.17099999997</v>
      </c>
      <c r="N9" s="77">
        <f>'Tabel 1.1'!C9</f>
        <v>322886.59299999999</v>
      </c>
      <c r="O9" s="74"/>
    </row>
    <row r="10" spans="1:15" x14ac:dyDescent="0.3">
      <c r="A10" s="74"/>
      <c r="B10" s="74"/>
      <c r="C10" s="74"/>
      <c r="D10" s="74"/>
      <c r="E10" s="74"/>
      <c r="F10" s="74"/>
      <c r="G10" s="74"/>
      <c r="H10" s="74"/>
      <c r="I10" s="74"/>
      <c r="J10" s="74"/>
      <c r="K10" s="74"/>
      <c r="L10" s="79" t="s">
        <v>427</v>
      </c>
      <c r="M10" s="77">
        <f>'Tabel 1.1'!B10</f>
        <v>74207</v>
      </c>
      <c r="N10" s="77">
        <f>'Tabel 1.1'!C10</f>
        <v>74436</v>
      </c>
      <c r="O10" s="74"/>
    </row>
    <row r="11" spans="1:15" x14ac:dyDescent="0.3">
      <c r="A11" s="74"/>
      <c r="B11" s="74"/>
      <c r="C11" s="74"/>
      <c r="D11" s="74"/>
      <c r="E11" s="74"/>
      <c r="F11" s="74"/>
      <c r="G11" s="74"/>
      <c r="H11" s="74"/>
      <c r="I11" s="74"/>
      <c r="J11" s="74"/>
      <c r="K11" s="74"/>
      <c r="L11" s="74" t="s">
        <v>55</v>
      </c>
      <c r="M11" s="77">
        <f>'Tabel 1.1'!B11</f>
        <v>3715260.49223</v>
      </c>
      <c r="N11" s="77">
        <f>'Tabel 1.1'!C11</f>
        <v>2544846.8470000001</v>
      </c>
      <c r="O11" s="74"/>
    </row>
    <row r="12" spans="1:15" x14ac:dyDescent="0.3">
      <c r="A12" s="74"/>
      <c r="B12" s="74"/>
      <c r="C12" s="74"/>
      <c r="D12" s="74"/>
      <c r="E12" s="74"/>
      <c r="F12" s="74"/>
      <c r="G12" s="74"/>
      <c r="H12" s="74"/>
      <c r="I12" s="74"/>
      <c r="J12" s="74"/>
      <c r="K12" s="74"/>
      <c r="L12" s="74" t="s">
        <v>56</v>
      </c>
      <c r="M12" s="77">
        <f>'Tabel 1.1'!B12</f>
        <v>252371</v>
      </c>
      <c r="N12" s="77">
        <f>'Tabel 1.1'!C12</f>
        <v>269700</v>
      </c>
      <c r="O12" s="74"/>
    </row>
    <row r="13" spans="1:15" x14ac:dyDescent="0.3">
      <c r="A13" s="74"/>
      <c r="B13" s="74"/>
      <c r="C13" s="74"/>
      <c r="D13" s="74"/>
      <c r="E13" s="74"/>
      <c r="F13" s="74"/>
      <c r="G13" s="74"/>
      <c r="H13" s="74"/>
      <c r="I13" s="74"/>
      <c r="J13" s="74"/>
      <c r="K13" s="74"/>
      <c r="L13" s="79" t="s">
        <v>405</v>
      </c>
      <c r="M13" s="77">
        <f>'Tabel 1.1'!B13</f>
        <v>0</v>
      </c>
      <c r="N13" s="77">
        <f>'Tabel 1.1'!C13</f>
        <v>2205150</v>
      </c>
      <c r="O13" s="74"/>
    </row>
    <row r="14" spans="1:15" x14ac:dyDescent="0.3">
      <c r="A14" s="74"/>
      <c r="B14" s="74"/>
      <c r="C14" s="74"/>
      <c r="D14" s="74"/>
      <c r="E14" s="74"/>
      <c r="F14" s="74"/>
      <c r="G14" s="74"/>
      <c r="H14" s="74"/>
      <c r="I14" s="74"/>
      <c r="J14" s="74"/>
      <c r="K14" s="74"/>
      <c r="L14" s="74" t="s">
        <v>57</v>
      </c>
      <c r="M14" s="77">
        <f>'Tabel 1.1'!B14</f>
        <v>491735</v>
      </c>
      <c r="N14" s="77">
        <f>'Tabel 1.1'!C14</f>
        <v>504078</v>
      </c>
      <c r="O14" s="74"/>
    </row>
    <row r="15" spans="1:15" x14ac:dyDescent="0.3">
      <c r="A15" s="74"/>
      <c r="B15" s="74"/>
      <c r="C15" s="74"/>
      <c r="D15" s="74"/>
      <c r="E15" s="74"/>
      <c r="F15" s="74"/>
      <c r="G15" s="74"/>
      <c r="H15" s="74"/>
      <c r="I15" s="74"/>
      <c r="J15" s="74"/>
      <c r="K15" s="74"/>
      <c r="L15" s="74" t="s">
        <v>58</v>
      </c>
      <c r="M15" s="77">
        <f>'Tabel 1.1'!B15</f>
        <v>6362.2570000000096</v>
      </c>
      <c r="N15" s="77">
        <f>'Tabel 1.1'!C15</f>
        <v>3713.2633999999998</v>
      </c>
      <c r="O15" s="74"/>
    </row>
    <row r="16" spans="1:15" x14ac:dyDescent="0.3">
      <c r="A16" s="74"/>
      <c r="B16" s="74"/>
      <c r="C16" s="74"/>
      <c r="D16" s="74"/>
      <c r="E16" s="74"/>
      <c r="F16" s="74"/>
      <c r="G16" s="74"/>
      <c r="H16" s="74"/>
      <c r="I16" s="74"/>
      <c r="J16" s="74"/>
      <c r="K16" s="74"/>
      <c r="L16" s="74" t="s">
        <v>59</v>
      </c>
      <c r="M16" s="77">
        <f>'Tabel 1.1'!B16</f>
        <v>1365659</v>
      </c>
      <c r="N16" s="77">
        <f>'Tabel 1.1'!C16</f>
        <v>1445145</v>
      </c>
      <c r="O16" s="74"/>
    </row>
    <row r="17" spans="1:15" x14ac:dyDescent="0.3">
      <c r="A17" s="74"/>
      <c r="B17" s="74"/>
      <c r="C17" s="74"/>
      <c r="D17" s="74"/>
      <c r="E17" s="74"/>
      <c r="F17" s="74"/>
      <c r="G17" s="74"/>
      <c r="H17" s="74"/>
      <c r="I17" s="74"/>
      <c r="J17" s="74"/>
      <c r="K17" s="74"/>
      <c r="L17" s="74" t="s">
        <v>60</v>
      </c>
      <c r="M17" s="77">
        <f>'Tabel 1.1'!B17</f>
        <v>495734</v>
      </c>
      <c r="N17" s="77">
        <f>'Tabel 1.1'!C17</f>
        <v>508839</v>
      </c>
      <c r="O17" s="74"/>
    </row>
    <row r="18" spans="1:15" x14ac:dyDescent="0.3">
      <c r="A18" s="74"/>
      <c r="B18" s="74"/>
      <c r="C18" s="74"/>
      <c r="D18" s="74"/>
      <c r="E18" s="74"/>
      <c r="F18" s="74"/>
      <c r="G18" s="74"/>
      <c r="H18" s="74"/>
      <c r="I18" s="74"/>
      <c r="J18" s="74"/>
      <c r="K18" s="74"/>
      <c r="L18" s="74" t="s">
        <v>61</v>
      </c>
      <c r="M18" s="77">
        <f>'Tabel 1.1'!B18</f>
        <v>26625.80341</v>
      </c>
      <c r="N18" s="77">
        <f>'Tabel 1.1'!C18</f>
        <v>26171.04192</v>
      </c>
      <c r="O18" s="74"/>
    </row>
    <row r="19" spans="1:15" x14ac:dyDescent="0.3">
      <c r="A19" s="74"/>
      <c r="B19" s="74"/>
      <c r="C19" s="74"/>
      <c r="D19" s="74"/>
      <c r="E19" s="74"/>
      <c r="F19" s="74"/>
      <c r="G19" s="74"/>
      <c r="H19" s="74"/>
      <c r="I19" s="74"/>
      <c r="J19" s="74"/>
      <c r="K19" s="74"/>
      <c r="L19" s="74" t="s">
        <v>62</v>
      </c>
      <c r="M19" s="77">
        <f>'Tabel 1.1'!B19</f>
        <v>368992.59400000004</v>
      </c>
      <c r="N19" s="77">
        <f>'Tabel 1.1'!C19</f>
        <v>396241.54700000002</v>
      </c>
      <c r="O19" s="74"/>
    </row>
    <row r="20" spans="1:15" x14ac:dyDescent="0.3">
      <c r="A20" s="74"/>
      <c r="B20" s="74"/>
      <c r="C20" s="74"/>
      <c r="D20" s="74"/>
      <c r="E20" s="74"/>
      <c r="F20" s="74"/>
      <c r="G20" s="74"/>
      <c r="H20" s="74"/>
      <c r="I20" s="74"/>
      <c r="J20" s="74"/>
      <c r="K20" s="74"/>
      <c r="L20" s="74" t="s">
        <v>63</v>
      </c>
      <c r="M20" s="77">
        <f>'Tabel 1.1'!B21</f>
        <v>32032545.142410003</v>
      </c>
      <c r="N20" s="77">
        <f>'Tabel 1.1'!C21</f>
        <v>26170501.342770003</v>
      </c>
      <c r="O20" s="74"/>
    </row>
    <row r="21" spans="1:15" x14ac:dyDescent="0.3">
      <c r="A21" s="74"/>
      <c r="B21" s="74"/>
      <c r="C21" s="74"/>
      <c r="D21" s="74"/>
      <c r="E21" s="74"/>
      <c r="F21" s="74"/>
      <c r="G21" s="74"/>
      <c r="H21" s="74"/>
      <c r="I21" s="74"/>
      <c r="J21" s="74"/>
      <c r="K21" s="74"/>
      <c r="L21" s="74" t="s">
        <v>64</v>
      </c>
      <c r="M21" s="77">
        <f>'Tabel 1.1'!B22</f>
        <v>163742.53900000002</v>
      </c>
      <c r="N21" s="77">
        <f>'Tabel 1.1'!C22</f>
        <v>185388.55200000003</v>
      </c>
      <c r="O21" s="74"/>
    </row>
    <row r="22" spans="1:15" x14ac:dyDescent="0.3">
      <c r="A22" s="74"/>
      <c r="B22" s="74"/>
      <c r="C22" s="74"/>
      <c r="D22" s="74"/>
      <c r="E22" s="74"/>
      <c r="F22" s="74"/>
      <c r="G22" s="74"/>
      <c r="H22" s="74"/>
      <c r="I22" s="74"/>
      <c r="J22" s="74"/>
      <c r="K22" s="74"/>
      <c r="L22" s="74" t="s">
        <v>406</v>
      </c>
      <c r="M22" s="77">
        <f>'Tabel 1.1'!B23</f>
        <v>28648</v>
      </c>
      <c r="N22" s="77">
        <f>'Tabel 1.1'!C23</f>
        <v>38656</v>
      </c>
      <c r="O22" s="74"/>
    </row>
    <row r="23" spans="1:15" x14ac:dyDescent="0.3">
      <c r="A23" s="74"/>
      <c r="B23" s="74"/>
      <c r="C23" s="74"/>
      <c r="D23" s="74"/>
      <c r="E23" s="74"/>
      <c r="F23" s="74"/>
      <c r="G23" s="74"/>
      <c r="H23" s="74"/>
      <c r="I23" s="74"/>
      <c r="J23" s="74"/>
      <c r="K23" s="74"/>
      <c r="L23" s="74" t="s">
        <v>407</v>
      </c>
      <c r="M23" s="77">
        <f>'Tabel 1.1'!B20</f>
        <v>12781.715</v>
      </c>
      <c r="N23" s="77">
        <f>'Tabel 1.1'!C20</f>
        <v>11145.35382794882</v>
      </c>
      <c r="O23" s="74"/>
    </row>
    <row r="24" spans="1:15" x14ac:dyDescent="0.3">
      <c r="A24" s="74"/>
      <c r="B24" s="74"/>
      <c r="C24" s="74"/>
      <c r="D24" s="74"/>
      <c r="E24" s="74"/>
      <c r="F24" s="74"/>
      <c r="G24" s="74"/>
      <c r="H24" s="74"/>
      <c r="I24" s="74"/>
      <c r="J24" s="74"/>
      <c r="K24" s="74"/>
      <c r="L24" s="74" t="s">
        <v>65</v>
      </c>
      <c r="M24" s="77">
        <f>'Tabel 1.1'!B24</f>
        <v>1234767.86646463</v>
      </c>
      <c r="N24" s="77">
        <f>'Tabel 1.1'!C24</f>
        <v>1190396.8958108251</v>
      </c>
      <c r="O24" s="74"/>
    </row>
    <row r="25" spans="1:15" x14ac:dyDescent="0.3">
      <c r="A25" s="74"/>
      <c r="B25" s="74"/>
      <c r="C25" s="74"/>
      <c r="D25" s="74"/>
      <c r="E25" s="74"/>
      <c r="F25" s="74"/>
      <c r="G25" s="74"/>
      <c r="H25" s="74"/>
      <c r="I25" s="74"/>
      <c r="J25" s="74"/>
      <c r="K25" s="74"/>
      <c r="L25" s="74" t="s">
        <v>66</v>
      </c>
      <c r="M25" s="77">
        <f>'Tabel 1.1'!B25</f>
        <v>4463574</v>
      </c>
      <c r="N25" s="77">
        <f>'Tabel 1.1'!C25</f>
        <v>2473460</v>
      </c>
      <c r="O25" s="74"/>
    </row>
    <row r="26" spans="1:15" s="141" customFormat="1" x14ac:dyDescent="0.3">
      <c r="A26" s="74"/>
      <c r="B26" s="74"/>
      <c r="C26" s="74"/>
      <c r="D26" s="74"/>
      <c r="E26" s="74"/>
      <c r="F26" s="74"/>
      <c r="G26" s="74"/>
      <c r="H26" s="74"/>
      <c r="I26" s="74"/>
      <c r="J26" s="74"/>
      <c r="K26" s="74"/>
      <c r="L26" s="74" t="s">
        <v>396</v>
      </c>
      <c r="M26" s="77">
        <f>'Tabel 1.1'!B26</f>
        <v>298592.88391241134</v>
      </c>
      <c r="N26" s="77">
        <f>'Tabel 1.1'!C26</f>
        <v>287049.49045636802</v>
      </c>
      <c r="O26" s="74"/>
    </row>
    <row r="27" spans="1:15" x14ac:dyDescent="0.3">
      <c r="A27" s="74"/>
      <c r="B27" s="74"/>
      <c r="C27" s="74"/>
      <c r="D27" s="74"/>
      <c r="E27" s="74"/>
      <c r="F27" s="74"/>
      <c r="G27" s="74"/>
      <c r="H27" s="74"/>
      <c r="I27" s="74"/>
      <c r="J27" s="74"/>
      <c r="K27" s="74"/>
      <c r="L27" s="74" t="s">
        <v>67</v>
      </c>
      <c r="M27" s="77">
        <f>'Tabel 1.1'!B27</f>
        <v>2285218.03632</v>
      </c>
      <c r="N27" s="77">
        <f>'Tabel 1.1'!C27</f>
        <v>566972.15151</v>
      </c>
      <c r="O27" s="74"/>
    </row>
    <row r="28" spans="1:15" x14ac:dyDescent="0.3">
      <c r="A28" s="74"/>
      <c r="B28" s="74"/>
      <c r="C28" s="74"/>
      <c r="D28" s="74"/>
      <c r="E28" s="74"/>
      <c r="F28" s="74"/>
      <c r="G28" s="74"/>
      <c r="H28" s="74"/>
      <c r="I28" s="74"/>
      <c r="J28" s="74"/>
      <c r="K28" s="74"/>
      <c r="L28" s="74" t="s">
        <v>68</v>
      </c>
      <c r="M28" s="77">
        <f>'Tabel 1.1'!B28</f>
        <v>4417928.83</v>
      </c>
      <c r="N28" s="77">
        <f>'Tabel 1.1'!C28</f>
        <v>4218437.4960000003</v>
      </c>
    </row>
    <row r="29" spans="1:15" x14ac:dyDescent="0.3">
      <c r="A29" s="74"/>
      <c r="B29" s="74"/>
      <c r="C29" s="74"/>
      <c r="D29" s="74"/>
      <c r="E29" s="74"/>
      <c r="F29" s="74"/>
      <c r="G29" s="74"/>
      <c r="H29" s="74"/>
      <c r="I29" s="74"/>
      <c r="J29" s="74"/>
      <c r="K29" s="74"/>
      <c r="L29" s="74" t="s">
        <v>69</v>
      </c>
      <c r="M29" s="77">
        <f>'Tabel 1.1'!B29</f>
        <v>0</v>
      </c>
      <c r="N29" s="77">
        <f>'Tabel 1.1'!C29</f>
        <v>0</v>
      </c>
    </row>
    <row r="30" spans="1:15" x14ac:dyDescent="0.3">
      <c r="A30" s="74"/>
      <c r="B30" s="74"/>
      <c r="C30" s="74"/>
      <c r="D30" s="74"/>
      <c r="E30" s="74"/>
      <c r="F30" s="74"/>
      <c r="G30" s="74"/>
      <c r="H30" s="74"/>
      <c r="I30" s="74"/>
      <c r="J30" s="74"/>
      <c r="K30" s="74"/>
      <c r="L30" s="74" t="s">
        <v>70</v>
      </c>
      <c r="M30" s="77">
        <f>'Tabel 1.1'!B30</f>
        <v>577343.84699999995</v>
      </c>
      <c r="N30" s="77">
        <f>'Tabel 1.1'!C30</f>
        <v>574050.93926000001</v>
      </c>
    </row>
    <row r="31" spans="1:15" x14ac:dyDescent="0.3">
      <c r="A31" s="75" t="s">
        <v>426</v>
      </c>
      <c r="B31" s="74"/>
      <c r="C31" s="74"/>
      <c r="D31" s="74"/>
      <c r="E31" s="74"/>
      <c r="F31" s="74"/>
      <c r="G31" s="74"/>
      <c r="H31" s="74"/>
      <c r="I31" s="79"/>
      <c r="J31" s="74"/>
      <c r="K31" s="74"/>
      <c r="L31" s="74" t="s">
        <v>415</v>
      </c>
      <c r="M31" s="77">
        <f>'Tabel 1.1'!B31</f>
        <v>0</v>
      </c>
      <c r="N31" s="77">
        <f>'Tabel 1.1'!C31</f>
        <v>1151</v>
      </c>
    </row>
    <row r="32" spans="1:15" x14ac:dyDescent="0.3">
      <c r="B32" s="74"/>
      <c r="C32" s="74"/>
      <c r="D32" s="74"/>
      <c r="E32" s="74"/>
      <c r="F32" s="74"/>
      <c r="G32" s="74"/>
      <c r="H32" s="74"/>
      <c r="I32" s="74"/>
      <c r="J32" s="74"/>
      <c r="K32" s="74"/>
      <c r="M32" s="77"/>
      <c r="N32" s="77"/>
    </row>
    <row r="33" spans="1:15" x14ac:dyDescent="0.3">
      <c r="B33" s="74"/>
      <c r="C33" s="74"/>
      <c r="D33" s="74"/>
      <c r="E33" s="74"/>
      <c r="F33" s="74"/>
      <c r="G33" s="74"/>
      <c r="H33" s="74"/>
      <c r="I33" s="74"/>
      <c r="J33" s="74"/>
      <c r="K33" s="74"/>
    </row>
    <row r="34" spans="1:15" x14ac:dyDescent="0.3">
      <c r="A34" s="74"/>
      <c r="B34" s="74"/>
      <c r="C34" s="74"/>
      <c r="D34" s="74"/>
      <c r="E34" s="74"/>
      <c r="F34" s="74"/>
      <c r="G34" s="74"/>
      <c r="H34" s="74"/>
      <c r="I34" s="74"/>
      <c r="J34" s="74"/>
      <c r="K34" s="74"/>
    </row>
    <row r="35" spans="1:15" x14ac:dyDescent="0.3">
      <c r="A35" s="74"/>
      <c r="B35" s="74"/>
      <c r="C35" s="74"/>
      <c r="D35" s="74"/>
      <c r="E35" s="74"/>
      <c r="F35" s="74"/>
      <c r="G35" s="74"/>
      <c r="H35" s="74"/>
      <c r="I35" s="74"/>
      <c r="J35" s="74"/>
      <c r="K35" s="74"/>
      <c r="L35" s="74" t="s">
        <v>53</v>
      </c>
    </row>
    <row r="36" spans="1:15" x14ac:dyDescent="0.3">
      <c r="A36" s="74"/>
      <c r="B36" s="74"/>
      <c r="C36" s="74"/>
      <c r="D36" s="74"/>
      <c r="E36" s="74"/>
      <c r="F36" s="74"/>
      <c r="G36" s="74"/>
      <c r="H36" s="74"/>
      <c r="I36" s="74"/>
      <c r="J36" s="74"/>
      <c r="K36" s="74"/>
      <c r="L36" s="74" t="s">
        <v>1</v>
      </c>
    </row>
    <row r="37" spans="1:15" x14ac:dyDescent="0.3">
      <c r="A37" s="74"/>
      <c r="B37" s="74"/>
      <c r="C37" s="74"/>
      <c r="D37" s="74"/>
      <c r="E37" s="74"/>
      <c r="F37" s="74"/>
      <c r="G37" s="74"/>
      <c r="H37" s="74"/>
      <c r="I37" s="74"/>
      <c r="J37" s="74"/>
      <c r="K37" s="74"/>
      <c r="M37" s="74">
        <f>M8</f>
        <v>2019</v>
      </c>
      <c r="N37" s="74">
        <f>N8</f>
        <v>2020</v>
      </c>
    </row>
    <row r="38" spans="1:15" x14ac:dyDescent="0.3">
      <c r="A38" s="74"/>
      <c r="B38" s="74"/>
      <c r="C38" s="74"/>
      <c r="D38" s="74"/>
      <c r="E38" s="74"/>
      <c r="F38" s="74"/>
      <c r="G38" s="74"/>
      <c r="H38" s="74"/>
      <c r="I38" s="74"/>
      <c r="J38" s="74"/>
      <c r="K38" s="74"/>
      <c r="L38" s="79" t="s">
        <v>54</v>
      </c>
      <c r="M38" s="78">
        <f>'Tabel 1.1'!B35</f>
        <v>1462527.3599999999</v>
      </c>
      <c r="N38" s="78">
        <f>'Tabel 1.1'!C35</f>
        <v>1560697.9480000001</v>
      </c>
    </row>
    <row r="39" spans="1:15" x14ac:dyDescent="0.3">
      <c r="A39" s="74"/>
      <c r="B39" s="74"/>
      <c r="C39" s="74"/>
      <c r="D39" s="74"/>
      <c r="E39" s="74"/>
      <c r="F39" s="74"/>
      <c r="G39" s="74"/>
      <c r="H39" s="74"/>
      <c r="I39" s="74"/>
      <c r="J39" s="74"/>
      <c r="K39" s="74"/>
      <c r="L39" s="79" t="s">
        <v>427</v>
      </c>
      <c r="M39" s="78">
        <f>'Tabel 1.1'!B36</f>
        <v>401210</v>
      </c>
      <c r="N39" s="78">
        <f>'Tabel 1.1'!C36</f>
        <v>471105</v>
      </c>
    </row>
    <row r="40" spans="1:15" x14ac:dyDescent="0.3">
      <c r="A40" s="74"/>
      <c r="B40" s="74"/>
      <c r="C40" s="74"/>
      <c r="D40" s="74"/>
      <c r="E40" s="74"/>
      <c r="F40" s="74"/>
      <c r="G40" s="74"/>
      <c r="H40" s="74"/>
      <c r="I40" s="74"/>
      <c r="J40" s="74"/>
      <c r="K40" s="74"/>
      <c r="L40" s="74" t="s">
        <v>55</v>
      </c>
      <c r="M40" s="78">
        <f>'Tabel 1.1'!B37</f>
        <v>7274914.4699999997</v>
      </c>
      <c r="N40" s="78">
        <f>'Tabel 1.1'!C37</f>
        <v>7401471.0010000002</v>
      </c>
    </row>
    <row r="41" spans="1:15" x14ac:dyDescent="0.3">
      <c r="A41" s="74"/>
      <c r="B41" s="74"/>
      <c r="C41" s="74"/>
      <c r="D41" s="74"/>
      <c r="E41" s="74"/>
      <c r="F41" s="74"/>
      <c r="G41" s="74"/>
      <c r="H41" s="74"/>
      <c r="I41" s="74"/>
      <c r="J41" s="74"/>
      <c r="K41" s="74"/>
      <c r="L41" s="74" t="s">
        <v>57</v>
      </c>
      <c r="M41" s="78">
        <f>'Tabel 1.1'!B38</f>
        <v>301589</v>
      </c>
      <c r="N41" s="78">
        <f>'Tabel 1.1'!C38</f>
        <v>322819</v>
      </c>
      <c r="O41" s="74"/>
    </row>
    <row r="42" spans="1:15" x14ac:dyDescent="0.3">
      <c r="A42" s="74"/>
      <c r="B42" s="74"/>
      <c r="C42" s="74"/>
      <c r="D42" s="74"/>
      <c r="E42" s="74"/>
      <c r="F42" s="74"/>
      <c r="G42" s="74"/>
      <c r="H42" s="74"/>
      <c r="I42" s="74"/>
      <c r="J42" s="74"/>
      <c r="K42" s="74"/>
      <c r="L42" s="79" t="s">
        <v>60</v>
      </c>
      <c r="M42" s="78">
        <f>'Tabel 1.1'!B39</f>
        <v>2383693</v>
      </c>
      <c r="N42" s="78">
        <f>'Tabel 1.1'!C39</f>
        <v>2362012</v>
      </c>
      <c r="O42" s="74"/>
    </row>
    <row r="43" spans="1:15" x14ac:dyDescent="0.3">
      <c r="A43" s="74"/>
      <c r="B43" s="74"/>
      <c r="C43" s="74"/>
      <c r="D43" s="74"/>
      <c r="E43" s="74"/>
      <c r="F43" s="74"/>
      <c r="G43" s="74"/>
      <c r="H43" s="74"/>
      <c r="I43" s="74"/>
      <c r="J43" s="74"/>
      <c r="K43" s="74"/>
      <c r="L43" s="74" t="s">
        <v>63</v>
      </c>
      <c r="M43" s="78">
        <f>'Tabel 1.1'!B40</f>
        <v>125663.209</v>
      </c>
      <c r="N43" s="78">
        <f>'Tabel 1.1'!C40</f>
        <v>63880.035000000003</v>
      </c>
      <c r="O43" s="74"/>
    </row>
    <row r="44" spans="1:15" x14ac:dyDescent="0.3">
      <c r="A44" s="74"/>
      <c r="B44" s="74"/>
      <c r="C44" s="74"/>
      <c r="D44" s="74"/>
      <c r="E44" s="74"/>
      <c r="F44" s="74"/>
      <c r="G44" s="74"/>
      <c r="H44" s="74"/>
      <c r="I44" s="74"/>
      <c r="J44" s="74"/>
      <c r="K44" s="74"/>
      <c r="L44" s="79" t="s">
        <v>65</v>
      </c>
      <c r="M44" s="78">
        <f>'Tabel 1.1'!B41</f>
        <v>8452097.9891100004</v>
      </c>
      <c r="N44" s="78">
        <f>'Tabel 1.1'!C41</f>
        <v>8686801.6131100003</v>
      </c>
      <c r="O44" s="74"/>
    </row>
    <row r="45" spans="1:15" x14ac:dyDescent="0.3">
      <c r="A45" s="74"/>
      <c r="B45" s="74"/>
      <c r="C45" s="74"/>
      <c r="D45" s="74"/>
      <c r="E45" s="74"/>
      <c r="F45" s="74"/>
      <c r="G45" s="74"/>
      <c r="H45" s="74"/>
      <c r="I45" s="74"/>
      <c r="J45" s="74"/>
      <c r="K45" s="74"/>
      <c r="L45" s="79" t="s">
        <v>71</v>
      </c>
      <c r="M45" s="78">
        <f>'Tabel 1.1'!B42</f>
        <v>97840.428989999986</v>
      </c>
      <c r="N45" s="78">
        <f>'Tabel 1.1'!C42</f>
        <v>94921.636709999992</v>
      </c>
      <c r="O45" s="74"/>
    </row>
    <row r="46" spans="1:15" x14ac:dyDescent="0.3">
      <c r="A46" s="74"/>
      <c r="B46" s="74"/>
      <c r="C46" s="74"/>
      <c r="D46" s="74"/>
      <c r="E46" s="74"/>
      <c r="F46" s="74"/>
      <c r="G46" s="74"/>
      <c r="H46" s="74"/>
      <c r="I46" s="74"/>
      <c r="J46" s="74"/>
      <c r="K46" s="74"/>
      <c r="L46" s="79" t="s">
        <v>67</v>
      </c>
      <c r="M46" s="78">
        <f>'Tabel 1.1'!B43</f>
        <v>3230081.0362499999</v>
      </c>
      <c r="N46" s="78">
        <f>'Tabel 1.1'!C43</f>
        <v>3483755.89176</v>
      </c>
      <c r="O46" s="74"/>
    </row>
    <row r="47" spans="1:15" x14ac:dyDescent="0.3">
      <c r="A47" s="74"/>
      <c r="B47" s="74"/>
      <c r="C47" s="74"/>
      <c r="D47" s="74"/>
      <c r="E47" s="74"/>
      <c r="F47" s="74"/>
      <c r="G47" s="74"/>
      <c r="H47" s="74"/>
      <c r="I47" s="74"/>
      <c r="J47" s="74"/>
      <c r="K47" s="74"/>
      <c r="L47" s="79" t="s">
        <v>72</v>
      </c>
      <c r="M47" s="78">
        <f>'Tabel 1.1'!B44</f>
        <v>8147311.8700000001</v>
      </c>
      <c r="N47" s="78">
        <f>'Tabel 1.1'!C44</f>
        <v>9460443.0969999991</v>
      </c>
      <c r="O47" s="74"/>
    </row>
    <row r="48" spans="1:15" x14ac:dyDescent="0.3">
      <c r="A48" s="74"/>
      <c r="B48" s="74"/>
      <c r="C48" s="74"/>
      <c r="D48" s="74"/>
      <c r="E48" s="74"/>
      <c r="F48" s="74"/>
      <c r="G48" s="74"/>
      <c r="H48" s="74"/>
      <c r="I48" s="74"/>
      <c r="J48" s="74"/>
      <c r="K48" s="74"/>
      <c r="O48" s="74"/>
    </row>
    <row r="49" spans="1:15" x14ac:dyDescent="0.3">
      <c r="A49" s="74"/>
      <c r="B49" s="74"/>
      <c r="C49" s="74"/>
      <c r="D49" s="74"/>
      <c r="E49" s="74"/>
      <c r="F49" s="74"/>
      <c r="G49" s="74"/>
      <c r="H49" s="74"/>
      <c r="I49" s="74"/>
      <c r="J49" s="74"/>
      <c r="K49" s="74"/>
      <c r="L49" s="79"/>
      <c r="M49" s="78"/>
      <c r="N49" s="78"/>
      <c r="O49" s="74"/>
    </row>
    <row r="50" spans="1:15" x14ac:dyDescent="0.3">
      <c r="A50" s="74"/>
      <c r="B50" s="74"/>
      <c r="C50" s="74"/>
      <c r="D50" s="74"/>
      <c r="E50" s="74"/>
      <c r="F50" s="74"/>
      <c r="G50" s="74"/>
      <c r="H50" s="74"/>
      <c r="I50" s="74"/>
      <c r="J50" s="74"/>
      <c r="K50" s="74"/>
      <c r="M50" s="77"/>
      <c r="N50" s="77"/>
      <c r="O50" s="74"/>
    </row>
    <row r="51" spans="1:15" x14ac:dyDescent="0.3">
      <c r="A51" s="74"/>
      <c r="B51" s="74"/>
      <c r="C51" s="74"/>
      <c r="D51" s="74"/>
      <c r="E51" s="74"/>
      <c r="F51" s="74"/>
      <c r="G51" s="74"/>
      <c r="H51" s="74"/>
      <c r="I51" s="74"/>
      <c r="J51" s="74"/>
      <c r="K51" s="74"/>
      <c r="M51" s="77"/>
      <c r="N51" s="77"/>
      <c r="O51" s="74"/>
    </row>
    <row r="52" spans="1:15" x14ac:dyDescent="0.3">
      <c r="A52" s="74"/>
      <c r="B52" s="74"/>
      <c r="C52" s="74"/>
      <c r="D52" s="74"/>
      <c r="E52" s="74"/>
      <c r="F52" s="74"/>
      <c r="G52" s="74"/>
      <c r="H52" s="74"/>
      <c r="I52" s="74"/>
      <c r="J52" s="74"/>
      <c r="K52" s="74"/>
      <c r="M52" s="77"/>
      <c r="N52" s="77"/>
      <c r="O52" s="74"/>
    </row>
    <row r="53" spans="1:15" x14ac:dyDescent="0.3">
      <c r="A53" s="74"/>
      <c r="B53" s="74"/>
      <c r="C53" s="74"/>
      <c r="D53" s="74"/>
      <c r="E53" s="74"/>
      <c r="F53" s="74"/>
      <c r="G53" s="74"/>
      <c r="H53" s="74"/>
      <c r="I53" s="74"/>
      <c r="J53" s="74"/>
      <c r="K53" s="74"/>
      <c r="M53" s="77"/>
      <c r="N53" s="77"/>
      <c r="O53" s="74"/>
    </row>
    <row r="54" spans="1:15" x14ac:dyDescent="0.3">
      <c r="A54" s="74"/>
      <c r="B54" s="74"/>
      <c r="C54" s="74"/>
      <c r="D54" s="74"/>
      <c r="E54" s="74"/>
      <c r="F54" s="74"/>
      <c r="G54" s="74"/>
      <c r="H54" s="74"/>
      <c r="I54" s="74"/>
      <c r="J54" s="74"/>
      <c r="K54" s="74"/>
      <c r="O54" s="74"/>
    </row>
    <row r="55" spans="1:15" x14ac:dyDescent="0.3">
      <c r="A55" s="74"/>
      <c r="B55" s="74"/>
      <c r="C55" s="74"/>
      <c r="D55" s="74"/>
      <c r="E55" s="74"/>
      <c r="F55" s="74"/>
      <c r="G55" s="74"/>
      <c r="H55" s="74"/>
      <c r="I55" s="74"/>
      <c r="J55" s="74"/>
      <c r="K55" s="74"/>
      <c r="O55" s="74"/>
    </row>
    <row r="56" spans="1:15" x14ac:dyDescent="0.3">
      <c r="A56" s="75" t="s">
        <v>428</v>
      </c>
      <c r="B56" s="74"/>
      <c r="C56" s="74"/>
      <c r="D56" s="74"/>
      <c r="E56" s="74"/>
      <c r="F56" s="74"/>
      <c r="G56" s="74"/>
      <c r="H56" s="74"/>
      <c r="I56" s="79"/>
      <c r="J56" s="74"/>
      <c r="K56" s="74"/>
      <c r="L56" s="74" t="s">
        <v>73</v>
      </c>
      <c r="O56" s="74"/>
    </row>
    <row r="57" spans="1:15" x14ac:dyDescent="0.3">
      <c r="A57" s="74"/>
      <c r="B57" s="74"/>
      <c r="C57" s="74"/>
      <c r="D57" s="74"/>
      <c r="E57" s="74"/>
      <c r="F57" s="74"/>
      <c r="G57" s="74"/>
      <c r="H57" s="74"/>
      <c r="I57" s="74"/>
      <c r="J57" s="74"/>
      <c r="K57" s="74"/>
      <c r="L57" s="74" t="s">
        <v>0</v>
      </c>
      <c r="O57" s="74"/>
    </row>
    <row r="58" spans="1:15" x14ac:dyDescent="0.3">
      <c r="A58" s="74"/>
      <c r="B58" s="74"/>
      <c r="C58" s="74"/>
      <c r="D58" s="74"/>
      <c r="E58" s="74"/>
      <c r="F58" s="74"/>
      <c r="G58" s="74"/>
      <c r="H58" s="74"/>
      <c r="I58" s="74"/>
      <c r="J58" s="74"/>
      <c r="K58" s="74"/>
      <c r="M58" s="74">
        <f>M8</f>
        <v>2019</v>
      </c>
      <c r="N58" s="74">
        <f>N8</f>
        <v>2020</v>
      </c>
      <c r="O58" s="74"/>
    </row>
    <row r="59" spans="1:15" x14ac:dyDescent="0.3">
      <c r="A59" s="74"/>
      <c r="B59" s="74"/>
      <c r="C59" s="74"/>
      <c r="D59" s="74"/>
      <c r="E59" s="74"/>
      <c r="F59" s="74"/>
      <c r="G59" s="74"/>
      <c r="H59" s="74"/>
      <c r="I59" s="74"/>
      <c r="J59" s="74"/>
      <c r="K59" s="74"/>
      <c r="L59" s="74" t="s">
        <v>54</v>
      </c>
      <c r="M59" s="77">
        <f>'Tabel 1.1'!G9</f>
        <v>1147898.6510000001</v>
      </c>
      <c r="N59" s="77">
        <f>'Tabel 1.1'!H9</f>
        <v>1286357.608</v>
      </c>
      <c r="O59" s="74"/>
    </row>
    <row r="60" spans="1:15" x14ac:dyDescent="0.3">
      <c r="A60" s="74"/>
      <c r="B60" s="74"/>
      <c r="C60" s="74"/>
      <c r="D60" s="74"/>
      <c r="E60" s="74"/>
      <c r="F60" s="74"/>
      <c r="G60" s="74"/>
      <c r="H60" s="74"/>
      <c r="I60" s="74"/>
      <c r="J60" s="74"/>
      <c r="K60" s="74"/>
      <c r="L60" s="74" t="s">
        <v>427</v>
      </c>
      <c r="M60" s="77">
        <f>'Tabel 1.1'!G10</f>
        <v>1726673</v>
      </c>
      <c r="N60" s="77">
        <f>'Tabel 1.1'!H10</f>
        <v>1789003</v>
      </c>
      <c r="O60" s="74"/>
    </row>
    <row r="61" spans="1:15" x14ac:dyDescent="0.3">
      <c r="A61" s="74"/>
      <c r="B61" s="74"/>
      <c r="C61" s="74"/>
      <c r="D61" s="74"/>
      <c r="E61" s="74"/>
      <c r="F61" s="74"/>
      <c r="G61" s="74"/>
      <c r="H61" s="74"/>
      <c r="I61" s="74"/>
      <c r="J61" s="74"/>
      <c r="K61" s="74"/>
      <c r="L61" s="74" t="s">
        <v>55</v>
      </c>
      <c r="M61" s="77">
        <f>'Tabel 1.1'!G11</f>
        <v>198989780.16319001</v>
      </c>
      <c r="N61" s="77">
        <f>'Tabel 1.1'!H11</f>
        <v>194797622</v>
      </c>
      <c r="O61" s="74"/>
    </row>
    <row r="62" spans="1:15" x14ac:dyDescent="0.3">
      <c r="A62" s="74"/>
      <c r="B62" s="74"/>
      <c r="C62" s="74"/>
      <c r="D62" s="74"/>
      <c r="E62" s="74"/>
      <c r="F62" s="74"/>
      <c r="G62" s="74"/>
      <c r="H62" s="74"/>
      <c r="I62" s="74"/>
      <c r="J62" s="74"/>
      <c r="K62" s="74"/>
      <c r="L62" s="74" t="s">
        <v>56</v>
      </c>
      <c r="M62" s="77">
        <f>'Tabel 1.1'!G12</f>
        <v>0</v>
      </c>
      <c r="N62" s="77">
        <f>'Tabel 1.1'!H12</f>
        <v>0</v>
      </c>
      <c r="O62" s="74"/>
    </row>
    <row r="63" spans="1:15" x14ac:dyDescent="0.3">
      <c r="A63" s="74"/>
      <c r="B63" s="74"/>
      <c r="C63" s="74"/>
      <c r="D63" s="74"/>
      <c r="E63" s="74"/>
      <c r="F63" s="74"/>
      <c r="G63" s="74"/>
      <c r="H63" s="74"/>
      <c r="I63" s="74"/>
      <c r="J63" s="74"/>
      <c r="K63" s="74"/>
      <c r="L63" s="79" t="s">
        <v>405</v>
      </c>
      <c r="M63" s="77">
        <f>'Tabel 1.1'!G13</f>
        <v>0</v>
      </c>
      <c r="N63" s="77">
        <f>'Tabel 1.1'!H13</f>
        <v>3675280</v>
      </c>
      <c r="O63" s="74"/>
    </row>
    <row r="64" spans="1:15" x14ac:dyDescent="0.3">
      <c r="A64" s="74"/>
      <c r="B64" s="74"/>
      <c r="C64" s="74"/>
      <c r="D64" s="74"/>
      <c r="E64" s="74"/>
      <c r="F64" s="74"/>
      <c r="G64" s="74"/>
      <c r="H64" s="74"/>
      <c r="I64" s="74"/>
      <c r="J64" s="74"/>
      <c r="K64" s="74"/>
      <c r="L64" s="74" t="s">
        <v>57</v>
      </c>
      <c r="M64" s="77">
        <f>'Tabel 1.1'!G14</f>
        <v>950096</v>
      </c>
      <c r="N64" s="77">
        <f>'Tabel 1.1'!H14</f>
        <v>1031868</v>
      </c>
      <c r="O64" s="74"/>
    </row>
    <row r="65" spans="1:15" x14ac:dyDescent="0.3">
      <c r="A65" s="74"/>
      <c r="B65" s="74"/>
      <c r="C65" s="74"/>
      <c r="D65" s="74"/>
      <c r="E65" s="74"/>
      <c r="F65" s="74"/>
      <c r="G65" s="74"/>
      <c r="H65" s="74"/>
      <c r="I65" s="74"/>
      <c r="J65" s="74"/>
      <c r="K65" s="74"/>
      <c r="L65" s="74" t="s">
        <v>59</v>
      </c>
      <c r="M65" s="77">
        <f>'Tabel 1.1'!G15</f>
        <v>0</v>
      </c>
      <c r="N65" s="77">
        <f>'Tabel 1.1'!H15</f>
        <v>0</v>
      </c>
      <c r="O65" s="74"/>
    </row>
    <row r="66" spans="1:15" x14ac:dyDescent="0.3">
      <c r="A66" s="74"/>
      <c r="B66" s="74"/>
      <c r="C66" s="74"/>
      <c r="D66" s="74"/>
      <c r="E66" s="74"/>
      <c r="F66" s="74"/>
      <c r="G66" s="74"/>
      <c r="H66" s="74"/>
      <c r="I66" s="74"/>
      <c r="J66" s="74"/>
      <c r="K66" s="74"/>
      <c r="L66" s="74" t="s">
        <v>60</v>
      </c>
      <c r="M66" s="77">
        <f>'Tabel 1.1'!G17</f>
        <v>7082534</v>
      </c>
      <c r="N66" s="77">
        <f>'Tabel 1.1'!H17</f>
        <v>7487655</v>
      </c>
      <c r="O66" s="74"/>
    </row>
    <row r="67" spans="1:15" x14ac:dyDescent="0.3">
      <c r="A67" s="74"/>
      <c r="B67" s="74"/>
      <c r="C67" s="74"/>
      <c r="D67" s="74"/>
      <c r="E67" s="74"/>
      <c r="F67" s="74"/>
      <c r="G67" s="74"/>
      <c r="H67" s="74"/>
      <c r="I67" s="74"/>
      <c r="J67" s="74"/>
      <c r="K67" s="74"/>
      <c r="L67" s="74" t="s">
        <v>61</v>
      </c>
      <c r="M67" s="77">
        <f>'Tabel 1.1'!G18</f>
        <v>28422.660874665598</v>
      </c>
      <c r="N67" s="77">
        <f>'Tabel 1.1'!H18</f>
        <v>21581.57877081968</v>
      </c>
      <c r="O67" s="74"/>
    </row>
    <row r="68" spans="1:15" x14ac:dyDescent="0.3">
      <c r="A68" s="74"/>
      <c r="B68" s="74"/>
      <c r="C68" s="74"/>
      <c r="D68" s="74"/>
      <c r="E68" s="74"/>
      <c r="F68" s="74"/>
      <c r="G68" s="74"/>
      <c r="H68" s="74"/>
      <c r="I68" s="74"/>
      <c r="J68" s="74"/>
      <c r="K68" s="74"/>
      <c r="L68" s="74" t="s">
        <v>62</v>
      </c>
      <c r="M68" s="77">
        <f>'Tabel 1.1'!G19</f>
        <v>0</v>
      </c>
      <c r="N68" s="77">
        <f>'Tabel 1.1'!H19</f>
        <v>0</v>
      </c>
      <c r="O68" s="74"/>
    </row>
    <row r="69" spans="1:15" x14ac:dyDescent="0.3">
      <c r="A69" s="74"/>
      <c r="B69" s="74"/>
      <c r="C69" s="74"/>
      <c r="D69" s="74"/>
      <c r="E69" s="74"/>
      <c r="F69" s="74"/>
      <c r="G69" s="74"/>
      <c r="H69" s="74"/>
      <c r="I69" s="74"/>
      <c r="J69" s="74"/>
      <c r="K69" s="74"/>
      <c r="L69" s="74" t="s">
        <v>407</v>
      </c>
      <c r="M69" s="77">
        <f>'Tabel 1.1'!G20</f>
        <v>3921.4128289581399</v>
      </c>
      <c r="N69" s="77">
        <f>'Tabel 1.1'!H20</f>
        <v>0</v>
      </c>
      <c r="O69" s="74"/>
    </row>
    <row r="70" spans="1:15" x14ac:dyDescent="0.3">
      <c r="A70" s="74"/>
      <c r="B70" s="74"/>
      <c r="C70" s="74"/>
      <c r="D70" s="74"/>
      <c r="E70" s="74"/>
      <c r="F70" s="74"/>
      <c r="G70" s="74"/>
      <c r="H70" s="74"/>
      <c r="I70" s="74"/>
      <c r="J70" s="74"/>
      <c r="K70" s="74"/>
      <c r="L70" s="74" t="s">
        <v>63</v>
      </c>
      <c r="M70" s="77">
        <f>'Tabel 1.1'!G21</f>
        <v>497212120.95908999</v>
      </c>
      <c r="N70" s="77">
        <f>'Tabel 1.1'!H21</f>
        <v>526463021.72196001</v>
      </c>
      <c r="O70" s="74"/>
    </row>
    <row r="71" spans="1:15" x14ac:dyDescent="0.3">
      <c r="A71" s="74"/>
      <c r="B71" s="74"/>
      <c r="C71" s="74"/>
      <c r="D71" s="74"/>
      <c r="E71" s="74"/>
      <c r="F71" s="74"/>
      <c r="G71" s="74"/>
      <c r="H71" s="74"/>
      <c r="I71" s="74"/>
      <c r="J71" s="74"/>
      <c r="K71" s="74"/>
      <c r="L71" s="74" t="s">
        <v>64</v>
      </c>
      <c r="M71" s="77">
        <f>'Tabel 1.1'!G22</f>
        <v>34480.175000000003</v>
      </c>
      <c r="N71" s="77">
        <f>'Tabel 1.1'!H22</f>
        <v>51937.368000000002</v>
      </c>
      <c r="O71" s="74"/>
    </row>
    <row r="72" spans="1:15" x14ac:dyDescent="0.3">
      <c r="A72" s="74"/>
      <c r="B72" s="74"/>
      <c r="C72" s="74"/>
      <c r="D72" s="74"/>
      <c r="E72" s="74"/>
      <c r="F72" s="74"/>
      <c r="G72" s="74"/>
      <c r="H72" s="74"/>
      <c r="I72" s="74"/>
      <c r="J72" s="74"/>
      <c r="K72" s="74"/>
      <c r="L72" s="74" t="s">
        <v>429</v>
      </c>
      <c r="M72" s="77">
        <f>'Tabel 1.1'!G23</f>
        <v>0</v>
      </c>
      <c r="N72" s="77">
        <f>'Tabel 1.1'!H23</f>
        <v>0</v>
      </c>
      <c r="O72" s="74"/>
    </row>
    <row r="73" spans="1:15" x14ac:dyDescent="0.3">
      <c r="A73" s="74"/>
      <c r="B73" s="74"/>
      <c r="C73" s="74"/>
      <c r="D73" s="74"/>
      <c r="E73" s="74"/>
      <c r="F73" s="74"/>
      <c r="G73" s="74"/>
      <c r="H73" s="74"/>
      <c r="I73" s="74"/>
      <c r="J73" s="74"/>
      <c r="K73" s="74"/>
      <c r="L73" s="74" t="s">
        <v>65</v>
      </c>
      <c r="M73" s="77">
        <f>'Tabel 1.1'!G24</f>
        <v>51315530.000145264</v>
      </c>
      <c r="N73" s="77">
        <f>'Tabel 1.1'!H24</f>
        <v>52385900.000052795</v>
      </c>
      <c r="O73" s="74"/>
    </row>
    <row r="74" spans="1:15" x14ac:dyDescent="0.3">
      <c r="A74" s="74"/>
      <c r="B74" s="74"/>
      <c r="C74" s="74"/>
      <c r="D74" s="74"/>
      <c r="E74" s="74"/>
      <c r="F74" s="74"/>
      <c r="G74" s="74"/>
      <c r="H74" s="74"/>
      <c r="I74" s="74"/>
      <c r="J74" s="74"/>
      <c r="K74" s="74"/>
      <c r="L74" s="74" t="s">
        <v>66</v>
      </c>
      <c r="M74" s="77">
        <f>'Tabel 1.1'!G25</f>
        <v>76175866</v>
      </c>
      <c r="N74" s="77">
        <f>'Tabel 1.1'!H25</f>
        <v>80017880</v>
      </c>
      <c r="O74" s="74"/>
    </row>
    <row r="75" spans="1:15" x14ac:dyDescent="0.3">
      <c r="A75" s="74"/>
      <c r="B75" s="74"/>
      <c r="C75" s="74"/>
      <c r="D75" s="74"/>
      <c r="E75" s="74"/>
      <c r="F75" s="74"/>
      <c r="G75" s="74"/>
      <c r="H75" s="74"/>
      <c r="I75" s="74"/>
      <c r="J75" s="74"/>
      <c r="K75" s="74"/>
      <c r="L75" s="74" t="s">
        <v>67</v>
      </c>
      <c r="M75" s="77">
        <f>'Tabel 1.1'!G27</f>
        <v>20850610.60103</v>
      </c>
      <c r="N75" s="77">
        <f>'Tabel 1.1'!H27</f>
        <v>19350549.066980001</v>
      </c>
      <c r="O75" s="74"/>
    </row>
    <row r="76" spans="1:15" x14ac:dyDescent="0.3">
      <c r="A76" s="74"/>
      <c r="B76" s="74"/>
      <c r="C76" s="74"/>
      <c r="D76" s="74"/>
      <c r="E76" s="74"/>
      <c r="F76" s="74"/>
      <c r="G76" s="74"/>
      <c r="H76" s="74"/>
      <c r="I76" s="74"/>
      <c r="J76" s="74"/>
      <c r="K76" s="74"/>
      <c r="L76" s="74" t="s">
        <v>68</v>
      </c>
      <c r="M76" s="77">
        <f>'Tabel 1.1'!G28</f>
        <v>181032450.26100001</v>
      </c>
      <c r="N76" s="77">
        <f>'Tabel 1.1'!H28</f>
        <v>182050617.75099999</v>
      </c>
      <c r="O76" s="74"/>
    </row>
    <row r="77" spans="1:15" x14ac:dyDescent="0.3">
      <c r="A77" s="74"/>
      <c r="B77" s="74"/>
      <c r="C77" s="74"/>
      <c r="D77" s="74"/>
      <c r="E77" s="74"/>
      <c r="F77" s="74"/>
      <c r="G77" s="74"/>
      <c r="H77" s="74"/>
      <c r="I77" s="74"/>
      <c r="J77" s="74"/>
      <c r="K77" s="74"/>
      <c r="L77" s="74" t="s">
        <v>96</v>
      </c>
      <c r="M77" s="77">
        <f>'Tabel 1.1'!G29</f>
        <v>0</v>
      </c>
      <c r="N77" s="77">
        <f>'Tabel 1.1'!H29</f>
        <v>0</v>
      </c>
      <c r="O77" s="74"/>
    </row>
    <row r="78" spans="1:15" x14ac:dyDescent="0.3">
      <c r="A78" s="74"/>
      <c r="B78" s="74"/>
      <c r="C78" s="74"/>
      <c r="D78" s="74"/>
      <c r="E78" s="74"/>
      <c r="F78" s="74"/>
      <c r="G78" s="74"/>
      <c r="H78" s="74"/>
      <c r="I78" s="74"/>
      <c r="J78" s="74"/>
      <c r="K78" s="74"/>
      <c r="L78" s="74" t="s">
        <v>97</v>
      </c>
      <c r="M78" s="77">
        <f>'Tabel 1.1'!G30</f>
        <v>0</v>
      </c>
      <c r="N78" s="77">
        <f>'Tabel 1.1'!H30</f>
        <v>0</v>
      </c>
      <c r="O78" s="74"/>
    </row>
    <row r="79" spans="1:15" x14ac:dyDescent="0.3">
      <c r="A79" s="74"/>
      <c r="B79" s="74"/>
      <c r="C79" s="74"/>
      <c r="D79" s="74"/>
      <c r="E79" s="74"/>
      <c r="F79" s="74"/>
      <c r="G79" s="74"/>
      <c r="H79" s="74"/>
      <c r="I79" s="74"/>
      <c r="J79" s="74"/>
      <c r="K79" s="74"/>
      <c r="L79" s="79" t="s">
        <v>416</v>
      </c>
      <c r="M79" s="77">
        <f>'Tabel 1.1'!G31</f>
        <v>0</v>
      </c>
      <c r="N79" s="77">
        <f>'Tabel 1.1'!H31</f>
        <v>0</v>
      </c>
      <c r="O79" s="74"/>
    </row>
    <row r="80" spans="1:15" x14ac:dyDescent="0.3">
      <c r="A80" s="75" t="s">
        <v>430</v>
      </c>
      <c r="B80" s="74"/>
      <c r="C80" s="74"/>
      <c r="D80" s="74"/>
      <c r="E80" s="74"/>
      <c r="F80" s="74"/>
      <c r="G80" s="74"/>
      <c r="H80" s="74"/>
      <c r="I80" s="79"/>
      <c r="J80" s="74"/>
      <c r="K80" s="74"/>
      <c r="O80" s="74"/>
    </row>
    <row r="81" spans="1:15" x14ac:dyDescent="0.3">
      <c r="B81" s="74"/>
      <c r="C81" s="74"/>
      <c r="D81" s="74"/>
      <c r="E81" s="74"/>
      <c r="F81" s="74"/>
      <c r="G81" s="74"/>
      <c r="H81" s="74"/>
      <c r="I81" s="74"/>
      <c r="J81" s="74"/>
      <c r="K81" s="74"/>
      <c r="O81" s="74"/>
    </row>
    <row r="82" spans="1:15" x14ac:dyDescent="0.3">
      <c r="A82" s="74"/>
      <c r="B82" s="74"/>
      <c r="C82" s="74"/>
      <c r="D82" s="74"/>
      <c r="E82" s="74"/>
      <c r="F82" s="74"/>
      <c r="G82" s="74"/>
      <c r="H82" s="74"/>
      <c r="I82" s="74"/>
      <c r="J82" s="74"/>
      <c r="K82" s="74"/>
      <c r="O82" s="74"/>
    </row>
    <row r="83" spans="1:15" x14ac:dyDescent="0.3">
      <c r="A83" s="74"/>
      <c r="B83" s="74"/>
      <c r="C83" s="74"/>
      <c r="D83" s="74"/>
      <c r="E83" s="74"/>
      <c r="F83" s="74"/>
      <c r="G83" s="74"/>
      <c r="H83" s="74"/>
      <c r="I83" s="74"/>
      <c r="J83" s="74"/>
      <c r="K83" s="74"/>
      <c r="O83" s="74"/>
    </row>
    <row r="84" spans="1:15" x14ac:dyDescent="0.3">
      <c r="A84" s="74"/>
      <c r="B84" s="74"/>
      <c r="C84" s="74"/>
      <c r="D84" s="74"/>
      <c r="E84" s="74"/>
      <c r="F84" s="74"/>
      <c r="G84" s="74"/>
      <c r="H84" s="74"/>
      <c r="I84" s="74"/>
      <c r="J84" s="74"/>
      <c r="K84" s="74"/>
      <c r="O84" s="74"/>
    </row>
    <row r="85" spans="1:15" x14ac:dyDescent="0.3">
      <c r="B85" s="74"/>
      <c r="C85" s="74"/>
      <c r="D85" s="74"/>
      <c r="E85" s="74"/>
      <c r="F85" s="74"/>
      <c r="G85" s="74"/>
      <c r="H85" s="74"/>
      <c r="I85" s="74"/>
      <c r="J85" s="74"/>
      <c r="K85" s="74"/>
      <c r="O85" s="74"/>
    </row>
    <row r="86" spans="1:15" x14ac:dyDescent="0.3">
      <c r="B86" s="74"/>
      <c r="C86" s="74"/>
      <c r="D86" s="74"/>
      <c r="E86" s="74"/>
      <c r="F86" s="74"/>
      <c r="G86" s="74"/>
      <c r="H86" s="74"/>
      <c r="I86" s="74"/>
      <c r="J86" s="74"/>
      <c r="K86" s="74"/>
      <c r="O86" s="74"/>
    </row>
    <row r="87" spans="1:15" x14ac:dyDescent="0.3">
      <c r="B87" s="74"/>
      <c r="C87" s="74"/>
      <c r="D87" s="74"/>
      <c r="E87" s="74"/>
      <c r="F87" s="74"/>
      <c r="G87" s="74"/>
      <c r="H87" s="74"/>
      <c r="I87" s="74"/>
      <c r="J87" s="74"/>
      <c r="K87" s="74"/>
      <c r="L87" s="74" t="s">
        <v>73</v>
      </c>
      <c r="O87" s="74"/>
    </row>
    <row r="88" spans="1:15" x14ac:dyDescent="0.3">
      <c r="B88" s="74"/>
      <c r="C88" s="74"/>
      <c r="D88" s="74"/>
      <c r="E88" s="74"/>
      <c r="F88" s="74"/>
      <c r="G88" s="74"/>
      <c r="H88" s="74"/>
      <c r="I88" s="74"/>
      <c r="J88" s="74"/>
      <c r="K88" s="74"/>
      <c r="L88" s="74" t="s">
        <v>1</v>
      </c>
      <c r="O88" s="74"/>
    </row>
    <row r="89" spans="1:15" x14ac:dyDescent="0.3">
      <c r="B89" s="74"/>
      <c r="C89" s="74"/>
      <c r="D89" s="74"/>
      <c r="E89" s="74"/>
      <c r="F89" s="74"/>
      <c r="G89" s="74"/>
      <c r="H89" s="74"/>
      <c r="I89" s="74"/>
      <c r="J89" s="74"/>
      <c r="K89" s="74"/>
      <c r="M89" s="74">
        <f>M8</f>
        <v>2019</v>
      </c>
      <c r="N89" s="74">
        <f>N8</f>
        <v>2020</v>
      </c>
      <c r="O89" s="74"/>
    </row>
    <row r="90" spans="1:15" x14ac:dyDescent="0.3">
      <c r="B90" s="74"/>
      <c r="C90" s="74"/>
      <c r="D90" s="74"/>
      <c r="E90" s="74"/>
      <c r="F90" s="74"/>
      <c r="G90" s="74"/>
      <c r="H90" s="74"/>
      <c r="I90" s="74"/>
      <c r="J90" s="74"/>
      <c r="K90" s="74"/>
      <c r="L90" s="74" t="s">
        <v>54</v>
      </c>
      <c r="M90" s="77">
        <f>'Tabel 1.1'!G35</f>
        <v>19693741.598999999</v>
      </c>
      <c r="N90" s="77">
        <f>'Tabel 1.1'!H35</f>
        <v>22186843.857000001</v>
      </c>
      <c r="O90" s="74"/>
    </row>
    <row r="91" spans="1:15" x14ac:dyDescent="0.3">
      <c r="A91" s="74"/>
      <c r="B91" s="74"/>
      <c r="C91" s="74"/>
      <c r="D91" s="74"/>
      <c r="E91" s="74"/>
      <c r="F91" s="74"/>
      <c r="G91" s="74"/>
      <c r="H91" s="74"/>
      <c r="I91" s="74"/>
      <c r="J91" s="74"/>
      <c r="K91" s="74"/>
      <c r="L91" s="74" t="s">
        <v>427</v>
      </c>
      <c r="M91" s="77">
        <f>'Tabel 1.1'!G36</f>
        <v>4520776</v>
      </c>
      <c r="N91" s="77">
        <f>'Tabel 1.1'!H36</f>
        <v>5573307</v>
      </c>
      <c r="O91" s="74"/>
    </row>
    <row r="92" spans="1:15" ht="18.75" customHeight="1" x14ac:dyDescent="0.3">
      <c r="A92" s="74"/>
      <c r="B92" s="74"/>
      <c r="C92" s="74"/>
      <c r="D92" s="74"/>
      <c r="E92" s="74"/>
      <c r="F92" s="74"/>
      <c r="G92" s="74"/>
      <c r="H92" s="74"/>
      <c r="I92" s="74"/>
      <c r="J92" s="74"/>
      <c r="K92" s="74"/>
      <c r="L92" s="74" t="s">
        <v>55</v>
      </c>
      <c r="M92" s="77">
        <f>'Tabel 1.1'!G37</f>
        <v>92856889.727000013</v>
      </c>
      <c r="N92" s="77">
        <f>'Tabel 1.1'!H37</f>
        <v>100331927.579</v>
      </c>
      <c r="O92" s="74"/>
    </row>
    <row r="93" spans="1:15" ht="18.75" customHeight="1" x14ac:dyDescent="0.3">
      <c r="A93" s="74"/>
      <c r="B93" s="74"/>
      <c r="C93" s="74"/>
      <c r="D93" s="74"/>
      <c r="E93" s="74"/>
      <c r="F93" s="74"/>
      <c r="G93" s="74"/>
      <c r="H93" s="74"/>
      <c r="I93" s="74"/>
      <c r="J93" s="74"/>
      <c r="K93" s="74"/>
      <c r="L93" s="74" t="s">
        <v>57</v>
      </c>
      <c r="M93" s="77">
        <f>'Tabel 1.1'!G38</f>
        <v>3966911.3</v>
      </c>
      <c r="N93" s="77">
        <f>'Tabel 1.1'!H38</f>
        <v>4512931</v>
      </c>
      <c r="O93" s="74"/>
    </row>
    <row r="94" spans="1:15" ht="18.75" customHeight="1" x14ac:dyDescent="0.3">
      <c r="A94" s="74"/>
      <c r="B94" s="74"/>
      <c r="C94" s="74"/>
      <c r="D94" s="74"/>
      <c r="E94" s="74"/>
      <c r="F94" s="74"/>
      <c r="G94" s="74"/>
      <c r="H94" s="74"/>
      <c r="I94" s="74"/>
      <c r="J94" s="74"/>
      <c r="K94" s="74"/>
      <c r="L94" s="79" t="s">
        <v>60</v>
      </c>
      <c r="M94" s="77">
        <f>'Tabel 1.1'!G39</f>
        <v>28289547</v>
      </c>
      <c r="N94" s="77">
        <f>'Tabel 1.1'!H39</f>
        <v>31528930</v>
      </c>
      <c r="O94" s="74"/>
    </row>
    <row r="95" spans="1:15" ht="18.75" customHeight="1" x14ac:dyDescent="0.3">
      <c r="A95" s="74"/>
      <c r="B95" s="74"/>
      <c r="C95" s="74"/>
      <c r="D95" s="74"/>
      <c r="E95" s="74"/>
      <c r="F95" s="74"/>
      <c r="G95" s="74"/>
      <c r="H95" s="74"/>
      <c r="I95" s="74"/>
      <c r="J95" s="74"/>
      <c r="K95" s="74"/>
      <c r="L95" s="74" t="s">
        <v>63</v>
      </c>
      <c r="M95" s="77">
        <f>'Tabel 1.1'!G40</f>
        <v>2644541.49015</v>
      </c>
      <c r="N95" s="77">
        <f>'Tabel 1.1'!H40</f>
        <v>1974716.5681499999</v>
      </c>
      <c r="O95" s="74"/>
    </row>
    <row r="96" spans="1:15" ht="18.75" customHeight="1" x14ac:dyDescent="0.3">
      <c r="A96" s="74"/>
      <c r="B96" s="74"/>
      <c r="C96" s="74"/>
      <c r="D96" s="74"/>
      <c r="E96" s="74"/>
      <c r="F96" s="74"/>
      <c r="G96" s="74"/>
      <c r="H96" s="74"/>
      <c r="I96" s="74"/>
      <c r="J96" s="74"/>
      <c r="K96" s="74"/>
      <c r="L96" s="74" t="s">
        <v>65</v>
      </c>
      <c r="M96" s="77">
        <f>'Tabel 1.1'!G41</f>
        <v>72267840</v>
      </c>
      <c r="N96" s="77">
        <f>'Tabel 1.1'!H41</f>
        <v>85871420</v>
      </c>
      <c r="O96" s="74"/>
    </row>
    <row r="97" spans="1:17" ht="18.75" customHeight="1" x14ac:dyDescent="0.3">
      <c r="A97" s="74"/>
      <c r="B97" s="74"/>
      <c r="C97" s="74"/>
      <c r="D97" s="74"/>
      <c r="E97" s="74"/>
      <c r="F97" s="74"/>
      <c r="G97" s="74"/>
      <c r="H97" s="74"/>
      <c r="I97" s="74"/>
      <c r="J97" s="74"/>
      <c r="K97" s="74"/>
      <c r="L97" s="74" t="s">
        <v>71</v>
      </c>
      <c r="M97" s="77">
        <f>'Tabel 1.1'!G42</f>
        <v>2377643.9235399999</v>
      </c>
      <c r="N97" s="77">
        <f>'Tabel 1.1'!H42</f>
        <v>2702258.38057</v>
      </c>
      <c r="O97" s="74"/>
      <c r="Q97" s="74"/>
    </row>
    <row r="98" spans="1:17" ht="18.75" customHeight="1" x14ac:dyDescent="0.3">
      <c r="A98" s="74"/>
      <c r="B98" s="74"/>
      <c r="C98" s="74"/>
      <c r="D98" s="74"/>
      <c r="E98" s="74"/>
      <c r="F98" s="74"/>
      <c r="G98" s="74"/>
      <c r="H98" s="74"/>
      <c r="I98" s="74"/>
      <c r="J98" s="74"/>
      <c r="K98" s="74"/>
      <c r="L98" s="74" t="s">
        <v>67</v>
      </c>
      <c r="M98" s="77">
        <f>'Tabel 1.1'!G43</f>
        <v>33369795.9474</v>
      </c>
      <c r="N98" s="77">
        <f>'Tabel 1.1'!H43</f>
        <v>38969813.00011</v>
      </c>
      <c r="O98" s="74"/>
      <c r="Q98" s="74"/>
    </row>
    <row r="99" spans="1:17" ht="18.75" customHeight="1" x14ac:dyDescent="0.3">
      <c r="A99" s="74"/>
      <c r="B99" s="74"/>
      <c r="C99" s="74"/>
      <c r="D99" s="74"/>
      <c r="E99" s="74"/>
      <c r="F99" s="74"/>
      <c r="G99" s="74"/>
      <c r="H99" s="74"/>
      <c r="I99" s="74"/>
      <c r="J99" s="74"/>
      <c r="K99" s="74"/>
      <c r="L99" s="74" t="s">
        <v>72</v>
      </c>
      <c r="M99" s="77">
        <f>'Tabel 1.1'!G44</f>
        <v>107697369.89</v>
      </c>
      <c r="N99" s="77">
        <f>'Tabel 1.1'!H44</f>
        <v>124862260.38600001</v>
      </c>
      <c r="O99" s="74"/>
      <c r="Q99" s="74"/>
    </row>
    <row r="100" spans="1:17" ht="18.75" customHeight="1" x14ac:dyDescent="0.3">
      <c r="A100" s="74"/>
      <c r="B100" s="74"/>
      <c r="C100" s="74"/>
      <c r="D100" s="74"/>
      <c r="E100" s="74"/>
      <c r="F100" s="74"/>
      <c r="G100" s="74"/>
      <c r="H100" s="74"/>
      <c r="I100" s="74"/>
      <c r="J100" s="74"/>
      <c r="K100" s="74"/>
      <c r="M100" s="77"/>
      <c r="O100" s="74"/>
      <c r="Q100" s="74"/>
    </row>
    <row r="101" spans="1:17" ht="18.75" customHeight="1" x14ac:dyDescent="0.3">
      <c r="A101" s="74"/>
      <c r="B101" s="74"/>
      <c r="C101" s="74"/>
      <c r="D101" s="74"/>
      <c r="E101" s="74"/>
      <c r="F101" s="74"/>
      <c r="G101" s="74"/>
      <c r="H101" s="74"/>
      <c r="I101" s="74"/>
      <c r="J101" s="74"/>
      <c r="K101" s="74"/>
      <c r="O101" s="74"/>
      <c r="Q101" s="74"/>
    </row>
    <row r="102" spans="1:17" ht="18.75" customHeight="1" x14ac:dyDescent="0.3">
      <c r="A102" s="74"/>
      <c r="B102" s="74"/>
      <c r="C102" s="74"/>
      <c r="D102" s="74"/>
      <c r="E102" s="74"/>
      <c r="F102" s="74"/>
      <c r="G102" s="74"/>
      <c r="H102" s="74"/>
      <c r="I102" s="74"/>
      <c r="J102" s="74"/>
      <c r="K102" s="74"/>
      <c r="O102" s="74"/>
      <c r="Q102" s="74"/>
    </row>
    <row r="103" spans="1:17" ht="18.75" customHeight="1" x14ac:dyDescent="0.3">
      <c r="A103" s="74"/>
      <c r="B103" s="74"/>
      <c r="C103" s="74"/>
      <c r="D103" s="74"/>
      <c r="E103" s="74"/>
      <c r="F103" s="74"/>
      <c r="G103" s="74"/>
      <c r="H103" s="74"/>
      <c r="I103" s="74"/>
      <c r="J103" s="74"/>
      <c r="K103" s="74"/>
      <c r="O103" s="74"/>
      <c r="Q103" s="74"/>
    </row>
    <row r="104" spans="1:17" ht="18.75" customHeight="1" x14ac:dyDescent="0.3">
      <c r="A104" s="74"/>
      <c r="B104" s="74"/>
      <c r="C104" s="74"/>
      <c r="D104" s="74"/>
      <c r="E104" s="74"/>
      <c r="F104" s="74"/>
      <c r="G104" s="74"/>
      <c r="H104" s="74"/>
      <c r="I104" s="74"/>
      <c r="J104" s="74"/>
      <c r="K104" s="74"/>
      <c r="O104" s="74"/>
      <c r="Q104" s="74"/>
    </row>
    <row r="105" spans="1:17" ht="18.75" customHeight="1" x14ac:dyDescent="0.3">
      <c r="A105" s="74"/>
      <c r="B105" s="74"/>
      <c r="C105" s="74"/>
      <c r="D105" s="74"/>
      <c r="E105" s="74"/>
      <c r="F105" s="74"/>
      <c r="G105" s="74"/>
      <c r="H105" s="74"/>
      <c r="I105" s="74"/>
      <c r="J105" s="74"/>
      <c r="K105" s="74"/>
      <c r="O105" s="74"/>
      <c r="Q105" s="74"/>
    </row>
    <row r="106" spans="1:17" ht="18.75" customHeight="1" x14ac:dyDescent="0.3">
      <c r="A106" s="75" t="s">
        <v>431</v>
      </c>
      <c r="B106" s="74"/>
      <c r="C106" s="74"/>
      <c r="D106" s="74"/>
      <c r="E106" s="74"/>
      <c r="F106" s="74"/>
      <c r="G106" s="74"/>
      <c r="H106" s="79"/>
      <c r="I106" s="74"/>
      <c r="J106" s="74"/>
      <c r="K106" s="74"/>
      <c r="O106" s="74"/>
      <c r="Q106" s="74"/>
    </row>
    <row r="107" spans="1:17" ht="18.75" customHeight="1" x14ac:dyDescent="0.3">
      <c r="A107" s="74"/>
      <c r="B107" s="74"/>
      <c r="C107" s="74"/>
      <c r="D107" s="74"/>
      <c r="E107" s="74"/>
      <c r="F107" s="74"/>
      <c r="G107" s="74"/>
      <c r="H107" s="74"/>
      <c r="I107" s="74"/>
      <c r="J107" s="74"/>
      <c r="K107" s="74"/>
      <c r="O107" s="74"/>
      <c r="Q107" s="74"/>
    </row>
    <row r="108" spans="1:17" ht="18.75" customHeight="1" x14ac:dyDescent="0.3">
      <c r="A108" s="74"/>
      <c r="B108" s="74"/>
      <c r="C108" s="74"/>
      <c r="D108" s="74"/>
      <c r="E108" s="74"/>
      <c r="F108" s="74"/>
      <c r="G108" s="74"/>
      <c r="H108" s="74"/>
      <c r="I108" s="74"/>
      <c r="J108" s="74"/>
      <c r="K108" s="74"/>
      <c r="O108" s="74"/>
      <c r="Q108" s="74"/>
    </row>
    <row r="109" spans="1:17" ht="18.75" customHeight="1" x14ac:dyDescent="0.3">
      <c r="A109" s="74"/>
      <c r="B109" s="74"/>
      <c r="C109" s="74"/>
      <c r="D109" s="74"/>
      <c r="E109" s="74"/>
      <c r="F109" s="74"/>
      <c r="G109" s="74"/>
      <c r="H109" s="74"/>
      <c r="I109" s="74"/>
      <c r="J109" s="74"/>
      <c r="K109" s="74"/>
      <c r="O109" s="74"/>
      <c r="Q109" s="74"/>
    </row>
    <row r="110" spans="1:17" ht="18.75" customHeight="1" x14ac:dyDescent="0.3">
      <c r="A110" s="74"/>
      <c r="B110" s="74"/>
      <c r="C110" s="74"/>
      <c r="D110" s="74"/>
      <c r="E110" s="74"/>
      <c r="F110" s="74"/>
      <c r="G110" s="74"/>
      <c r="H110" s="74"/>
      <c r="I110" s="74"/>
      <c r="J110" s="74"/>
      <c r="K110" s="74"/>
      <c r="O110" s="74"/>
      <c r="Q110" s="74"/>
    </row>
    <row r="111" spans="1:17" ht="18.75" customHeight="1" x14ac:dyDescent="0.3">
      <c r="A111" s="74"/>
      <c r="B111" s="74"/>
      <c r="C111" s="74"/>
      <c r="D111" s="74"/>
      <c r="E111" s="74"/>
      <c r="F111" s="74"/>
      <c r="G111" s="74"/>
      <c r="H111" s="74"/>
      <c r="I111" s="74"/>
      <c r="J111" s="74"/>
      <c r="K111" s="74"/>
      <c r="O111" s="74"/>
      <c r="Q111" s="74"/>
    </row>
    <row r="112" spans="1:17" ht="18.75" customHeight="1" x14ac:dyDescent="0.3">
      <c r="A112" s="74"/>
      <c r="B112" s="74"/>
      <c r="C112" s="74"/>
      <c r="D112" s="74"/>
      <c r="E112" s="74"/>
      <c r="F112" s="74"/>
      <c r="G112" s="74"/>
      <c r="H112" s="74"/>
      <c r="I112" s="74"/>
      <c r="J112" s="74"/>
      <c r="K112" s="74"/>
      <c r="O112" s="74"/>
      <c r="Q112" s="74"/>
    </row>
    <row r="113" spans="1:17" ht="18.75" customHeight="1" x14ac:dyDescent="0.3">
      <c r="A113" s="74"/>
      <c r="B113" s="74"/>
      <c r="C113" s="74"/>
      <c r="D113" s="74"/>
      <c r="E113" s="74"/>
      <c r="F113" s="74"/>
      <c r="G113" s="74"/>
      <c r="H113" s="74"/>
      <c r="I113" s="74"/>
      <c r="J113" s="74"/>
      <c r="K113" s="74"/>
      <c r="L113" s="79" t="s">
        <v>74</v>
      </c>
      <c r="O113" s="74"/>
      <c r="Q113" s="74"/>
    </row>
    <row r="114" spans="1:17" ht="18.75" customHeight="1" x14ac:dyDescent="0.3">
      <c r="A114" s="74"/>
      <c r="B114" s="74"/>
      <c r="C114" s="74"/>
      <c r="D114" s="74"/>
      <c r="E114" s="74"/>
      <c r="F114" s="74"/>
      <c r="G114" s="74"/>
      <c r="H114" s="74"/>
      <c r="I114" s="74"/>
      <c r="J114" s="74"/>
      <c r="K114" s="74"/>
      <c r="L114" s="74" t="s">
        <v>0</v>
      </c>
      <c r="O114" s="74"/>
      <c r="Q114" s="74"/>
    </row>
    <row r="115" spans="1:17" ht="18.75" customHeight="1" x14ac:dyDescent="0.3">
      <c r="A115" s="74"/>
      <c r="B115" s="74"/>
      <c r="C115" s="74"/>
      <c r="D115" s="74"/>
      <c r="E115" s="74"/>
      <c r="F115" s="74"/>
      <c r="G115" s="74"/>
      <c r="H115" s="74"/>
      <c r="I115" s="74"/>
      <c r="J115" s="74"/>
      <c r="K115" s="74"/>
      <c r="M115" s="74">
        <f>M8</f>
        <v>2019</v>
      </c>
      <c r="N115" s="74">
        <f>N8</f>
        <v>2020</v>
      </c>
      <c r="O115" s="74"/>
      <c r="Q115" s="74"/>
    </row>
    <row r="116" spans="1:17" ht="18.75" customHeight="1" x14ac:dyDescent="0.3">
      <c r="A116" s="74"/>
      <c r="B116" s="74"/>
      <c r="C116" s="74"/>
      <c r="D116" s="74"/>
      <c r="E116" s="74"/>
      <c r="F116" s="74"/>
      <c r="G116" s="74"/>
      <c r="H116" s="74"/>
      <c r="I116" s="74"/>
      <c r="J116" s="74"/>
      <c r="K116" s="74"/>
      <c r="L116" s="74" t="s">
        <v>54</v>
      </c>
      <c r="M116" s="77">
        <f>'Danica Pensjonsforsikring'!B11-'Danica Pensjonsforsikring'!B12+'Danica Pensjonsforsikring'!B34-'Danica Pensjonsforsikring'!B35+'Danica Pensjonsforsikring'!B38-'Danica Pensjonsforsikring'!B39+'Danica Pensjonsforsikring'!B111-'Danica Pensjonsforsikring'!B119+'Danica Pensjonsforsikring'!B136-'Danica Pensjonsforsikring'!B137</f>
        <v>10954.466</v>
      </c>
      <c r="N116" s="77">
        <f>'Danica Pensjonsforsikring'!C11-'Danica Pensjonsforsikring'!C12+'Danica Pensjonsforsikring'!C34-'Danica Pensjonsforsikring'!C35+'Danica Pensjonsforsikring'!C38-'Danica Pensjonsforsikring'!C39+'Danica Pensjonsforsikring'!C111-'Danica Pensjonsforsikring'!C119+'Danica Pensjonsforsikring'!C136-'Danica Pensjonsforsikring'!C137</f>
        <v>35079.997999999905</v>
      </c>
      <c r="O116" s="74"/>
      <c r="Q116" s="74"/>
    </row>
    <row r="117" spans="1:17" ht="18.75" customHeight="1" x14ac:dyDescent="0.3">
      <c r="A117" s="74"/>
      <c r="B117" s="74"/>
      <c r="C117" s="74"/>
      <c r="D117" s="74"/>
      <c r="E117" s="74"/>
      <c r="F117" s="74"/>
      <c r="G117" s="74"/>
      <c r="H117" s="74"/>
      <c r="I117" s="74"/>
      <c r="J117" s="74"/>
      <c r="K117" s="74"/>
      <c r="L117" s="79" t="s">
        <v>427</v>
      </c>
      <c r="M117" s="77">
        <f>'DNB Bedriftspensjon'!B11-'DNB Bedriftspensjon'!B12+'DNB Bedriftspensjon'!B34-'DNB Bedriftspensjon'!B35+'DNB Bedriftspensjon'!B38-'DNB Bedriftspensjon'!B39+'DNB Bedriftspensjon'!B111-'DNB Bedriftspensjon'!B119+'DNB Bedriftspensjon'!B136-'DNB Bedriftspensjon'!B137</f>
        <v>771</v>
      </c>
      <c r="N117" s="77">
        <f>'DNB Bedriftspensjon'!C11-'DNB Bedriftspensjon'!C12+'DNB Bedriftspensjon'!C34-'DNB Bedriftspensjon'!C35+'DNB Bedriftspensjon'!C38-'DNB Bedriftspensjon'!C39+'DNB Bedriftspensjon'!C111-'DNB Bedriftspensjon'!C119+'DNB Bedriftspensjon'!C136-'DNB Bedriftspensjon'!C137</f>
        <v>7508</v>
      </c>
      <c r="O117" s="74"/>
    </row>
    <row r="118" spans="1:17" ht="18.75" customHeight="1" x14ac:dyDescent="0.3">
      <c r="A118" s="74"/>
      <c r="B118" s="74"/>
      <c r="C118" s="74"/>
      <c r="D118" s="74"/>
      <c r="E118" s="74"/>
      <c r="F118" s="74"/>
      <c r="G118" s="74"/>
      <c r="H118" s="74"/>
      <c r="I118" s="74"/>
      <c r="J118" s="74"/>
      <c r="K118" s="74"/>
      <c r="L118" s="74" t="s">
        <v>55</v>
      </c>
      <c r="M118" s="77">
        <f>'DNB Livsforsikring'!B11-'DNB Livsforsikring'!B12+'DNB Livsforsikring'!B34-'DNB Livsforsikring'!B35+'DNB Livsforsikring'!B38-'DNB Livsforsikring'!B39+'DNB Livsforsikring'!B111-'DNB Livsforsikring'!B119+'DNB Livsforsikring'!B136-'DNB Livsforsikring'!B137</f>
        <v>159065.88099999999</v>
      </c>
      <c r="N118" s="77">
        <f>'DNB Livsforsikring'!C11-'DNB Livsforsikring'!C12+'DNB Livsforsikring'!C34-'DNB Livsforsikring'!C35+'DNB Livsforsikring'!C38-'DNB Livsforsikring'!C39+'DNB Livsforsikring'!C111-'DNB Livsforsikring'!C119+'DNB Livsforsikring'!C136-'DNB Livsforsikring'!C137</f>
        <v>-98797</v>
      </c>
      <c r="O118" s="74"/>
    </row>
    <row r="119" spans="1:17" ht="18.75" customHeight="1" x14ac:dyDescent="0.3">
      <c r="A119" s="74"/>
      <c r="B119" s="74"/>
      <c r="C119" s="74"/>
      <c r="D119" s="74"/>
      <c r="E119" s="74"/>
      <c r="F119" s="74"/>
      <c r="G119" s="74"/>
      <c r="H119" s="74"/>
      <c r="I119" s="74"/>
      <c r="J119" s="74"/>
      <c r="K119" s="74"/>
      <c r="L119" s="79" t="s">
        <v>60</v>
      </c>
      <c r="M119" s="77">
        <f>'Gjensidige Pensjon'!B11-'Gjensidige Pensjon'!B12+'Gjensidige Pensjon'!B34-'Gjensidige Pensjon'!B35+'Gjensidige Pensjon'!B38-'Gjensidige Pensjon'!B39+'Gjensidige Pensjon'!B111-'Gjensidige Pensjon'!B119+'Gjensidige Pensjon'!B136-'Gjensidige Pensjon'!B137</f>
        <v>39643</v>
      </c>
      <c r="N119" s="77">
        <f>'Gjensidige Pensjon'!C11-'Gjensidige Pensjon'!C12+'Gjensidige Pensjon'!C34-'Gjensidige Pensjon'!C35+'Gjensidige Pensjon'!C38-'Gjensidige Pensjon'!C39+'Gjensidige Pensjon'!C111-'Gjensidige Pensjon'!C119+'Gjensidige Pensjon'!C136-'Gjensidige Pensjon'!C137</f>
        <v>-54821</v>
      </c>
      <c r="O119" s="74"/>
    </row>
    <row r="120" spans="1:17" ht="18.75" customHeight="1" x14ac:dyDescent="0.3">
      <c r="A120" s="74"/>
      <c r="B120" s="74"/>
      <c r="C120" s="74"/>
      <c r="D120" s="74"/>
      <c r="E120" s="74"/>
      <c r="F120" s="74"/>
      <c r="G120" s="74"/>
      <c r="H120" s="74"/>
      <c r="I120" s="74"/>
      <c r="J120" s="74"/>
      <c r="K120" s="74"/>
      <c r="L120" s="79" t="s">
        <v>63</v>
      </c>
      <c r="M120" s="77">
        <f>KLP!B11-KLP!B12+KLP!B34-KLP!B35+KLP!B38-KLP!B39+KLP!B111-KLP!B119+KLP!B136-KLP!B137</f>
        <v>-287976.44500000001</v>
      </c>
      <c r="N120" s="77">
        <f>KLP!C11-KLP!C12+KLP!C34-KLP!C35+KLP!C38-KLP!C39+KLP!C111-KLP!C119+KLP!C136-KLP!C137</f>
        <v>-4358298.5969999991</v>
      </c>
      <c r="O120" s="74"/>
    </row>
    <row r="121" spans="1:17" ht="18.75" customHeight="1" x14ac:dyDescent="0.3">
      <c r="A121" s="74"/>
      <c r="B121" s="74"/>
      <c r="C121" s="74"/>
      <c r="D121" s="74"/>
      <c r="E121" s="74"/>
      <c r="F121" s="74"/>
      <c r="G121" s="74"/>
      <c r="H121" s="74"/>
      <c r="I121" s="74"/>
      <c r="J121" s="74"/>
      <c r="K121" s="74"/>
      <c r="L121" s="74" t="s">
        <v>65</v>
      </c>
      <c r="M121" s="77">
        <f>'Nordea Liv '!B11-'Nordea Liv '!B12+'Nordea Liv '!B34-'Nordea Liv '!B35+'Nordea Liv '!B38-'Nordea Liv '!B39+'Nordea Liv '!B111-'Nordea Liv '!B119+'Nordea Liv '!B136-'Nordea Liv '!B137</f>
        <v>-18522.302429999902</v>
      </c>
      <c r="N121" s="77">
        <f>'Nordea Liv '!C11-'Nordea Liv '!C12+'Nordea Liv '!C34-'Nordea Liv '!C35+'Nordea Liv '!C38-'Nordea Liv '!C39+'Nordea Liv '!C111-'Nordea Liv '!C119+'Nordea Liv '!C136-'Nordea Liv '!C137</f>
        <v>-47335</v>
      </c>
      <c r="O121" s="74"/>
    </row>
    <row r="122" spans="1:17" ht="18.75" customHeight="1" x14ac:dyDescent="0.3">
      <c r="A122" s="74"/>
      <c r="B122" s="74"/>
      <c r="C122" s="74"/>
      <c r="D122" s="74"/>
      <c r="E122" s="74"/>
      <c r="F122" s="74"/>
      <c r="G122" s="74"/>
      <c r="H122" s="74"/>
      <c r="I122" s="74"/>
      <c r="J122" s="74"/>
      <c r="K122" s="74"/>
      <c r="L122" s="74" t="s">
        <v>67</v>
      </c>
      <c r="M122" s="77">
        <f>'Sparebank 1'!B11-'Sparebank 1'!B12+'Sparebank 1'!B34-'Sparebank 1'!B35+'Sparebank 1'!B38-'Sparebank 1'!B39+'Sparebank 1'!B111-'Sparebank 1'!B119+'Sparebank 1'!B136-'Sparebank 1'!B137</f>
        <v>-22140.237180000004</v>
      </c>
      <c r="N122" s="77">
        <f>'Sparebank 1'!C11-'Sparebank 1'!C12+'Sparebank 1'!C34-'Sparebank 1'!C35+'Sparebank 1'!C38-'Sparebank 1'!C39+'Sparebank 1'!C111-'Sparebank 1'!C119+'Sparebank 1'!C136-'Sparebank 1'!C137</f>
        <v>3188.0403499999975</v>
      </c>
      <c r="O122" s="74"/>
    </row>
    <row r="123" spans="1:17" x14ac:dyDescent="0.3">
      <c r="A123" s="74"/>
      <c r="B123" s="74"/>
      <c r="C123" s="74"/>
      <c r="D123" s="74"/>
      <c r="E123" s="74"/>
      <c r="F123" s="74"/>
      <c r="G123" s="74"/>
      <c r="H123" s="74"/>
      <c r="I123" s="74"/>
      <c r="J123" s="74"/>
      <c r="K123" s="74"/>
      <c r="L123" s="74" t="s">
        <v>68</v>
      </c>
      <c r="M123" s="77">
        <f>'Storebrand Livsforsikring'!B11-'Storebrand Livsforsikring'!B12+'Storebrand Livsforsikring'!B34-'Storebrand Livsforsikring'!B35+'Storebrand Livsforsikring'!B38-'Storebrand Livsforsikring'!B39+'Storebrand Livsforsikring'!B111-'Storebrand Livsforsikring'!B119+'Storebrand Livsforsikring'!B136-'Storebrand Livsforsikring'!B137</f>
        <v>-100940.09700000001</v>
      </c>
      <c r="N123" s="77">
        <f>'Storebrand Livsforsikring'!C11-'Storebrand Livsforsikring'!C12+'Storebrand Livsforsikring'!C34-'Storebrand Livsforsikring'!C35+'Storebrand Livsforsikring'!C38-'Storebrand Livsforsikring'!C39+'Storebrand Livsforsikring'!C111-'Storebrand Livsforsikring'!C119+'Storebrand Livsforsikring'!C136-'Storebrand Livsforsikring'!C137</f>
        <v>204279.26300000001</v>
      </c>
      <c r="O123" s="74"/>
    </row>
    <row r="124" spans="1:17" x14ac:dyDescent="0.3">
      <c r="A124" s="74"/>
      <c r="B124" s="74"/>
      <c r="C124" s="74"/>
      <c r="D124" s="74"/>
      <c r="E124" s="74"/>
      <c r="F124" s="74"/>
      <c r="G124" s="74"/>
      <c r="H124" s="74"/>
      <c r="I124" s="74"/>
      <c r="J124" s="74"/>
      <c r="K124" s="74"/>
      <c r="M124" s="77"/>
      <c r="N124" s="77"/>
      <c r="O124" s="74"/>
    </row>
    <row r="125" spans="1:17" x14ac:dyDescent="0.3">
      <c r="A125" s="74"/>
      <c r="B125" s="74"/>
      <c r="C125" s="74"/>
      <c r="D125" s="74"/>
      <c r="E125" s="74"/>
      <c r="F125" s="74"/>
      <c r="G125" s="74"/>
      <c r="H125" s="74"/>
      <c r="I125" s="74"/>
      <c r="J125" s="74"/>
      <c r="K125" s="74"/>
      <c r="M125" s="77"/>
      <c r="N125" s="77"/>
      <c r="O125" s="74"/>
    </row>
    <row r="126" spans="1:17" x14ac:dyDescent="0.3">
      <c r="A126" s="74"/>
      <c r="B126" s="74"/>
      <c r="C126" s="74"/>
      <c r="D126" s="74"/>
      <c r="E126" s="74"/>
      <c r="F126" s="74"/>
      <c r="G126" s="74"/>
      <c r="H126" s="74"/>
      <c r="I126" s="74"/>
      <c r="J126" s="74"/>
      <c r="K126" s="74"/>
      <c r="M126" s="77"/>
      <c r="N126" s="77"/>
      <c r="O126" s="74"/>
    </row>
    <row r="127" spans="1:17" x14ac:dyDescent="0.3">
      <c r="A127" s="74"/>
      <c r="B127" s="74"/>
      <c r="C127" s="74"/>
      <c r="D127" s="74"/>
      <c r="E127" s="74"/>
      <c r="F127" s="74"/>
      <c r="G127" s="74"/>
      <c r="H127" s="74"/>
      <c r="I127" s="74"/>
      <c r="J127" s="74"/>
      <c r="K127" s="74"/>
      <c r="M127" s="77"/>
      <c r="N127" s="77"/>
      <c r="O127" s="74"/>
    </row>
    <row r="128" spans="1:17" x14ac:dyDescent="0.3">
      <c r="A128" s="74"/>
      <c r="B128" s="74"/>
      <c r="C128" s="74"/>
      <c r="D128" s="74"/>
      <c r="E128" s="74"/>
      <c r="F128" s="74"/>
      <c r="G128" s="74"/>
      <c r="H128" s="74"/>
      <c r="I128" s="74"/>
      <c r="J128" s="74"/>
      <c r="K128" s="74"/>
      <c r="M128" s="77"/>
      <c r="N128" s="77"/>
      <c r="O128" s="74"/>
    </row>
    <row r="129" spans="1:15" x14ac:dyDescent="0.3">
      <c r="A129" s="74"/>
      <c r="B129" s="74"/>
      <c r="C129" s="74"/>
      <c r="D129" s="74"/>
      <c r="E129" s="74"/>
      <c r="F129" s="74"/>
      <c r="G129" s="74"/>
      <c r="H129" s="74"/>
      <c r="I129" s="74"/>
      <c r="J129" s="74"/>
      <c r="K129" s="74"/>
      <c r="M129" s="77"/>
      <c r="N129" s="77"/>
      <c r="O129" s="74"/>
    </row>
    <row r="130" spans="1:15" x14ac:dyDescent="0.3">
      <c r="A130" s="75" t="s">
        <v>432</v>
      </c>
      <c r="B130" s="74"/>
      <c r="C130" s="74"/>
      <c r="D130" s="74"/>
      <c r="E130" s="74"/>
      <c r="F130" s="74"/>
      <c r="G130" s="74"/>
      <c r="H130" s="79"/>
      <c r="I130" s="74"/>
      <c r="J130" s="74"/>
      <c r="K130" s="74"/>
      <c r="M130" s="77"/>
      <c r="N130" s="77"/>
      <c r="O130" s="74"/>
    </row>
    <row r="131" spans="1:15" x14ac:dyDescent="0.3">
      <c r="B131" s="74"/>
      <c r="C131" s="74"/>
      <c r="D131" s="74"/>
      <c r="E131" s="74"/>
      <c r="F131" s="74"/>
      <c r="G131" s="74"/>
      <c r="H131" s="74"/>
      <c r="I131" s="74"/>
      <c r="J131" s="74"/>
      <c r="K131" s="74"/>
      <c r="O131" s="74"/>
    </row>
    <row r="132" spans="1:15" x14ac:dyDescent="0.3">
      <c r="A132" s="74"/>
      <c r="B132" s="74"/>
      <c r="C132" s="74"/>
      <c r="D132" s="74"/>
      <c r="E132" s="74"/>
      <c r="F132" s="74"/>
      <c r="G132" s="74"/>
      <c r="H132" s="74"/>
      <c r="I132" s="74"/>
      <c r="J132" s="74"/>
      <c r="K132" s="74"/>
      <c r="O132" s="74"/>
    </row>
    <row r="133" spans="1:15" x14ac:dyDescent="0.3">
      <c r="A133" s="74"/>
      <c r="B133" s="74"/>
      <c r="C133" s="74"/>
      <c r="D133" s="74"/>
      <c r="E133" s="74"/>
      <c r="F133" s="74"/>
      <c r="G133" s="74"/>
      <c r="H133" s="74"/>
      <c r="I133" s="74"/>
      <c r="J133" s="74"/>
      <c r="K133" s="74"/>
      <c r="O133" s="74"/>
    </row>
    <row r="134" spans="1:15" x14ac:dyDescent="0.3">
      <c r="A134" s="74"/>
      <c r="B134" s="74"/>
      <c r="C134" s="74"/>
      <c r="D134" s="74"/>
      <c r="E134" s="74"/>
      <c r="F134" s="74"/>
      <c r="G134" s="74"/>
      <c r="H134" s="74"/>
      <c r="I134" s="74"/>
      <c r="J134" s="74"/>
      <c r="K134" s="74"/>
      <c r="O134" s="74"/>
    </row>
    <row r="135" spans="1:15" x14ac:dyDescent="0.3">
      <c r="A135" s="74"/>
      <c r="B135" s="74"/>
      <c r="C135" s="74"/>
      <c r="D135" s="74"/>
      <c r="E135" s="74"/>
      <c r="F135" s="74"/>
      <c r="G135" s="74"/>
      <c r="H135" s="74"/>
      <c r="I135" s="74"/>
      <c r="J135" s="74"/>
      <c r="K135" s="74"/>
      <c r="O135" s="74"/>
    </row>
    <row r="136" spans="1:15" x14ac:dyDescent="0.3">
      <c r="A136" s="74"/>
      <c r="B136" s="74"/>
      <c r="C136" s="74"/>
      <c r="D136" s="74"/>
      <c r="E136" s="74"/>
      <c r="F136" s="74"/>
      <c r="G136" s="74"/>
      <c r="H136" s="74"/>
      <c r="I136" s="74"/>
      <c r="J136" s="74"/>
      <c r="K136" s="74"/>
      <c r="O136" s="74"/>
    </row>
    <row r="137" spans="1:15" x14ac:dyDescent="0.3">
      <c r="A137" s="74"/>
      <c r="B137" s="74"/>
      <c r="C137" s="74"/>
      <c r="D137" s="74"/>
      <c r="E137" s="74"/>
      <c r="F137" s="74"/>
      <c r="G137" s="74"/>
      <c r="H137" s="74"/>
      <c r="I137" s="74"/>
      <c r="J137" s="74"/>
      <c r="K137" s="74"/>
      <c r="L137" s="79" t="s">
        <v>75</v>
      </c>
      <c r="O137" s="74"/>
    </row>
    <row r="138" spans="1:15" x14ac:dyDescent="0.3">
      <c r="A138" s="74"/>
      <c r="B138" s="74"/>
      <c r="C138" s="74"/>
      <c r="D138" s="74"/>
      <c r="E138" s="74"/>
      <c r="F138" s="74"/>
      <c r="G138" s="74"/>
      <c r="H138" s="74"/>
      <c r="I138" s="74"/>
      <c r="J138" s="74"/>
      <c r="K138" s="74"/>
      <c r="L138" s="74" t="s">
        <v>1</v>
      </c>
      <c r="O138" s="74"/>
    </row>
    <row r="139" spans="1:15" x14ac:dyDescent="0.3">
      <c r="A139" s="74"/>
      <c r="B139" s="74"/>
      <c r="C139" s="74"/>
      <c r="D139" s="74"/>
      <c r="E139" s="74"/>
      <c r="F139" s="74"/>
      <c r="G139" s="74"/>
      <c r="H139" s="74"/>
      <c r="I139" s="74"/>
      <c r="J139" s="74"/>
      <c r="K139" s="74"/>
      <c r="M139" s="74">
        <f>M8</f>
        <v>2019</v>
      </c>
      <c r="N139" s="74">
        <f>N8</f>
        <v>2020</v>
      </c>
      <c r="O139" s="74"/>
    </row>
    <row r="140" spans="1:15" x14ac:dyDescent="0.3">
      <c r="A140" s="74"/>
      <c r="B140" s="74"/>
      <c r="C140" s="74"/>
      <c r="D140" s="74"/>
      <c r="E140" s="74"/>
      <c r="F140" s="74"/>
      <c r="G140" s="74"/>
      <c r="H140" s="74"/>
      <c r="I140" s="74"/>
      <c r="J140" s="74"/>
      <c r="K140" s="74"/>
      <c r="L140" s="74" t="s">
        <v>54</v>
      </c>
      <c r="M140" s="77">
        <f>'Danica Pensjonsforsikring'!F11-'Danica Pensjonsforsikring'!F12+'Danica Pensjonsforsikring'!F34-'Danica Pensjonsforsikring'!F35+'Danica Pensjonsforsikring'!F38-'Danica Pensjonsforsikring'!F39+'Danica Pensjonsforsikring'!F111-'Danica Pensjonsforsikring'!F119+'Danica Pensjonsforsikring'!F136-'Danica Pensjonsforsikring'!F137</f>
        <v>257596.99600000004</v>
      </c>
      <c r="N140" s="77">
        <f>'Danica Pensjonsforsikring'!G11-'Danica Pensjonsforsikring'!G12+'Danica Pensjonsforsikring'!G34-'Danica Pensjonsforsikring'!G35+'Danica Pensjonsforsikring'!G38-'Danica Pensjonsforsikring'!G39+'Danica Pensjonsforsikring'!G111-'Danica Pensjonsforsikring'!G119+'Danica Pensjonsforsikring'!G136-'Danica Pensjonsforsikring'!G137</f>
        <v>174979.34500000003</v>
      </c>
      <c r="O140" s="74"/>
    </row>
    <row r="141" spans="1:15" x14ac:dyDescent="0.3">
      <c r="A141" s="74"/>
      <c r="B141" s="74"/>
      <c r="C141" s="74"/>
      <c r="D141" s="74"/>
      <c r="E141" s="74"/>
      <c r="F141" s="74"/>
      <c r="G141" s="74"/>
      <c r="H141" s="74"/>
      <c r="I141" s="74"/>
      <c r="J141" s="74"/>
      <c r="K141" s="74"/>
      <c r="L141" s="74" t="s">
        <v>427</v>
      </c>
      <c r="M141" s="77">
        <f>'DNB Bedriftspensjon'!F11-'DNB Bedriftspensjon'!F12+'DNB Bedriftspensjon'!F34-'DNB Bedriftspensjon'!F35+'DNB Bedriftspensjon'!F38-'DNB Bedriftspensjon'!F39+'DNB Bedriftspensjon'!F111-'DNB Bedriftspensjon'!F119+'DNB Bedriftspensjon'!F136-'DNB Bedriftspensjon'!F137</f>
        <v>302024</v>
      </c>
      <c r="N141" s="77">
        <f>'DNB Bedriftspensjon'!G11-'DNB Bedriftspensjon'!G12+'DNB Bedriftspensjon'!G34-'DNB Bedriftspensjon'!G35+'DNB Bedriftspensjon'!G38-'DNB Bedriftspensjon'!G39+'DNB Bedriftspensjon'!G111-'DNB Bedriftspensjon'!G119+'DNB Bedriftspensjon'!G136-'DNB Bedriftspensjon'!G137</f>
        <v>214639</v>
      </c>
      <c r="O141" s="74"/>
    </row>
    <row r="142" spans="1:15" x14ac:dyDescent="0.3">
      <c r="A142" s="74"/>
      <c r="B142" s="74"/>
      <c r="C142" s="74"/>
      <c r="D142" s="74"/>
      <c r="E142" s="74"/>
      <c r="F142" s="74"/>
      <c r="G142" s="74"/>
      <c r="H142" s="74"/>
      <c r="I142" s="74"/>
      <c r="J142" s="74"/>
      <c r="K142" s="74"/>
      <c r="L142" s="74" t="s">
        <v>55</v>
      </c>
      <c r="M142" s="77">
        <f>'DNB Livsforsikring'!F11-'DNB Livsforsikring'!F12+'DNB Livsforsikring'!F34-'DNB Livsforsikring'!F35+'DNB Livsforsikring'!F38-'DNB Livsforsikring'!F39+'DNB Livsforsikring'!F111-'DNB Livsforsikring'!F119+'DNB Livsforsikring'!F136-'DNB Livsforsikring'!F137</f>
        <v>-385535.37299999967</v>
      </c>
      <c r="N142" s="77">
        <f>'DNB Livsforsikring'!G11-'DNB Livsforsikring'!G12+'DNB Livsforsikring'!G34-'DNB Livsforsikring'!G35+'DNB Livsforsikring'!G38-'DNB Livsforsikring'!G39+'DNB Livsforsikring'!G111-'DNB Livsforsikring'!G119+'DNB Livsforsikring'!G136-'DNB Livsforsikring'!G137</f>
        <v>-3689736</v>
      </c>
      <c r="O142" s="74"/>
    </row>
    <row r="143" spans="1:15" x14ac:dyDescent="0.3">
      <c r="A143" s="74"/>
      <c r="B143" s="74"/>
      <c r="C143" s="74"/>
      <c r="D143" s="74"/>
      <c r="E143" s="74"/>
      <c r="F143" s="74"/>
      <c r="G143" s="74"/>
      <c r="H143" s="74"/>
      <c r="I143" s="74"/>
      <c r="J143" s="74"/>
      <c r="K143" s="74"/>
      <c r="L143" s="74" t="s">
        <v>57</v>
      </c>
      <c r="M143" s="77">
        <f>'Frende Livsforsikring'!F11-'Frende Livsforsikring'!F12+'Frende Livsforsikring'!F34-'Frende Livsforsikring'!F35+'Frende Livsforsikring'!F38-'Frende Livsforsikring'!F39+'Frende Livsforsikring'!F111-'Frende Livsforsikring'!F119+'Frende Livsforsikring'!F136-'Frende Livsforsikring'!F137</f>
        <v>64171</v>
      </c>
      <c r="N143" s="77">
        <f>'Frende Livsforsikring'!G11-'Frende Livsforsikring'!G12+'Frende Livsforsikring'!G34-'Frende Livsforsikring'!G35+'Frende Livsforsikring'!G38-'Frende Livsforsikring'!G39+'Frende Livsforsikring'!G111-'Frende Livsforsikring'!G119+'Frende Livsforsikring'!G136-'Frende Livsforsikring'!G137</f>
        <v>-595</v>
      </c>
      <c r="O143" s="74"/>
    </row>
    <row r="144" spans="1:15" x14ac:dyDescent="0.3">
      <c r="A144" s="74"/>
      <c r="B144" s="74"/>
      <c r="C144" s="74"/>
      <c r="D144" s="74"/>
      <c r="E144" s="74"/>
      <c r="F144" s="74"/>
      <c r="G144" s="74"/>
      <c r="H144" s="74"/>
      <c r="I144" s="74"/>
      <c r="J144" s="74"/>
      <c r="K144" s="74"/>
      <c r="L144" s="79" t="s">
        <v>60</v>
      </c>
      <c r="M144" s="77">
        <f>'Gjensidige Pensjon'!F11-'Gjensidige Pensjon'!F12+'Gjensidige Pensjon'!F34-'Gjensidige Pensjon'!F35+'Gjensidige Pensjon'!F38-'Gjensidige Pensjon'!F39+'Gjensidige Pensjon'!F111-'Gjensidige Pensjon'!F119+'Gjensidige Pensjon'!F136-'Gjensidige Pensjon'!F137</f>
        <v>-419270</v>
      </c>
      <c r="N144" s="77">
        <f>'Gjensidige Pensjon'!G11-'Gjensidige Pensjon'!G12+'Gjensidige Pensjon'!G34-'Gjensidige Pensjon'!G35+'Gjensidige Pensjon'!G38-'Gjensidige Pensjon'!G39+'Gjensidige Pensjon'!G111-'Gjensidige Pensjon'!G119+'Gjensidige Pensjon'!G136-'Gjensidige Pensjon'!G137</f>
        <v>-966555</v>
      </c>
      <c r="O144" s="74"/>
    </row>
    <row r="145" spans="1:15" x14ac:dyDescent="0.3">
      <c r="A145" s="74"/>
      <c r="B145" s="74"/>
      <c r="C145" s="74"/>
      <c r="D145" s="74"/>
      <c r="E145" s="74"/>
      <c r="F145" s="74"/>
      <c r="G145" s="74"/>
      <c r="H145" s="74"/>
      <c r="I145" s="74"/>
      <c r="J145" s="74"/>
      <c r="K145" s="74"/>
      <c r="L145" s="74" t="s">
        <v>63</v>
      </c>
      <c r="M145" s="77">
        <f>KLP!F11-KLP!F12+KLP!F34-KLP!F35+KLP!F38-KLP!F39+KLP!F111-KLP!F119+KLP!F136-KLP!F137</f>
        <v>0</v>
      </c>
      <c r="N145" s="77">
        <f>KLP!G11-KLP!G12+KLP!G34-KLP!G35+KLP!G38-KLP!G39+KLP!G111-KLP!G119+KLP!G136-KLP!G137</f>
        <v>-462823.85</v>
      </c>
      <c r="O145" s="74"/>
    </row>
    <row r="146" spans="1:15" x14ac:dyDescent="0.3">
      <c r="A146" s="74"/>
      <c r="B146" s="74"/>
      <c r="C146" s="74"/>
      <c r="D146" s="74"/>
      <c r="E146" s="74"/>
      <c r="F146" s="74"/>
      <c r="G146" s="74"/>
      <c r="H146" s="74"/>
      <c r="I146" s="74"/>
      <c r="J146" s="74"/>
      <c r="K146" s="74"/>
      <c r="L146" s="74" t="s">
        <v>65</v>
      </c>
      <c r="M146" s="77">
        <f>'Nordea Liv '!F11-'Nordea Liv '!F12+'Nordea Liv '!F34-'Nordea Liv '!F35+'Nordea Liv '!F38-'Nordea Liv '!F39+'Nordea Liv '!F111-'Nordea Liv '!F119+'Nordea Liv '!F136-'Nordea Liv '!F137</f>
        <v>1135836.2008400001</v>
      </c>
      <c r="N146" s="77">
        <f>'Nordea Liv '!G11-'Nordea Liv '!G12+'Nordea Liv '!G34-'Nordea Liv '!G35+'Nordea Liv '!G38-'Nordea Liv '!G39+'Nordea Liv '!G111-'Nordea Liv '!G119+'Nordea Liv '!G136-'Nordea Liv '!G137</f>
        <v>3079048.5324300006</v>
      </c>
      <c r="O146" s="74"/>
    </row>
    <row r="147" spans="1:15" x14ac:dyDescent="0.3">
      <c r="A147" s="74"/>
      <c r="B147" s="74"/>
      <c r="C147" s="74"/>
      <c r="D147" s="74"/>
      <c r="E147" s="74"/>
      <c r="F147" s="74"/>
      <c r="G147" s="74"/>
      <c r="H147" s="74"/>
      <c r="I147" s="74"/>
      <c r="J147" s="74"/>
      <c r="K147" s="74"/>
      <c r="L147" s="74" t="s">
        <v>71</v>
      </c>
      <c r="M147" s="77">
        <f>'SHB Liv'!F11-'SHB Liv'!F12+'SHB Liv'!F34-'SHB Liv'!F35+'SHB Liv'!F38-'SHB Liv'!F39+'SHB Liv'!F111-'SHB Liv'!F119+'SHB Liv'!F136-'SHB Liv'!F137</f>
        <v>70450.498990000007</v>
      </c>
      <c r="N147" s="77">
        <f>'SHB Liv'!G11-'SHB Liv'!G12+'SHB Liv'!G34-'SHB Liv'!G35+'SHB Liv'!G38-'SHB Liv'!G39+'SHB Liv'!G111-'SHB Liv'!G119+'SHB Liv'!G136-'SHB Liv'!G137</f>
        <v>59352.447399999997</v>
      </c>
      <c r="O147" s="74"/>
    </row>
    <row r="148" spans="1:15" x14ac:dyDescent="0.3">
      <c r="A148" s="74"/>
      <c r="B148" s="74"/>
      <c r="C148" s="74"/>
      <c r="D148" s="74"/>
      <c r="E148" s="74"/>
      <c r="F148" s="74"/>
      <c r="G148" s="74"/>
      <c r="H148" s="74"/>
      <c r="I148" s="74"/>
      <c r="J148" s="74"/>
      <c r="K148" s="74"/>
      <c r="L148" s="74" t="s">
        <v>67</v>
      </c>
      <c r="M148" s="77">
        <f>'Sparebank 1'!F11-'Sparebank 1'!F12+'Sparebank 1'!F34-'Sparebank 1'!F35+'Sparebank 1'!F38-'Sparebank 1'!F39+'Sparebank 1'!F111-'Sparebank 1'!F119+'Sparebank 1'!F136-'Sparebank 1'!F137</f>
        <v>375750.19088000001</v>
      </c>
      <c r="N148" s="77">
        <f>'Sparebank 1'!G11-'Sparebank 1'!G12+'Sparebank 1'!G34-'Sparebank 1'!G35+'Sparebank 1'!G38-'Sparebank 1'!G39+'Sparebank 1'!G111-'Sparebank 1'!G119+'Sparebank 1'!G136-'Sparebank 1'!G137</f>
        <v>261540.91234999988</v>
      </c>
      <c r="O148" s="74"/>
    </row>
    <row r="149" spans="1:15" x14ac:dyDescent="0.3">
      <c r="A149" s="74"/>
      <c r="B149" s="74"/>
      <c r="C149" s="74"/>
      <c r="D149" s="74"/>
      <c r="E149" s="74"/>
      <c r="F149" s="74"/>
      <c r="G149" s="74"/>
      <c r="H149" s="74"/>
      <c r="I149" s="74"/>
      <c r="J149" s="74"/>
      <c r="K149" s="74"/>
      <c r="L149" s="74" t="s">
        <v>72</v>
      </c>
      <c r="M149" s="77">
        <f>'Storebrand Livsforsikring'!F11-'Storebrand Livsforsikring'!F12+'Storebrand Livsforsikring'!F34-'Storebrand Livsforsikring'!F35+'Storebrand Livsforsikring'!F38-'Storebrand Livsforsikring'!F39+'Storebrand Livsforsikring'!F111-'Storebrand Livsforsikring'!F119+'Storebrand Livsforsikring'!F136-'Storebrand Livsforsikring'!F137</f>
        <v>-1397198.8170000003</v>
      </c>
      <c r="N149" s="77">
        <f>'Storebrand Livsforsikring'!G11-'Storebrand Livsforsikring'!G12+'Storebrand Livsforsikring'!G34-'Storebrand Livsforsikring'!G35+'Storebrand Livsforsikring'!G38-'Storebrand Livsforsikring'!G39+'Storebrand Livsforsikring'!G111-'Storebrand Livsforsikring'!G119+'Storebrand Livsforsikring'!G136-'Storebrand Livsforsikring'!G137</f>
        <v>904021.56999999937</v>
      </c>
      <c r="O149" s="74"/>
    </row>
    <row r="150" spans="1:15" x14ac:dyDescent="0.3">
      <c r="A150" s="74"/>
      <c r="B150" s="74"/>
      <c r="C150" s="74"/>
      <c r="D150" s="74"/>
      <c r="E150" s="74"/>
      <c r="F150" s="74"/>
      <c r="G150" s="74"/>
      <c r="H150" s="74"/>
      <c r="I150" s="74"/>
      <c r="J150" s="74"/>
      <c r="K150" s="74"/>
      <c r="O150" s="74"/>
    </row>
    <row r="151" spans="1:15" x14ac:dyDescent="0.3">
      <c r="A151" s="74"/>
      <c r="B151" s="74"/>
      <c r="C151" s="74"/>
      <c r="D151" s="74"/>
      <c r="E151" s="74"/>
      <c r="F151" s="74"/>
      <c r="G151" s="74"/>
      <c r="H151" s="74"/>
      <c r="I151" s="74"/>
      <c r="J151" s="74"/>
      <c r="K151" s="74"/>
      <c r="O151" s="74"/>
    </row>
    <row r="152" spans="1:15" x14ac:dyDescent="0.3">
      <c r="A152" s="74"/>
      <c r="B152" s="74"/>
      <c r="C152" s="74"/>
      <c r="D152" s="74"/>
      <c r="E152" s="74"/>
      <c r="F152" s="74"/>
      <c r="G152" s="74"/>
      <c r="H152" s="74"/>
      <c r="I152" s="74"/>
      <c r="J152" s="74"/>
      <c r="K152" s="74"/>
      <c r="O152" s="74"/>
    </row>
    <row r="153" spans="1:15" x14ac:dyDescent="0.3">
      <c r="A153" s="74"/>
      <c r="B153" s="74"/>
      <c r="C153" s="74"/>
      <c r="D153" s="74"/>
      <c r="E153" s="74"/>
      <c r="F153" s="74"/>
      <c r="G153" s="74"/>
      <c r="H153" s="74"/>
      <c r="I153" s="74"/>
      <c r="J153" s="74"/>
      <c r="K153" s="74"/>
      <c r="O153" s="74"/>
    </row>
    <row r="154" spans="1:15" x14ac:dyDescent="0.3">
      <c r="O154" s="74"/>
    </row>
    <row r="155" spans="1:15" x14ac:dyDescent="0.3">
      <c r="O155" s="74"/>
    </row>
    <row r="156" spans="1:15" x14ac:dyDescent="0.3">
      <c r="O156" s="74"/>
    </row>
    <row r="157" spans="1:15" x14ac:dyDescent="0.3">
      <c r="O157" s="74"/>
    </row>
    <row r="158" spans="1:15" x14ac:dyDescent="0.3">
      <c r="O158" s="74"/>
    </row>
    <row r="159" spans="1:15" x14ac:dyDescent="0.3">
      <c r="O159" s="74"/>
    </row>
    <row r="160" spans="1:15" x14ac:dyDescent="0.3">
      <c r="O160" s="74"/>
    </row>
    <row r="161" spans="1:15" x14ac:dyDescent="0.3">
      <c r="O161" s="74"/>
    </row>
    <row r="162" spans="1:15" x14ac:dyDescent="0.3">
      <c r="O162" s="74"/>
    </row>
    <row r="163" spans="1:15" x14ac:dyDescent="0.3">
      <c r="O163" s="74"/>
    </row>
    <row r="164" spans="1:15" x14ac:dyDescent="0.3">
      <c r="O164" s="74"/>
    </row>
    <row r="165" spans="1:15" x14ac:dyDescent="0.3">
      <c r="O165" s="74"/>
    </row>
    <row r="166" spans="1:15" x14ac:dyDescent="0.3">
      <c r="O166" s="74"/>
    </row>
    <row r="167" spans="1:15" x14ac:dyDescent="0.3">
      <c r="O167" s="74"/>
    </row>
    <row r="168" spans="1:15" x14ac:dyDescent="0.3">
      <c r="O168" s="74"/>
    </row>
    <row r="169" spans="1:15" x14ac:dyDescent="0.3">
      <c r="O169" s="74"/>
    </row>
    <row r="170" spans="1:15" x14ac:dyDescent="0.3">
      <c r="A170" s="74"/>
      <c r="B170" s="74"/>
      <c r="C170" s="74"/>
      <c r="D170" s="74"/>
      <c r="E170" s="74"/>
      <c r="F170" s="74"/>
      <c r="G170" s="74"/>
      <c r="H170" s="74"/>
      <c r="I170" s="74"/>
      <c r="J170" s="74"/>
      <c r="K170" s="74"/>
      <c r="O170" s="74"/>
    </row>
    <row r="171" spans="1:15" x14ac:dyDescent="0.3">
      <c r="A171" s="74"/>
      <c r="B171" s="74"/>
      <c r="C171" s="74"/>
      <c r="D171" s="74"/>
      <c r="E171" s="74"/>
      <c r="F171" s="74"/>
      <c r="G171" s="74"/>
      <c r="H171" s="74"/>
      <c r="I171" s="74"/>
      <c r="J171" s="74"/>
      <c r="K171" s="74"/>
      <c r="O171" s="74"/>
    </row>
    <row r="172" spans="1:15" x14ac:dyDescent="0.3">
      <c r="A172" s="74"/>
      <c r="B172" s="74"/>
      <c r="C172" s="74"/>
      <c r="D172" s="74"/>
      <c r="E172" s="74"/>
      <c r="F172" s="74"/>
      <c r="G172" s="74"/>
      <c r="H172" s="74"/>
      <c r="I172" s="74"/>
      <c r="J172" s="74"/>
      <c r="K172" s="74"/>
      <c r="O172" s="74"/>
    </row>
    <row r="173" spans="1:15" x14ac:dyDescent="0.3">
      <c r="A173" s="74"/>
      <c r="B173" s="74"/>
      <c r="C173" s="74"/>
      <c r="D173" s="74"/>
      <c r="E173" s="74"/>
      <c r="F173" s="74"/>
      <c r="G173" s="74"/>
      <c r="H173" s="74"/>
      <c r="I173" s="74"/>
      <c r="J173" s="74"/>
      <c r="K173" s="74"/>
      <c r="O173" s="74"/>
    </row>
    <row r="174" spans="1:15" x14ac:dyDescent="0.3">
      <c r="A174" s="74"/>
      <c r="B174" s="74"/>
      <c r="C174" s="74"/>
      <c r="D174" s="74"/>
      <c r="E174" s="74"/>
      <c r="F174" s="74"/>
      <c r="G174" s="74"/>
      <c r="H174" s="74"/>
      <c r="I174" s="74"/>
      <c r="J174" s="74"/>
      <c r="K174" s="74"/>
      <c r="O174" s="74"/>
    </row>
    <row r="175" spans="1:15" x14ac:dyDescent="0.3">
      <c r="A175" s="74"/>
      <c r="B175" s="74"/>
      <c r="C175" s="74"/>
      <c r="D175" s="74"/>
      <c r="E175" s="74"/>
      <c r="F175" s="74"/>
      <c r="G175" s="74"/>
      <c r="H175" s="74"/>
      <c r="I175" s="74"/>
      <c r="J175" s="74"/>
      <c r="K175" s="74"/>
      <c r="O175" s="74"/>
    </row>
    <row r="176" spans="1:15" x14ac:dyDescent="0.3">
      <c r="A176" s="74"/>
      <c r="B176" s="74"/>
      <c r="C176" s="74"/>
      <c r="D176" s="74"/>
      <c r="E176" s="74"/>
      <c r="F176" s="74"/>
      <c r="G176" s="74"/>
      <c r="H176" s="74"/>
      <c r="I176" s="74"/>
      <c r="J176" s="74"/>
      <c r="K176" s="74"/>
      <c r="O176" s="74"/>
    </row>
  </sheetData>
  <hyperlinks>
    <hyperlink ref="A1" location="Innhold!A1" display="Tilbake" xr:uid="{00000000-0004-0000-0200-000000000000}"/>
  </hyperlinks>
  <pageMargins left="0.7" right="0.7" top="0.78740157499999996" bottom="0.78740157499999996"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Ark32"/>
  <dimension ref="A1:N144"/>
  <sheetViews>
    <sheetView showGridLines="0" zoomScaleNormal="100" workbookViewId="0">
      <selection activeCell="A3" sqref="A3"/>
    </sheetView>
  </sheetViews>
  <sheetFormatPr baseColWidth="10" defaultColWidth="11.42578125" defaultRowHeight="12.75" x14ac:dyDescent="0.2"/>
  <cols>
    <col min="1" max="1" width="43"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135</v>
      </c>
      <c r="B1" s="709"/>
      <c r="C1" s="248" t="s">
        <v>97</v>
      </c>
      <c r="D1" s="26"/>
      <c r="E1" s="26"/>
      <c r="F1" s="26"/>
      <c r="G1" s="26"/>
      <c r="H1" s="26"/>
      <c r="I1" s="26"/>
      <c r="J1" s="26"/>
      <c r="K1" s="26"/>
      <c r="L1" s="26"/>
      <c r="M1" s="26"/>
    </row>
    <row r="2" spans="1:14" ht="15.75" x14ac:dyDescent="0.25">
      <c r="A2" s="165" t="s">
        <v>28</v>
      </c>
      <c r="B2" s="732"/>
      <c r="C2" s="732"/>
      <c r="D2" s="732"/>
      <c r="E2" s="299"/>
      <c r="F2" s="732"/>
      <c r="G2" s="732"/>
      <c r="H2" s="732"/>
      <c r="I2" s="299"/>
      <c r="J2" s="732"/>
      <c r="K2" s="732"/>
      <c r="L2" s="732"/>
      <c r="M2" s="299"/>
    </row>
    <row r="3" spans="1:14" ht="15.75" x14ac:dyDescent="0.25">
      <c r="A3" s="163"/>
      <c r="B3" s="299"/>
      <c r="C3" s="299"/>
      <c r="D3" s="299"/>
      <c r="E3" s="299"/>
      <c r="F3" s="299"/>
      <c r="G3" s="299"/>
      <c r="H3" s="299"/>
      <c r="I3" s="299"/>
      <c r="J3" s="299"/>
      <c r="K3" s="299"/>
      <c r="L3" s="299"/>
      <c r="M3" s="299"/>
    </row>
    <row r="4" spans="1:14" x14ac:dyDescent="0.2">
      <c r="A4" s="144"/>
      <c r="B4" s="733" t="s">
        <v>0</v>
      </c>
      <c r="C4" s="734"/>
      <c r="D4" s="734"/>
      <c r="E4" s="301"/>
      <c r="F4" s="733" t="s">
        <v>1</v>
      </c>
      <c r="G4" s="734"/>
      <c r="H4" s="734"/>
      <c r="I4" s="304"/>
      <c r="J4" s="733" t="s">
        <v>2</v>
      </c>
      <c r="K4" s="734"/>
      <c r="L4" s="734"/>
      <c r="M4" s="304"/>
    </row>
    <row r="5" spans="1:14" x14ac:dyDescent="0.2">
      <c r="A5" s="158"/>
      <c r="B5" s="152" t="s">
        <v>421</v>
      </c>
      <c r="C5" s="152" t="s">
        <v>422</v>
      </c>
      <c r="D5" s="245" t="s">
        <v>3</v>
      </c>
      <c r="E5" s="305" t="s">
        <v>29</v>
      </c>
      <c r="F5" s="152" t="s">
        <v>421</v>
      </c>
      <c r="G5" s="152" t="s">
        <v>422</v>
      </c>
      <c r="H5" s="245" t="s">
        <v>3</v>
      </c>
      <c r="I5" s="162" t="s">
        <v>29</v>
      </c>
      <c r="J5" s="152" t="s">
        <v>421</v>
      </c>
      <c r="K5" s="152" t="s">
        <v>422</v>
      </c>
      <c r="L5" s="245" t="s">
        <v>3</v>
      </c>
      <c r="M5" s="162" t="s">
        <v>29</v>
      </c>
    </row>
    <row r="6" spans="1:14" x14ac:dyDescent="0.2">
      <c r="A6" s="707"/>
      <c r="B6" s="156"/>
      <c r="C6" s="156"/>
      <c r="D6" s="246" t="s">
        <v>4</v>
      </c>
      <c r="E6" s="156" t="s">
        <v>30</v>
      </c>
      <c r="F6" s="161"/>
      <c r="G6" s="161"/>
      <c r="H6" s="245" t="s">
        <v>4</v>
      </c>
      <c r="I6" s="156" t="s">
        <v>30</v>
      </c>
      <c r="J6" s="161"/>
      <c r="K6" s="161"/>
      <c r="L6" s="245" t="s">
        <v>4</v>
      </c>
      <c r="M6" s="156" t="s">
        <v>30</v>
      </c>
    </row>
    <row r="7" spans="1:14" ht="15.75" x14ac:dyDescent="0.2">
      <c r="A7" s="14" t="s">
        <v>23</v>
      </c>
      <c r="B7" s="306"/>
      <c r="C7" s="307"/>
      <c r="D7" s="350"/>
      <c r="E7" s="11"/>
      <c r="F7" s="306"/>
      <c r="G7" s="307"/>
      <c r="H7" s="350"/>
      <c r="I7" s="160"/>
      <c r="J7" s="308"/>
      <c r="K7" s="309"/>
      <c r="L7" s="427"/>
      <c r="M7" s="11"/>
    </row>
    <row r="8" spans="1:14" ht="15.75" x14ac:dyDescent="0.2">
      <c r="A8" s="21" t="s">
        <v>25</v>
      </c>
      <c r="B8" s="281"/>
      <c r="C8" s="282"/>
      <c r="D8" s="166"/>
      <c r="E8" s="27"/>
      <c r="F8" s="285"/>
      <c r="G8" s="286"/>
      <c r="H8" s="166"/>
      <c r="I8" s="175"/>
      <c r="J8" s="234"/>
      <c r="K8" s="287"/>
      <c r="L8" s="166"/>
      <c r="M8" s="27"/>
    </row>
    <row r="9" spans="1:14" ht="15.75" x14ac:dyDescent="0.2">
      <c r="A9" s="21" t="s">
        <v>24</v>
      </c>
      <c r="B9" s="281"/>
      <c r="C9" s="282"/>
      <c r="D9" s="166"/>
      <c r="E9" s="27"/>
      <c r="F9" s="285"/>
      <c r="G9" s="286"/>
      <c r="H9" s="166"/>
      <c r="I9" s="175"/>
      <c r="J9" s="234"/>
      <c r="K9" s="287"/>
      <c r="L9" s="166"/>
      <c r="M9" s="27"/>
    </row>
    <row r="10" spans="1:14" ht="15.75" x14ac:dyDescent="0.2">
      <c r="A10" s="13" t="s">
        <v>365</v>
      </c>
      <c r="B10" s="310"/>
      <c r="C10" s="311"/>
      <c r="D10" s="171"/>
      <c r="E10" s="11"/>
      <c r="F10" s="310"/>
      <c r="G10" s="311"/>
      <c r="H10" s="171"/>
      <c r="I10" s="160"/>
      <c r="J10" s="308"/>
      <c r="K10" s="309"/>
      <c r="L10" s="428"/>
      <c r="M10" s="11"/>
    </row>
    <row r="11" spans="1:14" s="43" customFormat="1" ht="15.75" x14ac:dyDescent="0.2">
      <c r="A11" s="13" t="s">
        <v>366</v>
      </c>
      <c r="B11" s="310"/>
      <c r="C11" s="311"/>
      <c r="D11" s="171"/>
      <c r="E11" s="11"/>
      <c r="F11" s="310"/>
      <c r="G11" s="311"/>
      <c r="H11" s="171"/>
      <c r="I11" s="160"/>
      <c r="J11" s="308"/>
      <c r="K11" s="309"/>
      <c r="L11" s="428"/>
      <c r="M11" s="11"/>
      <c r="N11" s="143"/>
    </row>
    <row r="12" spans="1:14" s="43" customFormat="1" ht="15.75" x14ac:dyDescent="0.2">
      <c r="A12" s="41" t="s">
        <v>367</v>
      </c>
      <c r="B12" s="312"/>
      <c r="C12" s="313"/>
      <c r="D12" s="169"/>
      <c r="E12" s="36"/>
      <c r="F12" s="312"/>
      <c r="G12" s="313"/>
      <c r="H12" s="169"/>
      <c r="I12" s="169"/>
      <c r="J12" s="314"/>
      <c r="K12" s="315"/>
      <c r="L12" s="429"/>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275</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272</v>
      </c>
      <c r="B17" s="157"/>
      <c r="C17" s="157"/>
      <c r="D17" s="151"/>
      <c r="E17" s="151"/>
      <c r="F17" s="157"/>
      <c r="G17" s="157"/>
      <c r="H17" s="157"/>
      <c r="I17" s="157"/>
      <c r="J17" s="157"/>
      <c r="K17" s="157"/>
      <c r="L17" s="157"/>
      <c r="M17" s="157"/>
    </row>
    <row r="18" spans="1:14" ht="15.75" x14ac:dyDescent="0.25">
      <c r="B18" s="735"/>
      <c r="C18" s="735"/>
      <c r="D18" s="735"/>
      <c r="E18" s="299"/>
      <c r="F18" s="735"/>
      <c r="G18" s="735"/>
      <c r="H18" s="735"/>
      <c r="I18" s="299"/>
      <c r="J18" s="735"/>
      <c r="K18" s="735"/>
      <c r="L18" s="735"/>
      <c r="M18" s="299"/>
    </row>
    <row r="19" spans="1:14" x14ac:dyDescent="0.2">
      <c r="A19" s="144"/>
      <c r="B19" s="733" t="s">
        <v>0</v>
      </c>
      <c r="C19" s="734"/>
      <c r="D19" s="734"/>
      <c r="E19" s="301"/>
      <c r="F19" s="733" t="s">
        <v>1</v>
      </c>
      <c r="G19" s="734"/>
      <c r="H19" s="734"/>
      <c r="I19" s="304"/>
      <c r="J19" s="733" t="s">
        <v>2</v>
      </c>
      <c r="K19" s="734"/>
      <c r="L19" s="734"/>
      <c r="M19" s="304"/>
    </row>
    <row r="20" spans="1:14" x14ac:dyDescent="0.2">
      <c r="A20" s="140" t="s">
        <v>5</v>
      </c>
      <c r="B20" s="152" t="s">
        <v>421</v>
      </c>
      <c r="C20" s="152" t="s">
        <v>422</v>
      </c>
      <c r="D20" s="162" t="s">
        <v>3</v>
      </c>
      <c r="E20" s="305" t="s">
        <v>29</v>
      </c>
      <c r="F20" s="152" t="s">
        <v>421</v>
      </c>
      <c r="G20" s="152" t="s">
        <v>422</v>
      </c>
      <c r="H20" s="162" t="s">
        <v>3</v>
      </c>
      <c r="I20" s="162" t="s">
        <v>29</v>
      </c>
      <c r="J20" s="152" t="s">
        <v>421</v>
      </c>
      <c r="K20" s="152" t="s">
        <v>422</v>
      </c>
      <c r="L20" s="162" t="s">
        <v>3</v>
      </c>
      <c r="M20" s="162" t="s">
        <v>29</v>
      </c>
    </row>
    <row r="21" spans="1:14" x14ac:dyDescent="0.2">
      <c r="A21" s="708"/>
      <c r="B21" s="156"/>
      <c r="C21" s="156"/>
      <c r="D21" s="246" t="s">
        <v>4</v>
      </c>
      <c r="E21" s="156" t="s">
        <v>30</v>
      </c>
      <c r="F21" s="161"/>
      <c r="G21" s="161"/>
      <c r="H21" s="245" t="s">
        <v>4</v>
      </c>
      <c r="I21" s="156" t="s">
        <v>30</v>
      </c>
      <c r="J21" s="161"/>
      <c r="K21" s="161"/>
      <c r="L21" s="156" t="s">
        <v>4</v>
      </c>
      <c r="M21" s="156" t="s">
        <v>30</v>
      </c>
    </row>
    <row r="22" spans="1:14" ht="15.75" x14ac:dyDescent="0.2">
      <c r="A22" s="14" t="s">
        <v>23</v>
      </c>
      <c r="B22" s="310"/>
      <c r="C22" s="310"/>
      <c r="D22" s="350"/>
      <c r="E22" s="11"/>
      <c r="F22" s="318"/>
      <c r="G22" s="318"/>
      <c r="H22" s="350"/>
      <c r="I22" s="11"/>
      <c r="J22" s="316"/>
      <c r="K22" s="316"/>
      <c r="L22" s="427"/>
      <c r="M22" s="24"/>
    </row>
    <row r="23" spans="1:14" ht="15.75" x14ac:dyDescent="0.2">
      <c r="A23" s="584" t="s">
        <v>368</v>
      </c>
      <c r="B23" s="281"/>
      <c r="C23" s="281"/>
      <c r="D23" s="166"/>
      <c r="E23" s="11"/>
      <c r="F23" s="290"/>
      <c r="G23" s="290"/>
      <c r="H23" s="166"/>
      <c r="I23" s="417"/>
      <c r="J23" s="290"/>
      <c r="K23" s="290"/>
      <c r="L23" s="166"/>
      <c r="M23" s="23"/>
    </row>
    <row r="24" spans="1:14" ht="15.75" x14ac:dyDescent="0.2">
      <c r="A24" s="584" t="s">
        <v>369</v>
      </c>
      <c r="B24" s="281"/>
      <c r="C24" s="281"/>
      <c r="D24" s="166"/>
      <c r="E24" s="11"/>
      <c r="F24" s="290"/>
      <c r="G24" s="290"/>
      <c r="H24" s="166"/>
      <c r="I24" s="417"/>
      <c r="J24" s="290"/>
      <c r="K24" s="290"/>
      <c r="L24" s="166"/>
      <c r="M24" s="23"/>
    </row>
    <row r="25" spans="1:14" ht="15.75" x14ac:dyDescent="0.2">
      <c r="A25" s="584" t="s">
        <v>370</v>
      </c>
      <c r="B25" s="281"/>
      <c r="C25" s="281"/>
      <c r="D25" s="166"/>
      <c r="E25" s="11"/>
      <c r="F25" s="290"/>
      <c r="G25" s="290"/>
      <c r="H25" s="166"/>
      <c r="I25" s="417"/>
      <c r="J25" s="290"/>
      <c r="K25" s="290"/>
      <c r="L25" s="166"/>
      <c r="M25" s="23"/>
    </row>
    <row r="26" spans="1:14" ht="15.75" x14ac:dyDescent="0.2">
      <c r="A26" s="584" t="s">
        <v>371</v>
      </c>
      <c r="B26" s="281"/>
      <c r="C26" s="281"/>
      <c r="D26" s="166"/>
      <c r="E26" s="11"/>
      <c r="F26" s="290"/>
      <c r="G26" s="290"/>
      <c r="H26" s="166"/>
      <c r="I26" s="417"/>
      <c r="J26" s="290"/>
      <c r="K26" s="290"/>
      <c r="L26" s="166"/>
      <c r="M26" s="23"/>
    </row>
    <row r="27" spans="1:14" x14ac:dyDescent="0.2">
      <c r="A27" s="584" t="s">
        <v>11</v>
      </c>
      <c r="B27" s="281"/>
      <c r="C27" s="281"/>
      <c r="D27" s="166"/>
      <c r="E27" s="11"/>
      <c r="F27" s="290"/>
      <c r="G27" s="290"/>
      <c r="H27" s="166"/>
      <c r="I27" s="417"/>
      <c r="J27" s="290"/>
      <c r="K27" s="290"/>
      <c r="L27" s="166"/>
      <c r="M27" s="23"/>
    </row>
    <row r="28" spans="1:14" ht="15.75" x14ac:dyDescent="0.2">
      <c r="A28" s="49" t="s">
        <v>276</v>
      </c>
      <c r="B28" s="44"/>
      <c r="C28" s="287"/>
      <c r="D28" s="166"/>
      <c r="E28" s="11"/>
      <c r="F28" s="234"/>
      <c r="G28" s="287"/>
      <c r="H28" s="166"/>
      <c r="I28" s="27"/>
      <c r="J28" s="44"/>
      <c r="K28" s="44"/>
      <c r="L28" s="254"/>
      <c r="M28" s="23"/>
    </row>
    <row r="29" spans="1:14" s="3" customFormat="1" ht="15.75" x14ac:dyDescent="0.2">
      <c r="A29" s="13" t="s">
        <v>365</v>
      </c>
      <c r="B29" s="236"/>
      <c r="C29" s="236"/>
      <c r="D29" s="171"/>
      <c r="E29" s="11"/>
      <c r="F29" s="308"/>
      <c r="G29" s="308"/>
      <c r="H29" s="171"/>
      <c r="I29" s="11"/>
      <c r="J29" s="236"/>
      <c r="K29" s="236"/>
      <c r="L29" s="428"/>
      <c r="M29" s="24"/>
      <c r="N29" s="148"/>
    </row>
    <row r="30" spans="1:14" s="3" customFormat="1" ht="15.75" x14ac:dyDescent="0.2">
      <c r="A30" s="584" t="s">
        <v>368</v>
      </c>
      <c r="B30" s="281"/>
      <c r="C30" s="281"/>
      <c r="D30" s="166"/>
      <c r="E30" s="11"/>
      <c r="F30" s="290"/>
      <c r="G30" s="290"/>
      <c r="H30" s="166"/>
      <c r="I30" s="417"/>
      <c r="J30" s="290"/>
      <c r="K30" s="290"/>
      <c r="L30" s="166"/>
      <c r="M30" s="23"/>
      <c r="N30" s="148"/>
    </row>
    <row r="31" spans="1:14" s="3" customFormat="1" ht="15.75" x14ac:dyDescent="0.2">
      <c r="A31" s="584" t="s">
        <v>369</v>
      </c>
      <c r="B31" s="281"/>
      <c r="C31" s="281"/>
      <c r="D31" s="166"/>
      <c r="E31" s="11"/>
      <c r="F31" s="290"/>
      <c r="G31" s="290"/>
      <c r="H31" s="166"/>
      <c r="I31" s="417"/>
      <c r="J31" s="290"/>
      <c r="K31" s="290"/>
      <c r="L31" s="166"/>
      <c r="M31" s="23"/>
      <c r="N31" s="148"/>
    </row>
    <row r="32" spans="1:14" ht="15.75" x14ac:dyDescent="0.2">
      <c r="A32" s="584" t="s">
        <v>370</v>
      </c>
      <c r="B32" s="281"/>
      <c r="C32" s="281"/>
      <c r="D32" s="166"/>
      <c r="E32" s="11"/>
      <c r="F32" s="290"/>
      <c r="G32" s="290"/>
      <c r="H32" s="166"/>
      <c r="I32" s="417"/>
      <c r="J32" s="290"/>
      <c r="K32" s="290"/>
      <c r="L32" s="166"/>
      <c r="M32" s="23"/>
    </row>
    <row r="33" spans="1:14" ht="15.75" x14ac:dyDescent="0.2">
      <c r="A33" s="584" t="s">
        <v>371</v>
      </c>
      <c r="B33" s="281"/>
      <c r="C33" s="281"/>
      <c r="D33" s="166"/>
      <c r="E33" s="11"/>
      <c r="F33" s="290"/>
      <c r="G33" s="290"/>
      <c r="H33" s="166"/>
      <c r="I33" s="417"/>
      <c r="J33" s="290"/>
      <c r="K33" s="290"/>
      <c r="L33" s="166"/>
      <c r="M33" s="23"/>
    </row>
    <row r="34" spans="1:14" ht="15.75" x14ac:dyDescent="0.2">
      <c r="A34" s="13" t="s">
        <v>366</v>
      </c>
      <c r="B34" s="236"/>
      <c r="C34" s="309"/>
      <c r="D34" s="171"/>
      <c r="E34" s="11"/>
      <c r="F34" s="308"/>
      <c r="G34" s="309"/>
      <c r="H34" s="171"/>
      <c r="I34" s="11"/>
      <c r="J34" s="236"/>
      <c r="K34" s="236"/>
      <c r="L34" s="428"/>
      <c r="M34" s="24"/>
    </row>
    <row r="35" spans="1:14" ht="15.75" x14ac:dyDescent="0.2">
      <c r="A35" s="13" t="s">
        <v>367</v>
      </c>
      <c r="B35" s="236"/>
      <c r="C35" s="309"/>
      <c r="D35" s="171"/>
      <c r="E35" s="11"/>
      <c r="F35" s="308"/>
      <c r="G35" s="309"/>
      <c r="H35" s="171"/>
      <c r="I35" s="11"/>
      <c r="J35" s="236"/>
      <c r="K35" s="236"/>
      <c r="L35" s="428"/>
      <c r="M35" s="24"/>
    </row>
    <row r="36" spans="1:14" ht="15.75" x14ac:dyDescent="0.2">
      <c r="A36" s="12" t="s">
        <v>284</v>
      </c>
      <c r="B36" s="236"/>
      <c r="C36" s="309"/>
      <c r="D36" s="171"/>
      <c r="E36" s="11"/>
      <c r="F36" s="319"/>
      <c r="G36" s="320"/>
      <c r="H36" s="171"/>
      <c r="I36" s="434"/>
      <c r="J36" s="236"/>
      <c r="K36" s="236"/>
      <c r="L36" s="428"/>
      <c r="M36" s="24"/>
    </row>
    <row r="37" spans="1:14" ht="15.75" x14ac:dyDescent="0.2">
      <c r="A37" s="12" t="s">
        <v>373</v>
      </c>
      <c r="B37" s="236"/>
      <c r="C37" s="309"/>
      <c r="D37" s="171"/>
      <c r="E37" s="11"/>
      <c r="F37" s="319"/>
      <c r="G37" s="321"/>
      <c r="H37" s="171"/>
      <c r="I37" s="434"/>
      <c r="J37" s="236"/>
      <c r="K37" s="236"/>
      <c r="L37" s="428"/>
      <c r="M37" s="24"/>
    </row>
    <row r="38" spans="1:14" ht="15.75" x14ac:dyDescent="0.2">
      <c r="A38" s="12" t="s">
        <v>374</v>
      </c>
      <c r="B38" s="236"/>
      <c r="C38" s="309"/>
      <c r="D38" s="432"/>
      <c r="E38" s="24"/>
      <c r="F38" s="319"/>
      <c r="G38" s="320"/>
      <c r="H38" s="171"/>
      <c r="I38" s="434"/>
      <c r="J38" s="236"/>
      <c r="K38" s="236"/>
      <c r="L38" s="428"/>
      <c r="M38" s="24"/>
    </row>
    <row r="39" spans="1:14" ht="15.75" x14ac:dyDescent="0.2">
      <c r="A39" s="18" t="s">
        <v>375</v>
      </c>
      <c r="B39" s="276"/>
      <c r="C39" s="315"/>
      <c r="D39" s="433"/>
      <c r="E39" s="36"/>
      <c r="F39" s="322"/>
      <c r="G39" s="323"/>
      <c r="H39" s="169"/>
      <c r="I39" s="36"/>
      <c r="J39" s="236"/>
      <c r="K39" s="236"/>
      <c r="L39" s="429"/>
      <c r="M39" s="36"/>
    </row>
    <row r="40" spans="1:14" ht="15.75" x14ac:dyDescent="0.25">
      <c r="A40" s="47"/>
      <c r="B40" s="253"/>
      <c r="C40" s="253"/>
      <c r="D40" s="736"/>
      <c r="E40" s="737"/>
      <c r="F40" s="736"/>
      <c r="G40" s="736"/>
      <c r="H40" s="736"/>
      <c r="I40" s="736"/>
      <c r="J40" s="736"/>
      <c r="K40" s="736"/>
      <c r="L40" s="736"/>
      <c r="M40" s="302"/>
    </row>
    <row r="41" spans="1:14" x14ac:dyDescent="0.2">
      <c r="A41" s="155"/>
    </row>
    <row r="42" spans="1:14" ht="15.75" x14ac:dyDescent="0.25">
      <c r="A42" s="147" t="s">
        <v>273</v>
      </c>
      <c r="B42" s="732"/>
      <c r="C42" s="732"/>
      <c r="D42" s="732"/>
      <c r="E42" s="299"/>
      <c r="F42" s="737"/>
      <c r="G42" s="737"/>
      <c r="H42" s="737"/>
      <c r="I42" s="302"/>
      <c r="J42" s="737"/>
      <c r="K42" s="737"/>
      <c r="L42" s="737"/>
      <c r="M42" s="302"/>
    </row>
    <row r="43" spans="1:14" ht="15.75" x14ac:dyDescent="0.25">
      <c r="A43" s="163"/>
      <c r="B43" s="303"/>
      <c r="C43" s="303"/>
      <c r="D43" s="303"/>
      <c r="E43" s="303"/>
      <c r="F43" s="302"/>
      <c r="G43" s="302"/>
      <c r="H43" s="302"/>
      <c r="I43" s="302"/>
      <c r="J43" s="302"/>
      <c r="K43" s="302"/>
      <c r="L43" s="302"/>
      <c r="M43" s="302"/>
    </row>
    <row r="44" spans="1:14" ht="15.75" x14ac:dyDescent="0.25">
      <c r="A44" s="247"/>
      <c r="B44" s="733" t="s">
        <v>0</v>
      </c>
      <c r="C44" s="734"/>
      <c r="D44" s="734"/>
      <c r="E44" s="243"/>
      <c r="F44" s="302"/>
      <c r="G44" s="302"/>
      <c r="H44" s="302"/>
      <c r="I44" s="302"/>
      <c r="J44" s="302"/>
      <c r="K44" s="302"/>
      <c r="L44" s="302"/>
      <c r="M44" s="302"/>
    </row>
    <row r="45" spans="1:14" s="3" customFormat="1" x14ac:dyDescent="0.2">
      <c r="A45" s="140"/>
      <c r="B45" s="152" t="s">
        <v>421</v>
      </c>
      <c r="C45" s="152" t="s">
        <v>422</v>
      </c>
      <c r="D45" s="162" t="s">
        <v>3</v>
      </c>
      <c r="E45" s="162" t="s">
        <v>29</v>
      </c>
      <c r="F45" s="174"/>
      <c r="G45" s="174"/>
      <c r="H45" s="173"/>
      <c r="I45" s="173"/>
      <c r="J45" s="174"/>
      <c r="K45" s="174"/>
      <c r="L45" s="173"/>
      <c r="M45" s="173"/>
      <c r="N45" s="148"/>
    </row>
    <row r="46" spans="1:14" s="3" customFormat="1" x14ac:dyDescent="0.2">
      <c r="A46" s="708"/>
      <c r="B46" s="244"/>
      <c r="C46" s="244"/>
      <c r="D46" s="245" t="s">
        <v>4</v>
      </c>
      <c r="E46" s="156" t="s">
        <v>30</v>
      </c>
      <c r="F46" s="173"/>
      <c r="G46" s="173"/>
      <c r="H46" s="173"/>
      <c r="I46" s="173"/>
      <c r="J46" s="173"/>
      <c r="K46" s="173"/>
      <c r="L46" s="173"/>
      <c r="M46" s="173"/>
      <c r="N46" s="148"/>
    </row>
    <row r="47" spans="1:14" s="3" customFormat="1" ht="15.75" x14ac:dyDescent="0.2">
      <c r="A47" s="14" t="s">
        <v>23</v>
      </c>
      <c r="B47" s="310">
        <v>577343.84699999995</v>
      </c>
      <c r="C47" s="311">
        <v>574050.93926000001</v>
      </c>
      <c r="D47" s="427">
        <f t="shared" ref="D47:D58" si="0">IF(B47=0, "    ---- ", IF(ABS(ROUND(100/B47*C47-100,1))&lt;999,ROUND(100/B47*C47-100,1),IF(ROUND(100/B47*C47-100,1)&gt;999,999,-999)))</f>
        <v>-0.6</v>
      </c>
      <c r="E47" s="11">
        <f>IFERROR(100/'Skjema total MA'!C47*C47,0)</f>
        <v>13.583517398691141</v>
      </c>
      <c r="F47" s="145"/>
      <c r="G47" s="33"/>
      <c r="H47" s="159"/>
      <c r="I47" s="159"/>
      <c r="J47" s="37"/>
      <c r="K47" s="37"/>
      <c r="L47" s="159"/>
      <c r="M47" s="159"/>
      <c r="N47" s="148"/>
    </row>
    <row r="48" spans="1:14" s="3" customFormat="1" ht="15.75" x14ac:dyDescent="0.2">
      <c r="A48" s="38" t="s">
        <v>376</v>
      </c>
      <c r="B48" s="281">
        <v>202467.155</v>
      </c>
      <c r="C48" s="282">
        <v>146907.55911</v>
      </c>
      <c r="D48" s="254">
        <f t="shared" si="0"/>
        <v>-27.4</v>
      </c>
      <c r="E48" s="27">
        <f>IFERROR(100/'Skjema total MA'!C48*C48,0)</f>
        <v>6.175506538511911</v>
      </c>
      <c r="F48" s="145"/>
      <c r="G48" s="33"/>
      <c r="H48" s="145"/>
      <c r="I48" s="145"/>
      <c r="J48" s="33"/>
      <c r="K48" s="33"/>
      <c r="L48" s="159"/>
      <c r="M48" s="159"/>
      <c r="N48" s="148"/>
    </row>
    <row r="49" spans="1:14" s="3" customFormat="1" ht="15.75" x14ac:dyDescent="0.2">
      <c r="A49" s="38" t="s">
        <v>377</v>
      </c>
      <c r="B49" s="44">
        <v>374876.69199999998</v>
      </c>
      <c r="C49" s="287">
        <v>427143.38014999998</v>
      </c>
      <c r="D49" s="254">
        <f>IF(B49=0, "    ---- ", IF(ABS(ROUND(100/B49*C49-100,1))&lt;999,ROUND(100/B49*C49-100,1),IF(ROUND(100/B49*C49-100,1)&gt;999,999,-999)))</f>
        <v>13.9</v>
      </c>
      <c r="E49" s="27">
        <f>IFERROR(100/'Skjema total MA'!C49*C49,0)</f>
        <v>23.123704726278721</v>
      </c>
      <c r="F49" s="145"/>
      <c r="G49" s="33"/>
      <c r="H49" s="145"/>
      <c r="I49" s="145"/>
      <c r="J49" s="37"/>
      <c r="K49" s="37"/>
      <c r="L49" s="159"/>
      <c r="M49" s="159"/>
      <c r="N49" s="148"/>
    </row>
    <row r="50" spans="1:14" s="3" customFormat="1" x14ac:dyDescent="0.2">
      <c r="A50" s="296" t="s">
        <v>6</v>
      </c>
      <c r="B50" s="290" t="s">
        <v>423</v>
      </c>
      <c r="C50" s="291" t="s">
        <v>423</v>
      </c>
      <c r="D50" s="254" t="e">
        <f>IF(kvartal=4,IF(B49=0, "    ---- ", IF(ABS(ROUND(100/B49*C49-100,1))&lt;999,ROUND(100/B49*C49-100,1),IF(ROUND(100/B49*C49-100,1)&gt;999,999,-999))),"")</f>
        <v>#REF!</v>
      </c>
      <c r="E50" s="23" t="e">
        <f>IF(kvartal=4,IFERROR(100/'Skjema total MA'!B50*C50,0),"")</f>
        <v>#REF!</v>
      </c>
      <c r="F50" s="145"/>
      <c r="G50" s="33"/>
      <c r="H50" s="145"/>
      <c r="I50" s="145"/>
      <c r="J50" s="33"/>
      <c r="K50" s="33"/>
      <c r="L50" s="159"/>
      <c r="M50" s="159"/>
      <c r="N50" s="148"/>
    </row>
    <row r="51" spans="1:14" s="3" customFormat="1" x14ac:dyDescent="0.2">
      <c r="A51" s="296" t="s">
        <v>7</v>
      </c>
      <c r="B51" s="290" t="s">
        <v>423</v>
      </c>
      <c r="C51" s="291" t="s">
        <v>423</v>
      </c>
      <c r="D51" s="254" t="e">
        <f>IF(kvartal=4,IF(B50=0, "    ---- ", IF(ABS(ROUND(100/B50*C50-100,1))&lt;999,ROUND(100/B50*C50-100,1),IF(ROUND(100/B50*C50-100,1)&gt;999,999,-999))),"")</f>
        <v>#REF!</v>
      </c>
      <c r="E51" s="23" t="e">
        <f>IF(kvartal=4,IFERROR(100/'Skjema total MA'!B51*C51,0),"")</f>
        <v>#REF!</v>
      </c>
      <c r="F51" s="145"/>
      <c r="G51" s="33"/>
      <c r="H51" s="145"/>
      <c r="I51" s="145"/>
      <c r="J51" s="33"/>
      <c r="K51" s="33"/>
      <c r="L51" s="159"/>
      <c r="M51" s="159"/>
      <c r="N51" s="148"/>
    </row>
    <row r="52" spans="1:14" s="3" customFormat="1" x14ac:dyDescent="0.2">
      <c r="A52" s="296" t="s">
        <v>8</v>
      </c>
      <c r="B52" s="290" t="s">
        <v>423</v>
      </c>
      <c r="C52" s="291" t="s">
        <v>423</v>
      </c>
      <c r="D52" s="254" t="e">
        <f>IF(kvartal=4,IF(B51=0, "    ---- ", IF(ABS(ROUND(100/B51*C51-100,1))&lt;999,ROUND(100/B51*C51-100,1),IF(ROUND(100/B51*C51-100,1)&gt;999,999,-999))),"")</f>
        <v>#REF!</v>
      </c>
      <c r="E52" s="23" t="e">
        <f>IF(kvartal=4,IFERROR(100/'Skjema total MA'!B52*C52,0),"")</f>
        <v>#REF!</v>
      </c>
      <c r="F52" s="145"/>
      <c r="G52" s="33"/>
      <c r="H52" s="145"/>
      <c r="I52" s="145"/>
      <c r="J52" s="33"/>
      <c r="K52" s="33"/>
      <c r="L52" s="159"/>
      <c r="M52" s="159"/>
      <c r="N52" s="148"/>
    </row>
    <row r="53" spans="1:14" s="3" customFormat="1" ht="15.75" x14ac:dyDescent="0.2">
      <c r="A53" s="39" t="s">
        <v>378</v>
      </c>
      <c r="B53" s="310">
        <v>94780.71</v>
      </c>
      <c r="C53" s="311">
        <v>6279.5550000000003</v>
      </c>
      <c r="D53" s="428">
        <f t="shared" si="0"/>
        <v>-93.4</v>
      </c>
      <c r="E53" s="11">
        <f>IFERROR(100/'Skjema total MA'!C53*C53,0)</f>
        <v>4.0392687196225303</v>
      </c>
      <c r="F53" s="145"/>
      <c r="G53" s="33"/>
      <c r="H53" s="145"/>
      <c r="I53" s="145"/>
      <c r="J53" s="33"/>
      <c r="K53" s="33"/>
      <c r="L53" s="159"/>
      <c r="M53" s="159"/>
      <c r="N53" s="148"/>
    </row>
    <row r="54" spans="1:14" s="3" customFormat="1" ht="15.75" x14ac:dyDescent="0.2">
      <c r="A54" s="38" t="s">
        <v>376</v>
      </c>
      <c r="B54" s="281">
        <v>5158.8680000000004</v>
      </c>
      <c r="C54" s="282">
        <v>6279.5550000000003</v>
      </c>
      <c r="D54" s="254">
        <f t="shared" si="0"/>
        <v>21.7</v>
      </c>
      <c r="E54" s="27">
        <f>IFERROR(100/'Skjema total MA'!C54*C54,0)</f>
        <v>4.0392687196225303</v>
      </c>
      <c r="F54" s="145"/>
      <c r="G54" s="33"/>
      <c r="H54" s="145"/>
      <c r="I54" s="145"/>
      <c r="J54" s="33"/>
      <c r="K54" s="33"/>
      <c r="L54" s="159"/>
      <c r="M54" s="159"/>
      <c r="N54" s="148"/>
    </row>
    <row r="55" spans="1:14" s="3" customFormat="1" ht="15.75" x14ac:dyDescent="0.2">
      <c r="A55" s="38" t="s">
        <v>377</v>
      </c>
      <c r="B55" s="281">
        <v>89621.842000000004</v>
      </c>
      <c r="C55" s="282">
        <v>0</v>
      </c>
      <c r="D55" s="254">
        <f t="shared" si="0"/>
        <v>-100</v>
      </c>
      <c r="E55" s="27">
        <f>IFERROR(100/'Skjema total MA'!C55*C55,0)</f>
        <v>0</v>
      </c>
      <c r="F55" s="145"/>
      <c r="G55" s="33"/>
      <c r="H55" s="145"/>
      <c r="I55" s="145"/>
      <c r="J55" s="33"/>
      <c r="K55" s="33"/>
      <c r="L55" s="159"/>
      <c r="M55" s="159"/>
      <c r="N55" s="148"/>
    </row>
    <row r="56" spans="1:14" s="3" customFormat="1" ht="15.75" x14ac:dyDescent="0.2">
      <c r="A56" s="39" t="s">
        <v>379</v>
      </c>
      <c r="B56" s="310">
        <v>34516.811000000002</v>
      </c>
      <c r="C56" s="311">
        <v>68805.273000000001</v>
      </c>
      <c r="D56" s="428">
        <f t="shared" si="0"/>
        <v>99.3</v>
      </c>
      <c r="E56" s="11">
        <f>IFERROR(100/'Skjema total MA'!C56*C56,0)</f>
        <v>57.956676795785199</v>
      </c>
      <c r="F56" s="145"/>
      <c r="G56" s="33"/>
      <c r="H56" s="145"/>
      <c r="I56" s="145"/>
      <c r="J56" s="33"/>
      <c r="K56" s="33"/>
      <c r="L56" s="159"/>
      <c r="M56" s="159"/>
      <c r="N56" s="148"/>
    </row>
    <row r="57" spans="1:14" s="3" customFormat="1" ht="15.75" x14ac:dyDescent="0.2">
      <c r="A57" s="38" t="s">
        <v>376</v>
      </c>
      <c r="B57" s="281">
        <v>34510.171000000002</v>
      </c>
      <c r="C57" s="282">
        <v>68805.273000000001</v>
      </c>
      <c r="D57" s="254">
        <f t="shared" si="0"/>
        <v>99.4</v>
      </c>
      <c r="E57" s="27">
        <f>IFERROR(100/'Skjema total MA'!C57*C57,0)</f>
        <v>57.956676795785199</v>
      </c>
      <c r="F57" s="145"/>
      <c r="G57" s="33"/>
      <c r="H57" s="145"/>
      <c r="I57" s="145"/>
      <c r="J57" s="33"/>
      <c r="K57" s="33"/>
      <c r="L57" s="159"/>
      <c r="M57" s="159"/>
      <c r="N57" s="148"/>
    </row>
    <row r="58" spans="1:14" s="3" customFormat="1" ht="15.75" x14ac:dyDescent="0.2">
      <c r="A58" s="46" t="s">
        <v>377</v>
      </c>
      <c r="B58" s="283">
        <v>6.64</v>
      </c>
      <c r="C58" s="284">
        <v>0</v>
      </c>
      <c r="D58" s="255">
        <f t="shared" si="0"/>
        <v>-100</v>
      </c>
      <c r="E58" s="22">
        <f>IFERROR(100/'Skjema total MA'!C58*C58,0)</f>
        <v>0</v>
      </c>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274</v>
      </c>
      <c r="C61" s="26"/>
      <c r="D61" s="26"/>
      <c r="E61" s="26"/>
      <c r="F61" s="26"/>
      <c r="G61" s="26"/>
      <c r="H61" s="26"/>
      <c r="I61" s="26"/>
      <c r="J61" s="26"/>
      <c r="K61" s="26"/>
      <c r="L61" s="26"/>
      <c r="M61" s="26"/>
    </row>
    <row r="62" spans="1:14" ht="15.75" x14ac:dyDescent="0.25">
      <c r="B62" s="735"/>
      <c r="C62" s="735"/>
      <c r="D62" s="735"/>
      <c r="E62" s="299"/>
      <c r="F62" s="735"/>
      <c r="G62" s="735"/>
      <c r="H62" s="735"/>
      <c r="I62" s="299"/>
      <c r="J62" s="735"/>
      <c r="K62" s="735"/>
      <c r="L62" s="735"/>
      <c r="M62" s="299"/>
    </row>
    <row r="63" spans="1:14" x14ac:dyDescent="0.2">
      <c r="A63" s="144"/>
      <c r="B63" s="733" t="s">
        <v>0</v>
      </c>
      <c r="C63" s="734"/>
      <c r="D63" s="738"/>
      <c r="E63" s="300"/>
      <c r="F63" s="734" t="s">
        <v>1</v>
      </c>
      <c r="G63" s="734"/>
      <c r="H63" s="734"/>
      <c r="I63" s="304"/>
      <c r="J63" s="733" t="s">
        <v>2</v>
      </c>
      <c r="K63" s="734"/>
      <c r="L63" s="734"/>
      <c r="M63" s="304"/>
    </row>
    <row r="64" spans="1:14" x14ac:dyDescent="0.2">
      <c r="A64" s="140"/>
      <c r="B64" s="152" t="s">
        <v>421</v>
      </c>
      <c r="C64" s="152" t="s">
        <v>422</v>
      </c>
      <c r="D64" s="245" t="s">
        <v>3</v>
      </c>
      <c r="E64" s="305" t="s">
        <v>29</v>
      </c>
      <c r="F64" s="152" t="s">
        <v>421</v>
      </c>
      <c r="G64" s="152" t="s">
        <v>422</v>
      </c>
      <c r="H64" s="245" t="s">
        <v>3</v>
      </c>
      <c r="I64" s="305" t="s">
        <v>29</v>
      </c>
      <c r="J64" s="152" t="s">
        <v>421</v>
      </c>
      <c r="K64" s="152" t="s">
        <v>422</v>
      </c>
      <c r="L64" s="245" t="s">
        <v>3</v>
      </c>
      <c r="M64" s="162" t="s">
        <v>29</v>
      </c>
    </row>
    <row r="65" spans="1:14" x14ac:dyDescent="0.2">
      <c r="A65" s="708"/>
      <c r="B65" s="156"/>
      <c r="C65" s="156"/>
      <c r="D65" s="246" t="s">
        <v>4</v>
      </c>
      <c r="E65" s="156" t="s">
        <v>30</v>
      </c>
      <c r="F65" s="161"/>
      <c r="G65" s="161"/>
      <c r="H65" s="245" t="s">
        <v>4</v>
      </c>
      <c r="I65" s="156" t="s">
        <v>30</v>
      </c>
      <c r="J65" s="161"/>
      <c r="K65" s="206"/>
      <c r="L65" s="156" t="s">
        <v>4</v>
      </c>
      <c r="M65" s="156" t="s">
        <v>30</v>
      </c>
    </row>
    <row r="66" spans="1:14" ht="15.75" x14ac:dyDescent="0.2">
      <c r="A66" s="14" t="s">
        <v>23</v>
      </c>
      <c r="B66" s="353"/>
      <c r="C66" s="353"/>
      <c r="D66" s="350"/>
      <c r="E66" s="11"/>
      <c r="F66" s="352"/>
      <c r="G66" s="352"/>
      <c r="H66" s="350"/>
      <c r="I66" s="11"/>
      <c r="J66" s="309"/>
      <c r="K66" s="316"/>
      <c r="L66" s="428"/>
      <c r="M66" s="11"/>
    </row>
    <row r="67" spans="1:14" x14ac:dyDescent="0.2">
      <c r="A67" s="419" t="s">
        <v>9</v>
      </c>
      <c r="B67" s="44"/>
      <c r="C67" s="145"/>
      <c r="D67" s="166"/>
      <c r="E67" s="27"/>
      <c r="F67" s="234"/>
      <c r="G67" s="145"/>
      <c r="H67" s="166"/>
      <c r="I67" s="27"/>
      <c r="J67" s="287"/>
      <c r="K67" s="44"/>
      <c r="L67" s="254"/>
      <c r="M67" s="27"/>
    </row>
    <row r="68" spans="1:14" x14ac:dyDescent="0.2">
      <c r="A68" s="21" t="s">
        <v>10</v>
      </c>
      <c r="B68" s="292"/>
      <c r="C68" s="293"/>
      <c r="D68" s="166"/>
      <c r="E68" s="27"/>
      <c r="F68" s="292"/>
      <c r="G68" s="293"/>
      <c r="H68" s="166"/>
      <c r="I68" s="27"/>
      <c r="J68" s="287"/>
      <c r="K68" s="44"/>
      <c r="L68" s="254"/>
      <c r="M68" s="27"/>
    </row>
    <row r="69" spans="1:14" ht="15.75" x14ac:dyDescent="0.2">
      <c r="A69" s="296" t="s">
        <v>380</v>
      </c>
      <c r="B69" s="294"/>
      <c r="C69" s="295"/>
      <c r="D69" s="166"/>
      <c r="E69" s="417"/>
      <c r="F69" s="294"/>
      <c r="G69" s="295"/>
      <c r="H69" s="166"/>
      <c r="I69" s="417"/>
      <c r="J69" s="294"/>
      <c r="K69" s="295"/>
      <c r="L69" s="166"/>
      <c r="M69" s="23"/>
    </row>
    <row r="70" spans="1:14" x14ac:dyDescent="0.2">
      <c r="A70" s="296" t="s">
        <v>12</v>
      </c>
      <c r="B70" s="294"/>
      <c r="C70" s="295"/>
      <c r="D70" s="166"/>
      <c r="E70" s="417"/>
      <c r="F70" s="294"/>
      <c r="G70" s="295"/>
      <c r="H70" s="166"/>
      <c r="I70" s="417"/>
      <c r="J70" s="294"/>
      <c r="K70" s="295"/>
      <c r="L70" s="166"/>
      <c r="M70" s="23"/>
    </row>
    <row r="71" spans="1:14" x14ac:dyDescent="0.2">
      <c r="A71" s="296" t="s">
        <v>13</v>
      </c>
      <c r="B71" s="235"/>
      <c r="C71" s="289"/>
      <c r="D71" s="166"/>
      <c r="E71" s="417"/>
      <c r="F71" s="294"/>
      <c r="G71" s="295"/>
      <c r="H71" s="166"/>
      <c r="I71" s="417"/>
      <c r="J71" s="294"/>
      <c r="K71" s="295"/>
      <c r="L71" s="166"/>
      <c r="M71" s="23"/>
    </row>
    <row r="72" spans="1:14" ht="15.75" x14ac:dyDescent="0.2">
      <c r="A72" s="296" t="s">
        <v>381</v>
      </c>
      <c r="B72" s="294"/>
      <c r="C72" s="295"/>
      <c r="D72" s="166"/>
      <c r="E72" s="417"/>
      <c r="F72" s="294"/>
      <c r="G72" s="295"/>
      <c r="H72" s="166"/>
      <c r="I72" s="417"/>
      <c r="J72" s="294"/>
      <c r="K72" s="295"/>
      <c r="L72" s="166"/>
      <c r="M72" s="23"/>
    </row>
    <row r="73" spans="1:14" x14ac:dyDescent="0.2">
      <c r="A73" s="296" t="s">
        <v>12</v>
      </c>
      <c r="B73" s="235"/>
      <c r="C73" s="289"/>
      <c r="D73" s="166"/>
      <c r="E73" s="417"/>
      <c r="F73" s="294"/>
      <c r="G73" s="295"/>
      <c r="H73" s="166"/>
      <c r="I73" s="417"/>
      <c r="J73" s="294"/>
      <c r="K73" s="295"/>
      <c r="L73" s="166"/>
      <c r="M73" s="23"/>
    </row>
    <row r="74" spans="1:14" s="3" customFormat="1" x14ac:dyDescent="0.2">
      <c r="A74" s="296" t="s">
        <v>13</v>
      </c>
      <c r="B74" s="235"/>
      <c r="C74" s="289"/>
      <c r="D74" s="166"/>
      <c r="E74" s="417"/>
      <c r="F74" s="294"/>
      <c r="G74" s="295"/>
      <c r="H74" s="166"/>
      <c r="I74" s="417"/>
      <c r="J74" s="294"/>
      <c r="K74" s="295"/>
      <c r="L74" s="166"/>
      <c r="M74" s="23"/>
      <c r="N74" s="148"/>
    </row>
    <row r="75" spans="1:14" s="3" customFormat="1" x14ac:dyDescent="0.2">
      <c r="A75" s="21" t="s">
        <v>350</v>
      </c>
      <c r="B75" s="234"/>
      <c r="C75" s="145"/>
      <c r="D75" s="166"/>
      <c r="E75" s="27"/>
      <c r="F75" s="234"/>
      <c r="G75" s="145"/>
      <c r="H75" s="166"/>
      <c r="I75" s="27"/>
      <c r="J75" s="287"/>
      <c r="K75" s="44"/>
      <c r="L75" s="254"/>
      <c r="M75" s="27"/>
      <c r="N75" s="148"/>
    </row>
    <row r="76" spans="1:14" s="3" customFormat="1" x14ac:dyDescent="0.2">
      <c r="A76" s="21" t="s">
        <v>349</v>
      </c>
      <c r="B76" s="234"/>
      <c r="C76" s="145"/>
      <c r="D76" s="166"/>
      <c r="E76" s="27"/>
      <c r="F76" s="234"/>
      <c r="G76" s="145"/>
      <c r="H76" s="166"/>
      <c r="I76" s="27"/>
      <c r="J76" s="287"/>
      <c r="K76" s="44"/>
      <c r="L76" s="254"/>
      <c r="M76" s="27"/>
      <c r="N76" s="148"/>
    </row>
    <row r="77" spans="1:14" ht="15.75" x14ac:dyDescent="0.2">
      <c r="A77" s="21" t="s">
        <v>382</v>
      </c>
      <c r="B77" s="234"/>
      <c r="C77" s="234"/>
      <c r="D77" s="166"/>
      <c r="E77" s="27"/>
      <c r="F77" s="234"/>
      <c r="G77" s="145"/>
      <c r="H77" s="166"/>
      <c r="I77" s="27"/>
      <c r="J77" s="287"/>
      <c r="K77" s="44"/>
      <c r="L77" s="254"/>
      <c r="M77" s="27"/>
    </row>
    <row r="78" spans="1:14" x14ac:dyDescent="0.2">
      <c r="A78" s="21" t="s">
        <v>9</v>
      </c>
      <c r="B78" s="234"/>
      <c r="C78" s="145"/>
      <c r="D78" s="166"/>
      <c r="E78" s="27"/>
      <c r="F78" s="234"/>
      <c r="G78" s="145"/>
      <c r="H78" s="166"/>
      <c r="I78" s="27"/>
      <c r="J78" s="287"/>
      <c r="K78" s="44"/>
      <c r="L78" s="254"/>
      <c r="M78" s="27"/>
    </row>
    <row r="79" spans="1:14" x14ac:dyDescent="0.2">
      <c r="A79" s="21" t="s">
        <v>10</v>
      </c>
      <c r="B79" s="292"/>
      <c r="C79" s="293"/>
      <c r="D79" s="166"/>
      <c r="E79" s="27"/>
      <c r="F79" s="292"/>
      <c r="G79" s="293"/>
      <c r="H79" s="166"/>
      <c r="I79" s="27"/>
      <c r="J79" s="287"/>
      <c r="K79" s="44"/>
      <c r="L79" s="254"/>
      <c r="M79" s="27"/>
    </row>
    <row r="80" spans="1:14" ht="15.75" x14ac:dyDescent="0.2">
      <c r="A80" s="296" t="s">
        <v>380</v>
      </c>
      <c r="B80" s="294"/>
      <c r="C80" s="295"/>
      <c r="D80" s="166"/>
      <c r="E80" s="417"/>
      <c r="F80" s="294"/>
      <c r="G80" s="295"/>
      <c r="H80" s="166"/>
      <c r="I80" s="417"/>
      <c r="J80" s="294"/>
      <c r="K80" s="295"/>
      <c r="L80" s="166"/>
      <c r="M80" s="23"/>
    </row>
    <row r="81" spans="1:13" x14ac:dyDescent="0.2">
      <c r="A81" s="296" t="s">
        <v>12</v>
      </c>
      <c r="B81" s="294"/>
      <c r="C81" s="295"/>
      <c r="D81" s="166"/>
      <c r="E81" s="417"/>
      <c r="F81" s="294"/>
      <c r="G81" s="295"/>
      <c r="H81" s="166"/>
      <c r="I81" s="417"/>
      <c r="J81" s="294"/>
      <c r="K81" s="295"/>
      <c r="L81" s="166"/>
      <c r="M81" s="23"/>
    </row>
    <row r="82" spans="1:13" x14ac:dyDescent="0.2">
      <c r="A82" s="296" t="s">
        <v>13</v>
      </c>
      <c r="B82" s="294"/>
      <c r="C82" s="295"/>
      <c r="D82" s="166"/>
      <c r="E82" s="417"/>
      <c r="F82" s="294"/>
      <c r="G82" s="295"/>
      <c r="H82" s="166"/>
      <c r="I82" s="417"/>
      <c r="J82" s="294"/>
      <c r="K82" s="295"/>
      <c r="L82" s="166"/>
      <c r="M82" s="23"/>
    </row>
    <row r="83" spans="1:13" ht="15.75" x14ac:dyDescent="0.2">
      <c r="A83" s="296" t="s">
        <v>381</v>
      </c>
      <c r="B83" s="294"/>
      <c r="C83" s="295"/>
      <c r="D83" s="166"/>
      <c r="E83" s="417"/>
      <c r="F83" s="294"/>
      <c r="G83" s="295"/>
      <c r="H83" s="166"/>
      <c r="I83" s="417"/>
      <c r="J83" s="294"/>
      <c r="K83" s="295"/>
      <c r="L83" s="166"/>
      <c r="M83" s="23"/>
    </row>
    <row r="84" spans="1:13" x14ac:dyDescent="0.2">
      <c r="A84" s="296" t="s">
        <v>12</v>
      </c>
      <c r="B84" s="294"/>
      <c r="C84" s="295"/>
      <c r="D84" s="166"/>
      <c r="E84" s="417"/>
      <c r="F84" s="294"/>
      <c r="G84" s="295"/>
      <c r="H84" s="166"/>
      <c r="I84" s="417"/>
      <c r="J84" s="294"/>
      <c r="K84" s="295"/>
      <c r="L84" s="166"/>
      <c r="M84" s="23"/>
    </row>
    <row r="85" spans="1:13" x14ac:dyDescent="0.2">
      <c r="A85" s="296" t="s">
        <v>13</v>
      </c>
      <c r="B85" s="294"/>
      <c r="C85" s="295"/>
      <c r="D85" s="166"/>
      <c r="E85" s="417"/>
      <c r="F85" s="294"/>
      <c r="G85" s="295"/>
      <c r="H85" s="166"/>
      <c r="I85" s="417"/>
      <c r="J85" s="294"/>
      <c r="K85" s="295"/>
      <c r="L85" s="166"/>
      <c r="M85" s="23"/>
    </row>
    <row r="86" spans="1:13" ht="15.75" x14ac:dyDescent="0.2">
      <c r="A86" s="21" t="s">
        <v>383</v>
      </c>
      <c r="B86" s="234"/>
      <c r="C86" s="145"/>
      <c r="D86" s="166"/>
      <c r="E86" s="27"/>
      <c r="F86" s="234"/>
      <c r="G86" s="145"/>
      <c r="H86" s="166"/>
      <c r="I86" s="27"/>
      <c r="J86" s="287"/>
      <c r="K86" s="44"/>
      <c r="L86" s="254"/>
      <c r="M86" s="27"/>
    </row>
    <row r="87" spans="1:13" ht="15.75" x14ac:dyDescent="0.2">
      <c r="A87" s="13" t="s">
        <v>365</v>
      </c>
      <c r="B87" s="353"/>
      <c r="C87" s="353"/>
      <c r="D87" s="171"/>
      <c r="E87" s="11"/>
      <c r="F87" s="352"/>
      <c r="G87" s="352"/>
      <c r="H87" s="171"/>
      <c r="I87" s="11"/>
      <c r="J87" s="309"/>
      <c r="K87" s="236"/>
      <c r="L87" s="428"/>
      <c r="M87" s="11"/>
    </row>
    <row r="88" spans="1:13" x14ac:dyDescent="0.2">
      <c r="A88" s="21" t="s">
        <v>9</v>
      </c>
      <c r="B88" s="234"/>
      <c r="C88" s="145"/>
      <c r="D88" s="166"/>
      <c r="E88" s="27"/>
      <c r="F88" s="234"/>
      <c r="G88" s="145"/>
      <c r="H88" s="166"/>
      <c r="I88" s="27"/>
      <c r="J88" s="287"/>
      <c r="K88" s="44"/>
      <c r="L88" s="254"/>
      <c r="M88" s="27"/>
    </row>
    <row r="89" spans="1:13" x14ac:dyDescent="0.2">
      <c r="A89" s="21" t="s">
        <v>10</v>
      </c>
      <c r="B89" s="234"/>
      <c r="C89" s="145"/>
      <c r="D89" s="166"/>
      <c r="E89" s="27"/>
      <c r="F89" s="234"/>
      <c r="G89" s="145"/>
      <c r="H89" s="166"/>
      <c r="I89" s="27"/>
      <c r="J89" s="287"/>
      <c r="K89" s="44"/>
      <c r="L89" s="254"/>
      <c r="M89" s="27"/>
    </row>
    <row r="90" spans="1:13" ht="15.75" x14ac:dyDescent="0.2">
      <c r="A90" s="296" t="s">
        <v>380</v>
      </c>
      <c r="B90" s="294"/>
      <c r="C90" s="295"/>
      <c r="D90" s="166"/>
      <c r="E90" s="417"/>
      <c r="F90" s="294"/>
      <c r="G90" s="295"/>
      <c r="H90" s="166"/>
      <c r="I90" s="417"/>
      <c r="J90" s="294"/>
      <c r="K90" s="295"/>
      <c r="L90" s="166"/>
      <c r="M90" s="23"/>
    </row>
    <row r="91" spans="1:13" x14ac:dyDescent="0.2">
      <c r="A91" s="296" t="s">
        <v>12</v>
      </c>
      <c r="B91" s="294"/>
      <c r="C91" s="295"/>
      <c r="D91" s="166"/>
      <c r="E91" s="417"/>
      <c r="F91" s="294"/>
      <c r="G91" s="295"/>
      <c r="H91" s="166"/>
      <c r="I91" s="417"/>
      <c r="J91" s="294"/>
      <c r="K91" s="295"/>
      <c r="L91" s="166"/>
      <c r="M91" s="23"/>
    </row>
    <row r="92" spans="1:13" x14ac:dyDescent="0.2">
      <c r="A92" s="296" t="s">
        <v>13</v>
      </c>
      <c r="B92" s="294"/>
      <c r="C92" s="295"/>
      <c r="D92" s="166"/>
      <c r="E92" s="417"/>
      <c r="F92" s="294"/>
      <c r="G92" s="295"/>
      <c r="H92" s="166"/>
      <c r="I92" s="417"/>
      <c r="J92" s="294"/>
      <c r="K92" s="295"/>
      <c r="L92" s="166"/>
      <c r="M92" s="23"/>
    </row>
    <row r="93" spans="1:13" ht="15.75" x14ac:dyDescent="0.2">
      <c r="A93" s="296" t="s">
        <v>381</v>
      </c>
      <c r="B93" s="294"/>
      <c r="C93" s="295"/>
      <c r="D93" s="166"/>
      <c r="E93" s="417"/>
      <c r="F93" s="294"/>
      <c r="G93" s="295"/>
      <c r="H93" s="166"/>
      <c r="I93" s="417"/>
      <c r="J93" s="294"/>
      <c r="K93" s="295"/>
      <c r="L93" s="166"/>
      <c r="M93" s="23"/>
    </row>
    <row r="94" spans="1:13" x14ac:dyDescent="0.2">
      <c r="A94" s="296" t="s">
        <v>12</v>
      </c>
      <c r="B94" s="294"/>
      <c r="C94" s="295"/>
      <c r="D94" s="166"/>
      <c r="E94" s="417"/>
      <c r="F94" s="294"/>
      <c r="G94" s="295"/>
      <c r="H94" s="166"/>
      <c r="I94" s="417"/>
      <c r="J94" s="294"/>
      <c r="K94" s="295"/>
      <c r="L94" s="166"/>
      <c r="M94" s="23"/>
    </row>
    <row r="95" spans="1:13" x14ac:dyDescent="0.2">
      <c r="A95" s="296" t="s">
        <v>13</v>
      </c>
      <c r="B95" s="294"/>
      <c r="C95" s="295"/>
      <c r="D95" s="166"/>
      <c r="E95" s="417"/>
      <c r="F95" s="294"/>
      <c r="G95" s="295"/>
      <c r="H95" s="166"/>
      <c r="I95" s="417"/>
      <c r="J95" s="294"/>
      <c r="K95" s="295"/>
      <c r="L95" s="166"/>
      <c r="M95" s="23"/>
    </row>
    <row r="96" spans="1:13" x14ac:dyDescent="0.2">
      <c r="A96" s="21" t="s">
        <v>348</v>
      </c>
      <c r="B96" s="234"/>
      <c r="C96" s="145"/>
      <c r="D96" s="166"/>
      <c r="E96" s="27"/>
      <c r="F96" s="234"/>
      <c r="G96" s="145"/>
      <c r="H96" s="166"/>
      <c r="I96" s="27"/>
      <c r="J96" s="287"/>
      <c r="K96" s="44"/>
      <c r="L96" s="254"/>
      <c r="M96" s="27"/>
    </row>
    <row r="97" spans="1:13" x14ac:dyDescent="0.2">
      <c r="A97" s="21" t="s">
        <v>347</v>
      </c>
      <c r="B97" s="234"/>
      <c r="C97" s="145"/>
      <c r="D97" s="166"/>
      <c r="E97" s="27"/>
      <c r="F97" s="234"/>
      <c r="G97" s="145"/>
      <c r="H97" s="166"/>
      <c r="I97" s="27"/>
      <c r="J97" s="287"/>
      <c r="K97" s="44"/>
      <c r="L97" s="254"/>
      <c r="M97" s="27"/>
    </row>
    <row r="98" spans="1:13" ht="15.75" x14ac:dyDescent="0.2">
      <c r="A98" s="21" t="s">
        <v>382</v>
      </c>
      <c r="B98" s="234"/>
      <c r="C98" s="234"/>
      <c r="D98" s="166"/>
      <c r="E98" s="27"/>
      <c r="F98" s="292"/>
      <c r="G98" s="292"/>
      <c r="H98" s="166"/>
      <c r="I98" s="27"/>
      <c r="J98" s="287"/>
      <c r="K98" s="44"/>
      <c r="L98" s="254"/>
      <c r="M98" s="27"/>
    </row>
    <row r="99" spans="1:13" x14ac:dyDescent="0.2">
      <c r="A99" s="21" t="s">
        <v>9</v>
      </c>
      <c r="B99" s="292"/>
      <c r="C99" s="293"/>
      <c r="D99" s="166"/>
      <c r="E99" s="27"/>
      <c r="F99" s="234"/>
      <c r="G99" s="145"/>
      <c r="H99" s="166"/>
      <c r="I99" s="27"/>
      <c r="J99" s="287"/>
      <c r="K99" s="44"/>
      <c r="L99" s="254"/>
      <c r="M99" s="27"/>
    </row>
    <row r="100" spans="1:13" x14ac:dyDescent="0.2">
      <c r="A100" s="21" t="s">
        <v>10</v>
      </c>
      <c r="B100" s="292"/>
      <c r="C100" s="293"/>
      <c r="D100" s="166"/>
      <c r="E100" s="27"/>
      <c r="F100" s="234"/>
      <c r="G100" s="234"/>
      <c r="H100" s="166"/>
      <c r="I100" s="27"/>
      <c r="J100" s="287"/>
      <c r="K100" s="44"/>
      <c r="L100" s="254"/>
      <c r="M100" s="27"/>
    </row>
    <row r="101" spans="1:13" ht="15.75" x14ac:dyDescent="0.2">
      <c r="A101" s="296" t="s">
        <v>380</v>
      </c>
      <c r="B101" s="294"/>
      <c r="C101" s="295"/>
      <c r="D101" s="166"/>
      <c r="E101" s="417"/>
      <c r="F101" s="294"/>
      <c r="G101" s="295"/>
      <c r="H101" s="166"/>
      <c r="I101" s="417"/>
      <c r="J101" s="294"/>
      <c r="K101" s="295"/>
      <c r="L101" s="166"/>
      <c r="M101" s="23"/>
    </row>
    <row r="102" spans="1:13" x14ac:dyDescent="0.2">
      <c r="A102" s="296" t="s">
        <v>12</v>
      </c>
      <c r="B102" s="294"/>
      <c r="C102" s="295"/>
      <c r="D102" s="166"/>
      <c r="E102" s="417"/>
      <c r="F102" s="294"/>
      <c r="G102" s="295"/>
      <c r="H102" s="166"/>
      <c r="I102" s="417"/>
      <c r="J102" s="294"/>
      <c r="K102" s="295"/>
      <c r="L102" s="166"/>
      <c r="M102" s="23"/>
    </row>
    <row r="103" spans="1:13" x14ac:dyDescent="0.2">
      <c r="A103" s="296" t="s">
        <v>13</v>
      </c>
      <c r="B103" s="294"/>
      <c r="C103" s="295"/>
      <c r="D103" s="166"/>
      <c r="E103" s="417"/>
      <c r="F103" s="294"/>
      <c r="G103" s="295"/>
      <c r="H103" s="166"/>
      <c r="I103" s="417"/>
      <c r="J103" s="294"/>
      <c r="K103" s="295"/>
      <c r="L103" s="166"/>
      <c r="M103" s="23"/>
    </row>
    <row r="104" spans="1:13" ht="15.75" x14ac:dyDescent="0.2">
      <c r="A104" s="296" t="s">
        <v>381</v>
      </c>
      <c r="B104" s="294"/>
      <c r="C104" s="295"/>
      <c r="D104" s="166"/>
      <c r="E104" s="417"/>
      <c r="F104" s="294"/>
      <c r="G104" s="295"/>
      <c r="H104" s="166"/>
      <c r="I104" s="417"/>
      <c r="J104" s="294"/>
      <c r="K104" s="295"/>
      <c r="L104" s="166"/>
      <c r="M104" s="23"/>
    </row>
    <row r="105" spans="1:13" x14ac:dyDescent="0.2">
      <c r="A105" s="296" t="s">
        <v>12</v>
      </c>
      <c r="B105" s="294"/>
      <c r="C105" s="295"/>
      <c r="D105" s="166"/>
      <c r="E105" s="417"/>
      <c r="F105" s="294"/>
      <c r="G105" s="295"/>
      <c r="H105" s="166"/>
      <c r="I105" s="417"/>
      <c r="J105" s="294"/>
      <c r="K105" s="295"/>
      <c r="L105" s="166"/>
      <c r="M105" s="23"/>
    </row>
    <row r="106" spans="1:13" x14ac:dyDescent="0.2">
      <c r="A106" s="296" t="s">
        <v>13</v>
      </c>
      <c r="B106" s="294"/>
      <c r="C106" s="295"/>
      <c r="D106" s="166"/>
      <c r="E106" s="417"/>
      <c r="F106" s="294"/>
      <c r="G106" s="295"/>
      <c r="H106" s="166"/>
      <c r="I106" s="417"/>
      <c r="J106" s="294"/>
      <c r="K106" s="295"/>
      <c r="L106" s="166"/>
      <c r="M106" s="23"/>
    </row>
    <row r="107" spans="1:13" ht="15.75" x14ac:dyDescent="0.2">
      <c r="A107" s="21" t="s">
        <v>383</v>
      </c>
      <c r="B107" s="234"/>
      <c r="C107" s="145"/>
      <c r="D107" s="166"/>
      <c r="E107" s="27"/>
      <c r="F107" s="234"/>
      <c r="G107" s="145"/>
      <c r="H107" s="166"/>
      <c r="I107" s="27"/>
      <c r="J107" s="287"/>
      <c r="K107" s="44"/>
      <c r="L107" s="254"/>
      <c r="M107" s="27"/>
    </row>
    <row r="108" spans="1:13" ht="15.75" x14ac:dyDescent="0.2">
      <c r="A108" s="21" t="s">
        <v>384</v>
      </c>
      <c r="B108" s="234"/>
      <c r="C108" s="234"/>
      <c r="D108" s="166"/>
      <c r="E108" s="27"/>
      <c r="F108" s="234"/>
      <c r="G108" s="234"/>
      <c r="H108" s="166"/>
      <c r="I108" s="27"/>
      <c r="J108" s="287"/>
      <c r="K108" s="44"/>
      <c r="L108" s="254"/>
      <c r="M108" s="27"/>
    </row>
    <row r="109" spans="1:13" ht="15.75" x14ac:dyDescent="0.2">
      <c r="A109" s="21" t="s">
        <v>385</v>
      </c>
      <c r="B109" s="234"/>
      <c r="C109" s="234"/>
      <c r="D109" s="166"/>
      <c r="E109" s="27"/>
      <c r="F109" s="234"/>
      <c r="G109" s="234"/>
      <c r="H109" s="166"/>
      <c r="I109" s="27"/>
      <c r="J109" s="287"/>
      <c r="K109" s="44"/>
      <c r="L109" s="254"/>
      <c r="M109" s="27"/>
    </row>
    <row r="110" spans="1:13" ht="15.75" x14ac:dyDescent="0.2">
      <c r="A110" s="21" t="s">
        <v>386</v>
      </c>
      <c r="B110" s="234"/>
      <c r="C110" s="234"/>
      <c r="D110" s="166"/>
      <c r="E110" s="27"/>
      <c r="F110" s="234"/>
      <c r="G110" s="234"/>
      <c r="H110" s="166"/>
      <c r="I110" s="27"/>
      <c r="J110" s="287"/>
      <c r="K110" s="44"/>
      <c r="L110" s="254"/>
      <c r="M110" s="27"/>
    </row>
    <row r="111" spans="1:13" ht="15.75" x14ac:dyDescent="0.2">
      <c r="A111" s="13" t="s">
        <v>366</v>
      </c>
      <c r="B111" s="308"/>
      <c r="C111" s="159"/>
      <c r="D111" s="171"/>
      <c r="E111" s="11"/>
      <c r="F111" s="308"/>
      <c r="G111" s="159"/>
      <c r="H111" s="171"/>
      <c r="I111" s="11"/>
      <c r="J111" s="309"/>
      <c r="K111" s="236"/>
      <c r="L111" s="428"/>
      <c r="M111" s="11"/>
    </row>
    <row r="112" spans="1:13" x14ac:dyDescent="0.2">
      <c r="A112" s="21" t="s">
        <v>9</v>
      </c>
      <c r="B112" s="234"/>
      <c r="C112" s="145"/>
      <c r="D112" s="166"/>
      <c r="E112" s="27"/>
      <c r="F112" s="234"/>
      <c r="G112" s="145"/>
      <c r="H112" s="166"/>
      <c r="I112" s="27"/>
      <c r="J112" s="287"/>
      <c r="K112" s="44"/>
      <c r="L112" s="254"/>
      <c r="M112" s="27"/>
    </row>
    <row r="113" spans="1:14" x14ac:dyDescent="0.2">
      <c r="A113" s="21" t="s">
        <v>10</v>
      </c>
      <c r="B113" s="234"/>
      <c r="C113" s="145"/>
      <c r="D113" s="166"/>
      <c r="E113" s="27"/>
      <c r="F113" s="234"/>
      <c r="G113" s="145"/>
      <c r="H113" s="166"/>
      <c r="I113" s="27"/>
      <c r="J113" s="287"/>
      <c r="K113" s="44"/>
      <c r="L113" s="254"/>
      <c r="M113" s="27"/>
    </row>
    <row r="114" spans="1:14" x14ac:dyDescent="0.2">
      <c r="A114" s="21" t="s">
        <v>26</v>
      </c>
      <c r="B114" s="234"/>
      <c r="C114" s="145"/>
      <c r="D114" s="166"/>
      <c r="E114" s="27"/>
      <c r="F114" s="234"/>
      <c r="G114" s="145"/>
      <c r="H114" s="166"/>
      <c r="I114" s="27"/>
      <c r="J114" s="287"/>
      <c r="K114" s="44"/>
      <c r="L114" s="254"/>
      <c r="M114" s="27"/>
    </row>
    <row r="115" spans="1:14" x14ac:dyDescent="0.2">
      <c r="A115" s="296" t="s">
        <v>15</v>
      </c>
      <c r="B115" s="294"/>
      <c r="C115" s="295"/>
      <c r="D115" s="166"/>
      <c r="E115" s="417"/>
      <c r="F115" s="294"/>
      <c r="G115" s="295"/>
      <c r="H115" s="166"/>
      <c r="I115" s="417"/>
      <c r="J115" s="294"/>
      <c r="K115" s="295"/>
      <c r="L115" s="166"/>
      <c r="M115" s="23"/>
    </row>
    <row r="116" spans="1:14" ht="15.75" x14ac:dyDescent="0.2">
      <c r="A116" s="21" t="s">
        <v>387</v>
      </c>
      <c r="B116" s="234"/>
      <c r="C116" s="234"/>
      <c r="D116" s="166"/>
      <c r="E116" s="27"/>
      <c r="F116" s="234"/>
      <c r="G116" s="234"/>
      <c r="H116" s="166"/>
      <c r="I116" s="27"/>
      <c r="J116" s="287"/>
      <c r="K116" s="44"/>
      <c r="L116" s="254"/>
      <c r="M116" s="27"/>
    </row>
    <row r="117" spans="1:14" ht="15.75" x14ac:dyDescent="0.2">
      <c r="A117" s="21" t="s">
        <v>388</v>
      </c>
      <c r="B117" s="234"/>
      <c r="C117" s="234"/>
      <c r="D117" s="166"/>
      <c r="E117" s="27"/>
      <c r="F117" s="234"/>
      <c r="G117" s="234"/>
      <c r="H117" s="166"/>
      <c r="I117" s="27"/>
      <c r="J117" s="287"/>
      <c r="K117" s="44"/>
      <c r="L117" s="254"/>
      <c r="M117" s="27"/>
    </row>
    <row r="118" spans="1:14" ht="15.75" x14ac:dyDescent="0.2">
      <c r="A118" s="21" t="s">
        <v>386</v>
      </c>
      <c r="B118" s="234"/>
      <c r="C118" s="234"/>
      <c r="D118" s="166"/>
      <c r="E118" s="27"/>
      <c r="F118" s="234"/>
      <c r="G118" s="234"/>
      <c r="H118" s="166"/>
      <c r="I118" s="27"/>
      <c r="J118" s="287"/>
      <c r="K118" s="44"/>
      <c r="L118" s="254"/>
      <c r="M118" s="27"/>
    </row>
    <row r="119" spans="1:14" ht="15.75" x14ac:dyDescent="0.2">
      <c r="A119" s="13" t="s">
        <v>367</v>
      </c>
      <c r="B119" s="308"/>
      <c r="C119" s="159"/>
      <c r="D119" s="171"/>
      <c r="E119" s="11"/>
      <c r="F119" s="308"/>
      <c r="G119" s="159"/>
      <c r="H119" s="171"/>
      <c r="I119" s="11"/>
      <c r="J119" s="309"/>
      <c r="K119" s="236"/>
      <c r="L119" s="428"/>
      <c r="M119" s="11"/>
    </row>
    <row r="120" spans="1:14" x14ac:dyDescent="0.2">
      <c r="A120" s="21" t="s">
        <v>9</v>
      </c>
      <c r="B120" s="234"/>
      <c r="C120" s="145"/>
      <c r="D120" s="166"/>
      <c r="E120" s="27"/>
      <c r="F120" s="234"/>
      <c r="G120" s="145"/>
      <c r="H120" s="166"/>
      <c r="I120" s="27"/>
      <c r="J120" s="287"/>
      <c r="K120" s="44"/>
      <c r="L120" s="254"/>
      <c r="M120" s="27"/>
    </row>
    <row r="121" spans="1:14" x14ac:dyDescent="0.2">
      <c r="A121" s="21" t="s">
        <v>10</v>
      </c>
      <c r="B121" s="234"/>
      <c r="C121" s="145"/>
      <c r="D121" s="166"/>
      <c r="E121" s="27"/>
      <c r="F121" s="234"/>
      <c r="G121" s="145"/>
      <c r="H121" s="166"/>
      <c r="I121" s="27"/>
      <c r="J121" s="287"/>
      <c r="K121" s="44"/>
      <c r="L121" s="254"/>
      <c r="M121" s="27"/>
    </row>
    <row r="122" spans="1:14" x14ac:dyDescent="0.2">
      <c r="A122" s="21" t="s">
        <v>26</v>
      </c>
      <c r="B122" s="234"/>
      <c r="C122" s="145"/>
      <c r="D122" s="166"/>
      <c r="E122" s="27"/>
      <c r="F122" s="234"/>
      <c r="G122" s="145"/>
      <c r="H122" s="166"/>
      <c r="I122" s="27"/>
      <c r="J122" s="287"/>
      <c r="K122" s="44"/>
      <c r="L122" s="254"/>
      <c r="M122" s="27"/>
    </row>
    <row r="123" spans="1:14" x14ac:dyDescent="0.2">
      <c r="A123" s="296" t="s">
        <v>14</v>
      </c>
      <c r="B123" s="294"/>
      <c r="C123" s="295"/>
      <c r="D123" s="166"/>
      <c r="E123" s="417"/>
      <c r="F123" s="294"/>
      <c r="G123" s="295"/>
      <c r="H123" s="166"/>
      <c r="I123" s="417"/>
      <c r="J123" s="294"/>
      <c r="K123" s="295"/>
      <c r="L123" s="166"/>
      <c r="M123" s="23"/>
    </row>
    <row r="124" spans="1:14" ht="15.75" x14ac:dyDescent="0.2">
      <c r="A124" s="21" t="s">
        <v>393</v>
      </c>
      <c r="B124" s="234"/>
      <c r="C124" s="234"/>
      <c r="D124" s="166"/>
      <c r="E124" s="27"/>
      <c r="F124" s="234"/>
      <c r="G124" s="234"/>
      <c r="H124" s="166"/>
      <c r="I124" s="27"/>
      <c r="J124" s="287"/>
      <c r="K124" s="44"/>
      <c r="L124" s="254"/>
      <c r="M124" s="27"/>
    </row>
    <row r="125" spans="1:14" ht="15.75" x14ac:dyDescent="0.2">
      <c r="A125" s="21" t="s">
        <v>385</v>
      </c>
      <c r="B125" s="234"/>
      <c r="C125" s="234"/>
      <c r="D125" s="166"/>
      <c r="E125" s="27"/>
      <c r="F125" s="234"/>
      <c r="G125" s="234"/>
      <c r="H125" s="166"/>
      <c r="I125" s="27"/>
      <c r="J125" s="287"/>
      <c r="K125" s="44"/>
      <c r="L125" s="254"/>
      <c r="M125" s="27"/>
    </row>
    <row r="126" spans="1:14" ht="15.75" x14ac:dyDescent="0.2">
      <c r="A126" s="10" t="s">
        <v>386</v>
      </c>
      <c r="B126" s="45"/>
      <c r="C126" s="45"/>
      <c r="D126" s="167"/>
      <c r="E126" s="418"/>
      <c r="F126" s="45"/>
      <c r="G126" s="45"/>
      <c r="H126" s="167"/>
      <c r="I126" s="22"/>
      <c r="J126" s="288"/>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35"/>
      <c r="C130" s="735"/>
      <c r="D130" s="735"/>
      <c r="E130" s="299"/>
      <c r="F130" s="735"/>
      <c r="G130" s="735"/>
      <c r="H130" s="735"/>
      <c r="I130" s="299"/>
      <c r="J130" s="735"/>
      <c r="K130" s="735"/>
      <c r="L130" s="735"/>
      <c r="M130" s="299"/>
    </row>
    <row r="131" spans="1:14" s="3" customFormat="1" x14ac:dyDescent="0.2">
      <c r="A131" s="144"/>
      <c r="B131" s="733" t="s">
        <v>0</v>
      </c>
      <c r="C131" s="734"/>
      <c r="D131" s="734"/>
      <c r="E131" s="301"/>
      <c r="F131" s="733" t="s">
        <v>1</v>
      </c>
      <c r="G131" s="734"/>
      <c r="H131" s="734"/>
      <c r="I131" s="304"/>
      <c r="J131" s="733" t="s">
        <v>2</v>
      </c>
      <c r="K131" s="734"/>
      <c r="L131" s="734"/>
      <c r="M131" s="304"/>
      <c r="N131" s="148"/>
    </row>
    <row r="132" spans="1:14" s="3" customFormat="1" x14ac:dyDescent="0.2">
      <c r="A132" s="140"/>
      <c r="B132" s="152" t="s">
        <v>421</v>
      </c>
      <c r="C132" s="152" t="s">
        <v>422</v>
      </c>
      <c r="D132" s="245" t="s">
        <v>3</v>
      </c>
      <c r="E132" s="305" t="s">
        <v>29</v>
      </c>
      <c r="F132" s="152" t="s">
        <v>421</v>
      </c>
      <c r="G132" s="152" t="s">
        <v>422</v>
      </c>
      <c r="H132" s="206" t="s">
        <v>3</v>
      </c>
      <c r="I132" s="162" t="s">
        <v>29</v>
      </c>
      <c r="J132" s="152" t="s">
        <v>421</v>
      </c>
      <c r="K132" s="152" t="s">
        <v>422</v>
      </c>
      <c r="L132" s="246" t="s">
        <v>3</v>
      </c>
      <c r="M132" s="162" t="s">
        <v>29</v>
      </c>
      <c r="N132" s="148"/>
    </row>
    <row r="133" spans="1:14" s="3" customFormat="1" x14ac:dyDescent="0.2">
      <c r="A133" s="708"/>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389</v>
      </c>
      <c r="B134" s="236"/>
      <c r="C134" s="309"/>
      <c r="D134" s="350"/>
      <c r="E134" s="11"/>
      <c r="F134" s="316"/>
      <c r="G134" s="317"/>
      <c r="H134" s="431"/>
      <c r="I134" s="24"/>
      <c r="J134" s="318"/>
      <c r="K134" s="318"/>
      <c r="L134" s="427"/>
      <c r="M134" s="11"/>
      <c r="N134" s="148"/>
    </row>
    <row r="135" spans="1:14" s="3" customFormat="1" ht="15.75" x14ac:dyDescent="0.2">
      <c r="A135" s="13" t="s">
        <v>394</v>
      </c>
      <c r="B135" s="236"/>
      <c r="C135" s="309"/>
      <c r="D135" s="171"/>
      <c r="E135" s="11"/>
      <c r="F135" s="236"/>
      <c r="G135" s="309"/>
      <c r="H135" s="432"/>
      <c r="I135" s="24"/>
      <c r="J135" s="308"/>
      <c r="K135" s="308"/>
      <c r="L135" s="428"/>
      <c r="M135" s="11"/>
      <c r="N135" s="148"/>
    </row>
    <row r="136" spans="1:14" s="3" customFormat="1" ht="15.75" x14ac:dyDescent="0.2">
      <c r="A136" s="13" t="s">
        <v>391</v>
      </c>
      <c r="B136" s="236"/>
      <c r="C136" s="309"/>
      <c r="D136" s="171"/>
      <c r="E136" s="11"/>
      <c r="F136" s="236"/>
      <c r="G136" s="309"/>
      <c r="H136" s="432"/>
      <c r="I136" s="24"/>
      <c r="J136" s="308"/>
      <c r="K136" s="308"/>
      <c r="L136" s="428"/>
      <c r="M136" s="11"/>
      <c r="N136" s="148"/>
    </row>
    <row r="137" spans="1:14" s="3" customFormat="1" ht="15.75" x14ac:dyDescent="0.2">
      <c r="A137" s="41" t="s">
        <v>392</v>
      </c>
      <c r="B137" s="276"/>
      <c r="C137" s="315"/>
      <c r="D137" s="169"/>
      <c r="E137" s="9"/>
      <c r="F137" s="276"/>
      <c r="G137" s="315"/>
      <c r="H137" s="433"/>
      <c r="I137" s="36"/>
      <c r="J137" s="314"/>
      <c r="K137" s="314"/>
      <c r="L137" s="429"/>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236" priority="117">
      <formula>kvartal &lt; 4</formula>
    </cfRule>
  </conditionalFormatting>
  <conditionalFormatting sqref="A50:A52">
    <cfRule type="expression" dxfId="235" priority="12">
      <formula>kvartal &lt; 4</formula>
    </cfRule>
  </conditionalFormatting>
  <conditionalFormatting sqref="A69:A74">
    <cfRule type="expression" dxfId="234" priority="10">
      <formula>kvartal &lt; 4</formula>
    </cfRule>
  </conditionalFormatting>
  <conditionalFormatting sqref="A80:A85">
    <cfRule type="expression" dxfId="233" priority="9">
      <formula>kvartal &lt; 4</formula>
    </cfRule>
  </conditionalFormatting>
  <conditionalFormatting sqref="A90:A95">
    <cfRule type="expression" dxfId="232" priority="6">
      <formula>kvartal &lt; 4</formula>
    </cfRule>
  </conditionalFormatting>
  <conditionalFormatting sqref="A101:A106">
    <cfRule type="expression" dxfId="231" priority="5">
      <formula>kvartal &lt; 4</formula>
    </cfRule>
  </conditionalFormatting>
  <conditionalFormatting sqref="A115">
    <cfRule type="expression" dxfId="230" priority="4">
      <formula>kvartal &lt; 4</formula>
    </cfRule>
  </conditionalFormatting>
  <conditionalFormatting sqref="A123">
    <cfRule type="expression" dxfId="229" priority="3">
      <formula>kvartal &lt; 4</formula>
    </cfRule>
  </conditionalFormatting>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DCFD3-E4B4-485B-89B7-DA0A477AA596}">
  <dimension ref="A1:N144"/>
  <sheetViews>
    <sheetView showGridLines="0" workbookViewId="0">
      <selection activeCell="A3" sqref="A3"/>
    </sheetView>
  </sheetViews>
  <sheetFormatPr baseColWidth="10" defaultColWidth="11.42578125" defaultRowHeight="12.75" x14ac:dyDescent="0.2"/>
  <cols>
    <col min="1" max="1" width="43"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135</v>
      </c>
      <c r="B1" s="709"/>
      <c r="C1" s="248" t="s">
        <v>403</v>
      </c>
      <c r="D1" s="26"/>
      <c r="E1" s="26"/>
      <c r="F1" s="26"/>
      <c r="G1" s="26"/>
      <c r="H1" s="26"/>
      <c r="I1" s="26"/>
      <c r="J1" s="26"/>
      <c r="K1" s="26"/>
      <c r="L1" s="26"/>
      <c r="M1" s="26"/>
    </row>
    <row r="2" spans="1:14" ht="15.75" x14ac:dyDescent="0.25">
      <c r="A2" s="165" t="s">
        <v>28</v>
      </c>
      <c r="B2" s="732"/>
      <c r="C2" s="732"/>
      <c r="D2" s="732"/>
      <c r="E2" s="613"/>
      <c r="F2" s="732"/>
      <c r="G2" s="732"/>
      <c r="H2" s="732"/>
      <c r="I2" s="613"/>
      <c r="J2" s="732"/>
      <c r="K2" s="732"/>
      <c r="L2" s="732"/>
      <c r="M2" s="613"/>
    </row>
    <row r="3" spans="1:14" ht="15.75" x14ac:dyDescent="0.25">
      <c r="A3" s="163"/>
      <c r="B3" s="613"/>
      <c r="C3" s="613"/>
      <c r="D3" s="613"/>
      <c r="E3" s="613"/>
      <c r="F3" s="613"/>
      <c r="G3" s="613"/>
      <c r="H3" s="613"/>
      <c r="I3" s="613"/>
      <c r="J3" s="613"/>
      <c r="K3" s="613"/>
      <c r="L3" s="613"/>
      <c r="M3" s="613"/>
    </row>
    <row r="4" spans="1:14" x14ac:dyDescent="0.2">
      <c r="A4" s="144"/>
      <c r="B4" s="733" t="s">
        <v>0</v>
      </c>
      <c r="C4" s="734"/>
      <c r="D4" s="734"/>
      <c r="E4" s="610"/>
      <c r="F4" s="733" t="s">
        <v>1</v>
      </c>
      <c r="G4" s="734"/>
      <c r="H4" s="734"/>
      <c r="I4" s="611"/>
      <c r="J4" s="733" t="s">
        <v>2</v>
      </c>
      <c r="K4" s="734"/>
      <c r="L4" s="734"/>
      <c r="M4" s="611"/>
    </row>
    <row r="5" spans="1:14" x14ac:dyDescent="0.2">
      <c r="A5" s="158"/>
      <c r="B5" s="152" t="s">
        <v>421</v>
      </c>
      <c r="C5" s="152" t="s">
        <v>422</v>
      </c>
      <c r="D5" s="245" t="s">
        <v>3</v>
      </c>
      <c r="E5" s="305" t="s">
        <v>29</v>
      </c>
      <c r="F5" s="152" t="s">
        <v>421</v>
      </c>
      <c r="G5" s="152" t="s">
        <v>422</v>
      </c>
      <c r="H5" s="245" t="s">
        <v>3</v>
      </c>
      <c r="I5" s="162" t="s">
        <v>29</v>
      </c>
      <c r="J5" s="152" t="s">
        <v>421</v>
      </c>
      <c r="K5" s="152" t="s">
        <v>422</v>
      </c>
      <c r="L5" s="245" t="s">
        <v>3</v>
      </c>
      <c r="M5" s="162" t="s">
        <v>29</v>
      </c>
    </row>
    <row r="6" spans="1:14" x14ac:dyDescent="0.2">
      <c r="A6" s="707"/>
      <c r="B6" s="156"/>
      <c r="C6" s="156"/>
      <c r="D6" s="246" t="s">
        <v>4</v>
      </c>
      <c r="E6" s="156" t="s">
        <v>30</v>
      </c>
      <c r="F6" s="161"/>
      <c r="G6" s="161"/>
      <c r="H6" s="245" t="s">
        <v>4</v>
      </c>
      <c r="I6" s="156" t="s">
        <v>30</v>
      </c>
      <c r="J6" s="161"/>
      <c r="K6" s="161"/>
      <c r="L6" s="245" t="s">
        <v>4</v>
      </c>
      <c r="M6" s="156" t="s">
        <v>30</v>
      </c>
    </row>
    <row r="7" spans="1:14" ht="15.75" x14ac:dyDescent="0.2">
      <c r="A7" s="14" t="s">
        <v>23</v>
      </c>
      <c r="B7" s="306"/>
      <c r="C7" s="307">
        <v>568</v>
      </c>
      <c r="D7" s="350" t="str">
        <f>IF(B7=0, "    ---- ", IF(ABS(ROUND(100/B7*C7-100,1))&lt;999,ROUND(100/B7*C7-100,1),IF(ROUND(100/B7*C7-100,1)&gt;999,999,-999)))</f>
        <v xml:space="preserve">    ---- </v>
      </c>
      <c r="E7" s="11">
        <f>IFERROR(100/'Skjema total MA'!C7*C7,0)</f>
        <v>1.5392694961065942E-2</v>
      </c>
      <c r="F7" s="306"/>
      <c r="G7" s="307"/>
      <c r="H7" s="350"/>
      <c r="I7" s="160"/>
      <c r="J7" s="703"/>
      <c r="K7" s="704">
        <f t="shared" ref="K7:K8" si="0">SUM(C7,G7)</f>
        <v>568</v>
      </c>
      <c r="L7" s="350" t="str">
        <f>IF(J7=0, "    ---- ", IF(ABS(ROUND(100/J7*K7-100,1))&lt;999,ROUND(100/J7*K7-100,1),IF(ROUND(100/J7*K7-100,1)&gt;999,999,-999)))</f>
        <v xml:space="preserve">    ---- </v>
      </c>
      <c r="M7" s="11">
        <f>IFERROR(100/'Skjema total MA'!K7*K7,0)</f>
        <v>0</v>
      </c>
    </row>
    <row r="8" spans="1:14" ht="15.75" x14ac:dyDescent="0.2">
      <c r="A8" s="21" t="s">
        <v>25</v>
      </c>
      <c r="B8" s="281"/>
      <c r="C8" s="282">
        <v>568</v>
      </c>
      <c r="D8" s="166" t="str">
        <f t="shared" ref="D8" si="1">IF(B8=0, "    ---- ", IF(ABS(ROUND(100/B8*C8-100,1))&lt;999,ROUND(100/B8*C8-100,1),IF(ROUND(100/B8*C8-100,1)&gt;999,999,-999)))</f>
        <v xml:space="preserve">    ---- </v>
      </c>
      <c r="E8" s="27">
        <f>IFERROR(100/'Skjema total MA'!C8*C8,0)</f>
        <v>2.3479545832088718E-2</v>
      </c>
      <c r="F8" s="285"/>
      <c r="G8" s="286"/>
      <c r="H8" s="166"/>
      <c r="I8" s="175"/>
      <c r="J8" s="705"/>
      <c r="K8" s="706">
        <f t="shared" si="0"/>
        <v>568</v>
      </c>
      <c r="L8" s="166" t="str">
        <f t="shared" ref="L8" si="2">IF(J8=0, "    ---- ", IF(ABS(ROUND(100/J8*K8-100,1))&lt;999,ROUND(100/J8*K8-100,1),IF(ROUND(100/J8*K8-100,1)&gt;999,999,-999)))</f>
        <v xml:space="preserve">    ---- </v>
      </c>
      <c r="M8" s="27">
        <f>IFERROR(100/'Skjema total MA'!K8*K8,0)</f>
        <v>0</v>
      </c>
    </row>
    <row r="9" spans="1:14" ht="15.75" x14ac:dyDescent="0.2">
      <c r="A9" s="21" t="s">
        <v>24</v>
      </c>
      <c r="B9" s="281"/>
      <c r="C9" s="282"/>
      <c r="D9" s="166"/>
      <c r="E9" s="27"/>
      <c r="F9" s="285"/>
      <c r="G9" s="286"/>
      <c r="H9" s="166"/>
      <c r="I9" s="175"/>
      <c r="J9" s="234"/>
      <c r="K9" s="287"/>
      <c r="L9" s="166"/>
      <c r="M9" s="27"/>
    </row>
    <row r="10" spans="1:14" ht="15.75" x14ac:dyDescent="0.2">
      <c r="A10" s="13" t="s">
        <v>365</v>
      </c>
      <c r="B10" s="310"/>
      <c r="C10" s="311"/>
      <c r="D10" s="171"/>
      <c r="E10" s="11"/>
      <c r="F10" s="310"/>
      <c r="G10" s="311"/>
      <c r="H10" s="171"/>
      <c r="I10" s="160"/>
      <c r="J10" s="308"/>
      <c r="K10" s="309"/>
      <c r="L10" s="428"/>
      <c r="M10" s="11"/>
    </row>
    <row r="11" spans="1:14" s="43" customFormat="1" ht="15.75" x14ac:dyDescent="0.2">
      <c r="A11" s="13" t="s">
        <v>366</v>
      </c>
      <c r="B11" s="310"/>
      <c r="C11" s="311"/>
      <c r="D11" s="171"/>
      <c r="E11" s="11"/>
      <c r="F11" s="310"/>
      <c r="G11" s="311"/>
      <c r="H11" s="171"/>
      <c r="I11" s="160"/>
      <c r="J11" s="308"/>
      <c r="K11" s="309"/>
      <c r="L11" s="428"/>
      <c r="M11" s="11"/>
      <c r="N11" s="143"/>
    </row>
    <row r="12" spans="1:14" s="43" customFormat="1" ht="15.75" x14ac:dyDescent="0.2">
      <c r="A12" s="41" t="s">
        <v>367</v>
      </c>
      <c r="B12" s="312"/>
      <c r="C12" s="313"/>
      <c r="D12" s="169"/>
      <c r="E12" s="36"/>
      <c r="F12" s="312"/>
      <c r="G12" s="313"/>
      <c r="H12" s="169"/>
      <c r="I12" s="169"/>
      <c r="J12" s="314"/>
      <c r="K12" s="315"/>
      <c r="L12" s="429"/>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275</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272</v>
      </c>
      <c r="B17" s="157"/>
      <c r="C17" s="157"/>
      <c r="D17" s="151"/>
      <c r="E17" s="151"/>
      <c r="F17" s="157"/>
      <c r="G17" s="157"/>
      <c r="H17" s="157"/>
      <c r="I17" s="157"/>
      <c r="J17" s="157"/>
      <c r="K17" s="157"/>
      <c r="L17" s="157"/>
      <c r="M17" s="157"/>
    </row>
    <row r="18" spans="1:14" ht="15.75" x14ac:dyDescent="0.25">
      <c r="B18" s="735"/>
      <c r="C18" s="735"/>
      <c r="D18" s="735"/>
      <c r="E18" s="613"/>
      <c r="F18" s="735"/>
      <c r="G18" s="735"/>
      <c r="H18" s="735"/>
      <c r="I18" s="613"/>
      <c r="J18" s="735"/>
      <c r="K18" s="735"/>
      <c r="L18" s="735"/>
      <c r="M18" s="613"/>
    </row>
    <row r="19" spans="1:14" x14ac:dyDescent="0.2">
      <c r="A19" s="144"/>
      <c r="B19" s="733" t="s">
        <v>0</v>
      </c>
      <c r="C19" s="734"/>
      <c r="D19" s="734"/>
      <c r="E19" s="610"/>
      <c r="F19" s="733" t="s">
        <v>1</v>
      </c>
      <c r="G19" s="734"/>
      <c r="H19" s="734"/>
      <c r="I19" s="611"/>
      <c r="J19" s="733" t="s">
        <v>2</v>
      </c>
      <c r="K19" s="734"/>
      <c r="L19" s="734"/>
      <c r="M19" s="611"/>
    </row>
    <row r="20" spans="1:14" x14ac:dyDescent="0.2">
      <c r="A20" s="140" t="s">
        <v>5</v>
      </c>
      <c r="B20" s="152" t="s">
        <v>421</v>
      </c>
      <c r="C20" s="152" t="s">
        <v>422</v>
      </c>
      <c r="D20" s="162" t="s">
        <v>3</v>
      </c>
      <c r="E20" s="305" t="s">
        <v>29</v>
      </c>
      <c r="F20" s="152" t="s">
        <v>421</v>
      </c>
      <c r="G20" s="152" t="s">
        <v>422</v>
      </c>
      <c r="H20" s="162" t="s">
        <v>3</v>
      </c>
      <c r="I20" s="162" t="s">
        <v>29</v>
      </c>
      <c r="J20" s="152" t="s">
        <v>421</v>
      </c>
      <c r="K20" s="152" t="s">
        <v>422</v>
      </c>
      <c r="L20" s="162" t="s">
        <v>3</v>
      </c>
      <c r="M20" s="162" t="s">
        <v>29</v>
      </c>
    </row>
    <row r="21" spans="1:14" x14ac:dyDescent="0.2">
      <c r="A21" s="708"/>
      <c r="B21" s="156"/>
      <c r="C21" s="156"/>
      <c r="D21" s="246" t="s">
        <v>4</v>
      </c>
      <c r="E21" s="156" t="s">
        <v>30</v>
      </c>
      <c r="F21" s="161"/>
      <c r="G21" s="161"/>
      <c r="H21" s="245" t="s">
        <v>4</v>
      </c>
      <c r="I21" s="156" t="s">
        <v>30</v>
      </c>
      <c r="J21" s="161"/>
      <c r="K21" s="161"/>
      <c r="L21" s="156" t="s">
        <v>4</v>
      </c>
      <c r="M21" s="156" t="s">
        <v>30</v>
      </c>
    </row>
    <row r="22" spans="1:14" ht="15.75" x14ac:dyDescent="0.2">
      <c r="A22" s="14" t="s">
        <v>23</v>
      </c>
      <c r="B22" s="310"/>
      <c r="C22" s="310"/>
      <c r="D22" s="350"/>
      <c r="E22" s="11"/>
      <c r="F22" s="318"/>
      <c r="G22" s="318"/>
      <c r="H22" s="350"/>
      <c r="I22" s="11"/>
      <c r="J22" s="316"/>
      <c r="K22" s="316"/>
      <c r="L22" s="427"/>
      <c r="M22" s="24"/>
    </row>
    <row r="23" spans="1:14" ht="15.75" x14ac:dyDescent="0.2">
      <c r="A23" s="584" t="s">
        <v>368</v>
      </c>
      <c r="B23" s="281"/>
      <c r="C23" s="281"/>
      <c r="D23" s="166"/>
      <c r="E23" s="11"/>
      <c r="F23" s="290"/>
      <c r="G23" s="290"/>
      <c r="H23" s="166"/>
      <c r="I23" s="417"/>
      <c r="J23" s="290"/>
      <c r="K23" s="290"/>
      <c r="L23" s="166"/>
      <c r="M23" s="23"/>
    </row>
    <row r="24" spans="1:14" ht="15.75" x14ac:dyDescent="0.2">
      <c r="A24" s="584" t="s">
        <v>369</v>
      </c>
      <c r="B24" s="281"/>
      <c r="C24" s="281"/>
      <c r="D24" s="166"/>
      <c r="E24" s="11"/>
      <c r="F24" s="290"/>
      <c r="G24" s="290"/>
      <c r="H24" s="166"/>
      <c r="I24" s="417"/>
      <c r="J24" s="290"/>
      <c r="K24" s="290"/>
      <c r="L24" s="166"/>
      <c r="M24" s="23"/>
    </row>
    <row r="25" spans="1:14" ht="15.75" x14ac:dyDescent="0.2">
      <c r="A25" s="584" t="s">
        <v>370</v>
      </c>
      <c r="B25" s="281"/>
      <c r="C25" s="281"/>
      <c r="D25" s="166"/>
      <c r="E25" s="11"/>
      <c r="F25" s="290"/>
      <c r="G25" s="290"/>
      <c r="H25" s="166"/>
      <c r="I25" s="417"/>
      <c r="J25" s="290"/>
      <c r="K25" s="290"/>
      <c r="L25" s="166"/>
      <c r="M25" s="23"/>
    </row>
    <row r="26" spans="1:14" ht="15.75" x14ac:dyDescent="0.2">
      <c r="A26" s="584" t="s">
        <v>371</v>
      </c>
      <c r="B26" s="281"/>
      <c r="C26" s="281"/>
      <c r="D26" s="166"/>
      <c r="E26" s="11"/>
      <c r="F26" s="290"/>
      <c r="G26" s="290"/>
      <c r="H26" s="166"/>
      <c r="I26" s="417"/>
      <c r="J26" s="290"/>
      <c r="K26" s="290"/>
      <c r="L26" s="166"/>
      <c r="M26" s="23"/>
    </row>
    <row r="27" spans="1:14" x14ac:dyDescent="0.2">
      <c r="A27" s="584" t="s">
        <v>11</v>
      </c>
      <c r="B27" s="281"/>
      <c r="C27" s="281"/>
      <c r="D27" s="166"/>
      <c r="E27" s="11"/>
      <c r="F27" s="290"/>
      <c r="G27" s="290"/>
      <c r="H27" s="166"/>
      <c r="I27" s="417"/>
      <c r="J27" s="290"/>
      <c r="K27" s="290"/>
      <c r="L27" s="166"/>
      <c r="M27" s="23"/>
    </row>
    <row r="28" spans="1:14" ht="15.75" x14ac:dyDescent="0.2">
      <c r="A28" s="49" t="s">
        <v>276</v>
      </c>
      <c r="B28" s="44"/>
      <c r="C28" s="287"/>
      <c r="D28" s="166"/>
      <c r="E28" s="11"/>
      <c r="F28" s="234"/>
      <c r="G28" s="287"/>
      <c r="H28" s="166"/>
      <c r="I28" s="27"/>
      <c r="J28" s="44"/>
      <c r="K28" s="44"/>
      <c r="L28" s="254"/>
      <c r="M28" s="23"/>
    </row>
    <row r="29" spans="1:14" s="3" customFormat="1" ht="15.75" x14ac:dyDescent="0.2">
      <c r="A29" s="13" t="s">
        <v>365</v>
      </c>
      <c r="B29" s="236"/>
      <c r="C29" s="236"/>
      <c r="D29" s="171"/>
      <c r="E29" s="11"/>
      <c r="F29" s="308"/>
      <c r="G29" s="308"/>
      <c r="H29" s="171"/>
      <c r="I29" s="11"/>
      <c r="J29" s="236"/>
      <c r="K29" s="236"/>
      <c r="L29" s="428"/>
      <c r="M29" s="24"/>
      <c r="N29" s="148"/>
    </row>
    <row r="30" spans="1:14" s="3" customFormat="1" ht="15.75" x14ac:dyDescent="0.2">
      <c r="A30" s="584" t="s">
        <v>368</v>
      </c>
      <c r="B30" s="281"/>
      <c r="C30" s="281"/>
      <c r="D30" s="166"/>
      <c r="E30" s="11"/>
      <c r="F30" s="290"/>
      <c r="G30" s="290"/>
      <c r="H30" s="166"/>
      <c r="I30" s="417"/>
      <c r="J30" s="290"/>
      <c r="K30" s="290"/>
      <c r="L30" s="166"/>
      <c r="M30" s="23"/>
      <c r="N30" s="148"/>
    </row>
    <row r="31" spans="1:14" s="3" customFormat="1" ht="15.75" x14ac:dyDescent="0.2">
      <c r="A31" s="584" t="s">
        <v>369</v>
      </c>
      <c r="B31" s="281"/>
      <c r="C31" s="281"/>
      <c r="D31" s="166"/>
      <c r="E31" s="11"/>
      <c r="F31" s="290"/>
      <c r="G31" s="290"/>
      <c r="H31" s="166"/>
      <c r="I31" s="417"/>
      <c r="J31" s="290"/>
      <c r="K31" s="290"/>
      <c r="L31" s="166"/>
      <c r="M31" s="23"/>
      <c r="N31" s="148"/>
    </row>
    <row r="32" spans="1:14" ht="15.75" x14ac:dyDescent="0.2">
      <c r="A32" s="584" t="s">
        <v>370</v>
      </c>
      <c r="B32" s="281"/>
      <c r="C32" s="281"/>
      <c r="D32" s="166"/>
      <c r="E32" s="11"/>
      <c r="F32" s="290"/>
      <c r="G32" s="290"/>
      <c r="H32" s="166"/>
      <c r="I32" s="417"/>
      <c r="J32" s="290"/>
      <c r="K32" s="290"/>
      <c r="L32" s="166"/>
      <c r="M32" s="23"/>
    </row>
    <row r="33" spans="1:14" ht="15.75" x14ac:dyDescent="0.2">
      <c r="A33" s="584" t="s">
        <v>371</v>
      </c>
      <c r="B33" s="281"/>
      <c r="C33" s="281"/>
      <c r="D33" s="166"/>
      <c r="E33" s="11"/>
      <c r="F33" s="290"/>
      <c r="G33" s="290"/>
      <c r="H33" s="166"/>
      <c r="I33" s="417"/>
      <c r="J33" s="290"/>
      <c r="K33" s="290"/>
      <c r="L33" s="166"/>
      <c r="M33" s="23"/>
    </row>
    <row r="34" spans="1:14" ht="15.75" x14ac:dyDescent="0.2">
      <c r="A34" s="13" t="s">
        <v>366</v>
      </c>
      <c r="B34" s="236"/>
      <c r="C34" s="309"/>
      <c r="D34" s="171"/>
      <c r="E34" s="11"/>
      <c r="F34" s="308"/>
      <c r="G34" s="309"/>
      <c r="H34" s="171"/>
      <c r="I34" s="11"/>
      <c r="J34" s="236"/>
      <c r="K34" s="236"/>
      <c r="L34" s="428"/>
      <c r="M34" s="24"/>
    </row>
    <row r="35" spans="1:14" ht="15.75" x14ac:dyDescent="0.2">
      <c r="A35" s="13" t="s">
        <v>367</v>
      </c>
      <c r="B35" s="236"/>
      <c r="C35" s="309"/>
      <c r="D35" s="171"/>
      <c r="E35" s="11"/>
      <c r="F35" s="308"/>
      <c r="G35" s="309"/>
      <c r="H35" s="171"/>
      <c r="I35" s="11"/>
      <c r="J35" s="236"/>
      <c r="K35" s="236"/>
      <c r="L35" s="428"/>
      <c r="M35" s="24"/>
    </row>
    <row r="36" spans="1:14" ht="15.75" x14ac:dyDescent="0.2">
      <c r="A36" s="12" t="s">
        <v>284</v>
      </c>
      <c r="B36" s="236"/>
      <c r="C36" s="309"/>
      <c r="D36" s="171"/>
      <c r="E36" s="11"/>
      <c r="F36" s="319"/>
      <c r="G36" s="320"/>
      <c r="H36" s="171"/>
      <c r="I36" s="434"/>
      <c r="J36" s="236"/>
      <c r="K36" s="236"/>
      <c r="L36" s="428"/>
      <c r="M36" s="24"/>
    </row>
    <row r="37" spans="1:14" ht="15.75" x14ac:dyDescent="0.2">
      <c r="A37" s="12" t="s">
        <v>373</v>
      </c>
      <c r="B37" s="236"/>
      <c r="C37" s="309"/>
      <c r="D37" s="171"/>
      <c r="E37" s="11"/>
      <c r="F37" s="319"/>
      <c r="G37" s="321"/>
      <c r="H37" s="171"/>
      <c r="I37" s="434"/>
      <c r="J37" s="236"/>
      <c r="K37" s="236"/>
      <c r="L37" s="428"/>
      <c r="M37" s="24"/>
    </row>
    <row r="38" spans="1:14" ht="15.75" x14ac:dyDescent="0.2">
      <c r="A38" s="12" t="s">
        <v>374</v>
      </c>
      <c r="B38" s="236"/>
      <c r="C38" s="309"/>
      <c r="D38" s="432"/>
      <c r="E38" s="24"/>
      <c r="F38" s="319"/>
      <c r="G38" s="320"/>
      <c r="H38" s="171"/>
      <c r="I38" s="434"/>
      <c r="J38" s="236"/>
      <c r="K38" s="236"/>
      <c r="L38" s="428"/>
      <c r="M38" s="24"/>
    </row>
    <row r="39" spans="1:14" ht="15.75" x14ac:dyDescent="0.2">
      <c r="A39" s="18" t="s">
        <v>375</v>
      </c>
      <c r="B39" s="276"/>
      <c r="C39" s="315"/>
      <c r="D39" s="433"/>
      <c r="E39" s="36"/>
      <c r="F39" s="322"/>
      <c r="G39" s="323"/>
      <c r="H39" s="169"/>
      <c r="I39" s="36"/>
      <c r="J39" s="236"/>
      <c r="K39" s="236"/>
      <c r="L39" s="429"/>
      <c r="M39" s="36"/>
    </row>
    <row r="40" spans="1:14" ht="15.75" x14ac:dyDescent="0.25">
      <c r="A40" s="47"/>
      <c r="B40" s="253"/>
      <c r="C40" s="253"/>
      <c r="D40" s="736"/>
      <c r="E40" s="737"/>
      <c r="F40" s="736"/>
      <c r="G40" s="736"/>
      <c r="H40" s="736"/>
      <c r="I40" s="736"/>
      <c r="J40" s="736"/>
      <c r="K40" s="736"/>
      <c r="L40" s="736"/>
      <c r="M40" s="614"/>
    </row>
    <row r="41" spans="1:14" x14ac:dyDescent="0.2">
      <c r="A41" s="155"/>
    </row>
    <row r="42" spans="1:14" ht="15.75" x14ac:dyDescent="0.25">
      <c r="A42" s="147" t="s">
        <v>273</v>
      </c>
      <c r="B42" s="732"/>
      <c r="C42" s="732"/>
      <c r="D42" s="732"/>
      <c r="E42" s="613"/>
      <c r="F42" s="737"/>
      <c r="G42" s="737"/>
      <c r="H42" s="737"/>
      <c r="I42" s="614"/>
      <c r="J42" s="737"/>
      <c r="K42" s="737"/>
      <c r="L42" s="737"/>
      <c r="M42" s="614"/>
    </row>
    <row r="43" spans="1:14" ht="15.75" x14ac:dyDescent="0.25">
      <c r="A43" s="163"/>
      <c r="B43" s="612"/>
      <c r="C43" s="612"/>
      <c r="D43" s="612"/>
      <c r="E43" s="612"/>
      <c r="F43" s="614"/>
      <c r="G43" s="614"/>
      <c r="H43" s="614"/>
      <c r="I43" s="614"/>
      <c r="J43" s="614"/>
      <c r="K43" s="614"/>
      <c r="L43" s="614"/>
      <c r="M43" s="614"/>
    </row>
    <row r="44" spans="1:14" ht="15.75" x14ac:dyDescent="0.25">
      <c r="A44" s="247"/>
      <c r="B44" s="733" t="s">
        <v>0</v>
      </c>
      <c r="C44" s="734"/>
      <c r="D44" s="734"/>
      <c r="E44" s="243"/>
      <c r="F44" s="614"/>
      <c r="G44" s="614"/>
      <c r="H44" s="614"/>
      <c r="I44" s="614"/>
      <c r="J44" s="614"/>
      <c r="K44" s="614"/>
      <c r="L44" s="614"/>
      <c r="M44" s="614"/>
    </row>
    <row r="45" spans="1:14" s="3" customFormat="1" x14ac:dyDescent="0.2">
      <c r="A45" s="140"/>
      <c r="B45" s="152" t="s">
        <v>421</v>
      </c>
      <c r="C45" s="152" t="s">
        <v>422</v>
      </c>
      <c r="D45" s="162" t="s">
        <v>3</v>
      </c>
      <c r="E45" s="162" t="s">
        <v>29</v>
      </c>
      <c r="F45" s="174"/>
      <c r="G45" s="174"/>
      <c r="H45" s="173"/>
      <c r="I45" s="173"/>
      <c r="J45" s="174"/>
      <c r="K45" s="174"/>
      <c r="L45" s="173"/>
      <c r="M45" s="173"/>
      <c r="N45" s="148"/>
    </row>
    <row r="46" spans="1:14" s="3" customFormat="1" x14ac:dyDescent="0.2">
      <c r="A46" s="708"/>
      <c r="B46" s="244"/>
      <c r="C46" s="244"/>
      <c r="D46" s="245" t="s">
        <v>4</v>
      </c>
      <c r="E46" s="156" t="s">
        <v>30</v>
      </c>
      <c r="F46" s="173"/>
      <c r="G46" s="173"/>
      <c r="H46" s="173"/>
      <c r="I46" s="173"/>
      <c r="J46" s="173"/>
      <c r="K46" s="173"/>
      <c r="L46" s="173"/>
      <c r="M46" s="173"/>
      <c r="N46" s="148"/>
    </row>
    <row r="47" spans="1:14" s="3" customFormat="1" ht="15.75" x14ac:dyDescent="0.2">
      <c r="A47" s="14" t="s">
        <v>23</v>
      </c>
      <c r="B47" s="310"/>
      <c r="C47" s="311">
        <v>583</v>
      </c>
      <c r="D47" s="427" t="str">
        <f t="shared" ref="D47:D48" si="3">IF(B47=0, "    ---- ", IF(ABS(ROUND(100/B47*C47-100,1))&lt;999,ROUND(100/B47*C47-100,1),IF(ROUND(100/B47*C47-100,1)&gt;999,999,-999)))</f>
        <v xml:space="preserve">    ---- </v>
      </c>
      <c r="E47" s="11">
        <f>IFERROR(100/'Skjema total MA'!C47*C47,0)</f>
        <v>1.3795275126011359E-2</v>
      </c>
      <c r="F47" s="145"/>
      <c r="G47" s="33"/>
      <c r="H47" s="159"/>
      <c r="I47" s="159"/>
      <c r="J47" s="37"/>
      <c r="K47" s="37"/>
      <c r="L47" s="159"/>
      <c r="M47" s="159"/>
      <c r="N47" s="148"/>
    </row>
    <row r="48" spans="1:14" s="3" customFormat="1" ht="15.75" x14ac:dyDescent="0.2">
      <c r="A48" s="38" t="s">
        <v>376</v>
      </c>
      <c r="B48" s="281"/>
      <c r="C48" s="282">
        <v>583</v>
      </c>
      <c r="D48" s="254" t="str">
        <f t="shared" si="3"/>
        <v xml:space="preserve">    ---- </v>
      </c>
      <c r="E48" s="27">
        <f>IFERROR(100/'Skjema total MA'!C48*C48,0)</f>
        <v>2.4507386371157604E-2</v>
      </c>
      <c r="F48" s="145"/>
      <c r="G48" s="33"/>
      <c r="H48" s="145"/>
      <c r="I48" s="145"/>
      <c r="J48" s="33"/>
      <c r="K48" s="33"/>
      <c r="L48" s="159"/>
      <c r="M48" s="159"/>
      <c r="N48" s="148"/>
    </row>
    <row r="49" spans="1:14" s="3" customFormat="1" ht="15.75" x14ac:dyDescent="0.2">
      <c r="A49" s="38" t="s">
        <v>377</v>
      </c>
      <c r="B49" s="44"/>
      <c r="C49" s="287"/>
      <c r="D49" s="254"/>
      <c r="E49" s="27"/>
      <c r="F49" s="145"/>
      <c r="G49" s="33"/>
      <c r="H49" s="145"/>
      <c r="I49" s="145"/>
      <c r="J49" s="37"/>
      <c r="K49" s="37"/>
      <c r="L49" s="159"/>
      <c r="M49" s="159"/>
      <c r="N49" s="148"/>
    </row>
    <row r="50" spans="1:14" s="3" customFormat="1" x14ac:dyDescent="0.2">
      <c r="A50" s="296" t="s">
        <v>6</v>
      </c>
      <c r="B50" s="290"/>
      <c r="C50" s="291"/>
      <c r="D50" s="254"/>
      <c r="E50" s="23"/>
      <c r="F50" s="145"/>
      <c r="G50" s="33"/>
      <c r="H50" s="145"/>
      <c r="I50" s="145"/>
      <c r="J50" s="33"/>
      <c r="K50" s="33"/>
      <c r="L50" s="159"/>
      <c r="M50" s="159"/>
      <c r="N50" s="148"/>
    </row>
    <row r="51" spans="1:14" s="3" customFormat="1" x14ac:dyDescent="0.2">
      <c r="A51" s="296" t="s">
        <v>7</v>
      </c>
      <c r="B51" s="290"/>
      <c r="C51" s="291"/>
      <c r="D51" s="254"/>
      <c r="E51" s="23"/>
      <c r="F51" s="145"/>
      <c r="G51" s="33"/>
      <c r="H51" s="145"/>
      <c r="I51" s="145"/>
      <c r="J51" s="33"/>
      <c r="K51" s="33"/>
      <c r="L51" s="159"/>
      <c r="M51" s="159"/>
      <c r="N51" s="148"/>
    </row>
    <row r="52" spans="1:14" s="3" customFormat="1" x14ac:dyDescent="0.2">
      <c r="A52" s="296" t="s">
        <v>8</v>
      </c>
      <c r="B52" s="290"/>
      <c r="C52" s="291"/>
      <c r="D52" s="254"/>
      <c r="E52" s="23"/>
      <c r="F52" s="145"/>
      <c r="G52" s="33"/>
      <c r="H52" s="145"/>
      <c r="I52" s="145"/>
      <c r="J52" s="33"/>
      <c r="K52" s="33"/>
      <c r="L52" s="159"/>
      <c r="M52" s="159"/>
      <c r="N52" s="148"/>
    </row>
    <row r="53" spans="1:14" s="3" customFormat="1" ht="15.75" x14ac:dyDescent="0.2">
      <c r="A53" s="39" t="s">
        <v>378</v>
      </c>
      <c r="B53" s="310"/>
      <c r="C53" s="311"/>
      <c r="D53" s="428"/>
      <c r="E53" s="11"/>
      <c r="F53" s="145"/>
      <c r="G53" s="33"/>
      <c r="H53" s="145"/>
      <c r="I53" s="145"/>
      <c r="J53" s="33"/>
      <c r="K53" s="33"/>
      <c r="L53" s="159"/>
      <c r="M53" s="159"/>
      <c r="N53" s="148"/>
    </row>
    <row r="54" spans="1:14" s="3" customFormat="1" ht="15.75" x14ac:dyDescent="0.2">
      <c r="A54" s="38" t="s">
        <v>376</v>
      </c>
      <c r="B54" s="281"/>
      <c r="C54" s="282"/>
      <c r="D54" s="254"/>
      <c r="E54" s="27"/>
      <c r="F54" s="145"/>
      <c r="G54" s="33"/>
      <c r="H54" s="145"/>
      <c r="I54" s="145"/>
      <c r="J54" s="33"/>
      <c r="K54" s="33"/>
      <c r="L54" s="159"/>
      <c r="M54" s="159"/>
      <c r="N54" s="148"/>
    </row>
    <row r="55" spans="1:14" s="3" customFormat="1" ht="15.75" x14ac:dyDescent="0.2">
      <c r="A55" s="38" t="s">
        <v>377</v>
      </c>
      <c r="B55" s="281"/>
      <c r="C55" s="282"/>
      <c r="D55" s="254"/>
      <c r="E55" s="27"/>
      <c r="F55" s="145"/>
      <c r="G55" s="33"/>
      <c r="H55" s="145"/>
      <c r="I55" s="145"/>
      <c r="J55" s="33"/>
      <c r="K55" s="33"/>
      <c r="L55" s="159"/>
      <c r="M55" s="159"/>
      <c r="N55" s="148"/>
    </row>
    <row r="56" spans="1:14" s="3" customFormat="1" ht="15.75" x14ac:dyDescent="0.2">
      <c r="A56" s="39" t="s">
        <v>379</v>
      </c>
      <c r="B56" s="310"/>
      <c r="C56" s="311"/>
      <c r="D56" s="428"/>
      <c r="E56" s="11"/>
      <c r="F56" s="145"/>
      <c r="G56" s="33"/>
      <c r="H56" s="145"/>
      <c r="I56" s="145"/>
      <c r="J56" s="33"/>
      <c r="K56" s="33"/>
      <c r="L56" s="159"/>
      <c r="M56" s="159"/>
      <c r="N56" s="148"/>
    </row>
    <row r="57" spans="1:14" s="3" customFormat="1" ht="15.75" x14ac:dyDescent="0.2">
      <c r="A57" s="38" t="s">
        <v>376</v>
      </c>
      <c r="B57" s="281"/>
      <c r="C57" s="282"/>
      <c r="D57" s="254"/>
      <c r="E57" s="27"/>
      <c r="F57" s="145"/>
      <c r="G57" s="33"/>
      <c r="H57" s="145"/>
      <c r="I57" s="145"/>
      <c r="J57" s="33"/>
      <c r="K57" s="33"/>
      <c r="L57" s="159"/>
      <c r="M57" s="159"/>
      <c r="N57" s="148"/>
    </row>
    <row r="58" spans="1:14" s="3" customFormat="1" ht="15.75" x14ac:dyDescent="0.2">
      <c r="A58" s="46" t="s">
        <v>377</v>
      </c>
      <c r="B58" s="283"/>
      <c r="C58" s="284"/>
      <c r="D58" s="255"/>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274</v>
      </c>
      <c r="C61" s="26"/>
      <c r="D61" s="26"/>
      <c r="E61" s="26"/>
      <c r="F61" s="26"/>
      <c r="G61" s="26"/>
      <c r="H61" s="26"/>
      <c r="I61" s="26"/>
      <c r="J61" s="26"/>
      <c r="K61" s="26"/>
      <c r="L61" s="26"/>
      <c r="M61" s="26"/>
    </row>
    <row r="62" spans="1:14" ht="15.75" x14ac:dyDescent="0.25">
      <c r="B62" s="735"/>
      <c r="C62" s="735"/>
      <c r="D62" s="735"/>
      <c r="E62" s="613"/>
      <c r="F62" s="735"/>
      <c r="G62" s="735"/>
      <c r="H62" s="735"/>
      <c r="I62" s="613"/>
      <c r="J62" s="735"/>
      <c r="K62" s="735"/>
      <c r="L62" s="735"/>
      <c r="M62" s="613"/>
    </row>
    <row r="63" spans="1:14" x14ac:dyDescent="0.2">
      <c r="A63" s="144"/>
      <c r="B63" s="733" t="s">
        <v>0</v>
      </c>
      <c r="C63" s="734"/>
      <c r="D63" s="738"/>
      <c r="E63" s="609"/>
      <c r="F63" s="734" t="s">
        <v>1</v>
      </c>
      <c r="G63" s="734"/>
      <c r="H63" s="734"/>
      <c r="I63" s="611"/>
      <c r="J63" s="733" t="s">
        <v>2</v>
      </c>
      <c r="K63" s="734"/>
      <c r="L63" s="734"/>
      <c r="M63" s="611"/>
    </row>
    <row r="64" spans="1:14" x14ac:dyDescent="0.2">
      <c r="A64" s="140"/>
      <c r="B64" s="152" t="s">
        <v>421</v>
      </c>
      <c r="C64" s="152" t="s">
        <v>422</v>
      </c>
      <c r="D64" s="245" t="s">
        <v>3</v>
      </c>
      <c r="E64" s="305" t="s">
        <v>29</v>
      </c>
      <c r="F64" s="152" t="s">
        <v>421</v>
      </c>
      <c r="G64" s="152" t="s">
        <v>422</v>
      </c>
      <c r="H64" s="245" t="s">
        <v>3</v>
      </c>
      <c r="I64" s="305" t="s">
        <v>29</v>
      </c>
      <c r="J64" s="152" t="s">
        <v>421</v>
      </c>
      <c r="K64" s="152" t="s">
        <v>422</v>
      </c>
      <c r="L64" s="245" t="s">
        <v>3</v>
      </c>
      <c r="M64" s="162" t="s">
        <v>29</v>
      </c>
    </row>
    <row r="65" spans="1:14" x14ac:dyDescent="0.2">
      <c r="A65" s="708"/>
      <c r="B65" s="156"/>
      <c r="C65" s="156"/>
      <c r="D65" s="246" t="s">
        <v>4</v>
      </c>
      <c r="E65" s="156" t="s">
        <v>30</v>
      </c>
      <c r="F65" s="161"/>
      <c r="G65" s="161"/>
      <c r="H65" s="245" t="s">
        <v>4</v>
      </c>
      <c r="I65" s="156" t="s">
        <v>30</v>
      </c>
      <c r="J65" s="161"/>
      <c r="K65" s="206"/>
      <c r="L65" s="156" t="s">
        <v>4</v>
      </c>
      <c r="M65" s="156" t="s">
        <v>30</v>
      </c>
    </row>
    <row r="66" spans="1:14" ht="15.75" x14ac:dyDescent="0.2">
      <c r="A66" s="14" t="s">
        <v>23</v>
      </c>
      <c r="B66" s="353"/>
      <c r="C66" s="353"/>
      <c r="D66" s="350"/>
      <c r="E66" s="11"/>
      <c r="F66" s="352"/>
      <c r="G66" s="352"/>
      <c r="H66" s="350"/>
      <c r="I66" s="11"/>
      <c r="J66" s="309"/>
      <c r="K66" s="316"/>
      <c r="L66" s="428"/>
      <c r="M66" s="11"/>
    </row>
    <row r="67" spans="1:14" x14ac:dyDescent="0.2">
      <c r="A67" s="419" t="s">
        <v>9</v>
      </c>
      <c r="B67" s="44"/>
      <c r="C67" s="145"/>
      <c r="D67" s="166"/>
      <c r="E67" s="27"/>
      <c r="F67" s="234"/>
      <c r="G67" s="145"/>
      <c r="H67" s="166"/>
      <c r="I67" s="27"/>
      <c r="J67" s="287"/>
      <c r="K67" s="44"/>
      <c r="L67" s="254"/>
      <c r="M67" s="27"/>
    </row>
    <row r="68" spans="1:14" x14ac:dyDescent="0.2">
      <c r="A68" s="21" t="s">
        <v>10</v>
      </c>
      <c r="B68" s="292"/>
      <c r="C68" s="293"/>
      <c r="D68" s="166"/>
      <c r="E68" s="27"/>
      <c r="F68" s="292"/>
      <c r="G68" s="293"/>
      <c r="H68" s="166"/>
      <c r="I68" s="27"/>
      <c r="J68" s="287"/>
      <c r="K68" s="44"/>
      <c r="L68" s="254"/>
      <c r="M68" s="27"/>
    </row>
    <row r="69" spans="1:14" ht="15.75" x14ac:dyDescent="0.2">
      <c r="A69" s="296" t="s">
        <v>380</v>
      </c>
      <c r="B69" s="294"/>
      <c r="C69" s="295"/>
      <c r="D69" s="166"/>
      <c r="E69" s="417"/>
      <c r="F69" s="294"/>
      <c r="G69" s="295"/>
      <c r="H69" s="166"/>
      <c r="I69" s="417"/>
      <c r="J69" s="294"/>
      <c r="K69" s="295"/>
      <c r="L69" s="166"/>
      <c r="M69" s="23"/>
    </row>
    <row r="70" spans="1:14" x14ac:dyDescent="0.2">
      <c r="A70" s="296" t="s">
        <v>12</v>
      </c>
      <c r="B70" s="294"/>
      <c r="C70" s="295"/>
      <c r="D70" s="166"/>
      <c r="E70" s="417"/>
      <c r="F70" s="294"/>
      <c r="G70" s="295"/>
      <c r="H70" s="166"/>
      <c r="I70" s="417"/>
      <c r="J70" s="294"/>
      <c r="K70" s="295"/>
      <c r="L70" s="166"/>
      <c r="M70" s="23"/>
    </row>
    <row r="71" spans="1:14" x14ac:dyDescent="0.2">
      <c r="A71" s="296" t="s">
        <v>13</v>
      </c>
      <c r="B71" s="235"/>
      <c r="C71" s="289"/>
      <c r="D71" s="166"/>
      <c r="E71" s="417"/>
      <c r="F71" s="294"/>
      <c r="G71" s="295"/>
      <c r="H71" s="166"/>
      <c r="I71" s="417"/>
      <c r="J71" s="294"/>
      <c r="K71" s="295"/>
      <c r="L71" s="166"/>
      <c r="M71" s="23"/>
    </row>
    <row r="72" spans="1:14" ht="15.75" x14ac:dyDescent="0.2">
      <c r="A72" s="296" t="s">
        <v>381</v>
      </c>
      <c r="B72" s="294"/>
      <c r="C72" s="295"/>
      <c r="D72" s="166"/>
      <c r="E72" s="417"/>
      <c r="F72" s="294"/>
      <c r="G72" s="295"/>
      <c r="H72" s="166"/>
      <c r="I72" s="417"/>
      <c r="J72" s="294"/>
      <c r="K72" s="295"/>
      <c r="L72" s="166"/>
      <c r="M72" s="23"/>
    </row>
    <row r="73" spans="1:14" x14ac:dyDescent="0.2">
      <c r="A73" s="296" t="s">
        <v>12</v>
      </c>
      <c r="B73" s="235"/>
      <c r="C73" s="289"/>
      <c r="D73" s="166"/>
      <c r="E73" s="417"/>
      <c r="F73" s="294"/>
      <c r="G73" s="295"/>
      <c r="H73" s="166"/>
      <c r="I73" s="417"/>
      <c r="J73" s="294"/>
      <c r="K73" s="295"/>
      <c r="L73" s="166"/>
      <c r="M73" s="23"/>
    </row>
    <row r="74" spans="1:14" s="3" customFormat="1" x14ac:dyDescent="0.2">
      <c r="A74" s="296" t="s">
        <v>13</v>
      </c>
      <c r="B74" s="235"/>
      <c r="C74" s="289"/>
      <c r="D74" s="166"/>
      <c r="E74" s="417"/>
      <c r="F74" s="294"/>
      <c r="G74" s="295"/>
      <c r="H74" s="166"/>
      <c r="I74" s="417"/>
      <c r="J74" s="294"/>
      <c r="K74" s="295"/>
      <c r="L74" s="166"/>
      <c r="M74" s="23"/>
      <c r="N74" s="148"/>
    </row>
    <row r="75" spans="1:14" s="3" customFormat="1" x14ac:dyDescent="0.2">
      <c r="A75" s="21" t="s">
        <v>350</v>
      </c>
      <c r="B75" s="234"/>
      <c r="C75" s="145"/>
      <c r="D75" s="166"/>
      <c r="E75" s="27"/>
      <c r="F75" s="234"/>
      <c r="G75" s="145"/>
      <c r="H75" s="166"/>
      <c r="I75" s="27"/>
      <c r="J75" s="287"/>
      <c r="K75" s="44"/>
      <c r="L75" s="254"/>
      <c r="M75" s="27"/>
      <c r="N75" s="148"/>
    </row>
    <row r="76" spans="1:14" s="3" customFormat="1" x14ac:dyDescent="0.2">
      <c r="A76" s="21" t="s">
        <v>349</v>
      </c>
      <c r="B76" s="234"/>
      <c r="C76" s="145"/>
      <c r="D76" s="166"/>
      <c r="E76" s="27"/>
      <c r="F76" s="234"/>
      <c r="G76" s="145"/>
      <c r="H76" s="166"/>
      <c r="I76" s="27"/>
      <c r="J76" s="287"/>
      <c r="K76" s="44"/>
      <c r="L76" s="254"/>
      <c r="M76" s="27"/>
      <c r="N76" s="148"/>
    </row>
    <row r="77" spans="1:14" ht="15.75" x14ac:dyDescent="0.2">
      <c r="A77" s="21" t="s">
        <v>382</v>
      </c>
      <c r="B77" s="234"/>
      <c r="C77" s="234"/>
      <c r="D77" s="166"/>
      <c r="E77" s="27"/>
      <c r="F77" s="234"/>
      <c r="G77" s="145"/>
      <c r="H77" s="166"/>
      <c r="I77" s="27"/>
      <c r="J77" s="287"/>
      <c r="K77" s="44"/>
      <c r="L77" s="254"/>
      <c r="M77" s="27"/>
    </row>
    <row r="78" spans="1:14" x14ac:dyDescent="0.2">
      <c r="A78" s="21" t="s">
        <v>9</v>
      </c>
      <c r="B78" s="234"/>
      <c r="C78" s="145"/>
      <c r="D78" s="166"/>
      <c r="E78" s="27"/>
      <c r="F78" s="234"/>
      <c r="G78" s="145"/>
      <c r="H78" s="166"/>
      <c r="I78" s="27"/>
      <c r="J78" s="287"/>
      <c r="K78" s="44"/>
      <c r="L78" s="254"/>
      <c r="M78" s="27"/>
    </row>
    <row r="79" spans="1:14" x14ac:dyDescent="0.2">
      <c r="A79" s="21" t="s">
        <v>10</v>
      </c>
      <c r="B79" s="292"/>
      <c r="C79" s="293"/>
      <c r="D79" s="166"/>
      <c r="E79" s="27"/>
      <c r="F79" s="292"/>
      <c r="G79" s="293"/>
      <c r="H79" s="166"/>
      <c r="I79" s="27"/>
      <c r="J79" s="287"/>
      <c r="K79" s="44"/>
      <c r="L79" s="254"/>
      <c r="M79" s="27"/>
    </row>
    <row r="80" spans="1:14" ht="15.75" x14ac:dyDescent="0.2">
      <c r="A80" s="296" t="s">
        <v>380</v>
      </c>
      <c r="B80" s="294"/>
      <c r="C80" s="295"/>
      <c r="D80" s="166"/>
      <c r="E80" s="417"/>
      <c r="F80" s="294"/>
      <c r="G80" s="295"/>
      <c r="H80" s="166"/>
      <c r="I80" s="417"/>
      <c r="J80" s="294"/>
      <c r="K80" s="295"/>
      <c r="L80" s="166"/>
      <c r="M80" s="23"/>
    </row>
    <row r="81" spans="1:13" x14ac:dyDescent="0.2">
      <c r="A81" s="296" t="s">
        <v>12</v>
      </c>
      <c r="B81" s="294"/>
      <c r="C81" s="295"/>
      <c r="D81" s="166"/>
      <c r="E81" s="417"/>
      <c r="F81" s="294"/>
      <c r="G81" s="295"/>
      <c r="H81" s="166"/>
      <c r="I81" s="417"/>
      <c r="J81" s="294"/>
      <c r="K81" s="295"/>
      <c r="L81" s="166"/>
      <c r="M81" s="23"/>
    </row>
    <row r="82" spans="1:13" x14ac:dyDescent="0.2">
      <c r="A82" s="296" t="s">
        <v>13</v>
      </c>
      <c r="B82" s="294"/>
      <c r="C82" s="295"/>
      <c r="D82" s="166"/>
      <c r="E82" s="417"/>
      <c r="F82" s="294"/>
      <c r="G82" s="295"/>
      <c r="H82" s="166"/>
      <c r="I82" s="417"/>
      <c r="J82" s="294"/>
      <c r="K82" s="295"/>
      <c r="L82" s="166"/>
      <c r="M82" s="23"/>
    </row>
    <row r="83" spans="1:13" ht="15.75" x14ac:dyDescent="0.2">
      <c r="A83" s="296" t="s">
        <v>381</v>
      </c>
      <c r="B83" s="294"/>
      <c r="C83" s="295"/>
      <c r="D83" s="166"/>
      <c r="E83" s="417"/>
      <c r="F83" s="294"/>
      <c r="G83" s="295"/>
      <c r="H83" s="166"/>
      <c r="I83" s="417"/>
      <c r="J83" s="294"/>
      <c r="K83" s="295"/>
      <c r="L83" s="166"/>
      <c r="M83" s="23"/>
    </row>
    <row r="84" spans="1:13" x14ac:dyDescent="0.2">
      <c r="A84" s="296" t="s">
        <v>12</v>
      </c>
      <c r="B84" s="294"/>
      <c r="C84" s="295"/>
      <c r="D84" s="166"/>
      <c r="E84" s="417"/>
      <c r="F84" s="294"/>
      <c r="G84" s="295"/>
      <c r="H84" s="166"/>
      <c r="I84" s="417"/>
      <c r="J84" s="294"/>
      <c r="K84" s="295"/>
      <c r="L84" s="166"/>
      <c r="M84" s="23"/>
    </row>
    <row r="85" spans="1:13" x14ac:dyDescent="0.2">
      <c r="A85" s="296" t="s">
        <v>13</v>
      </c>
      <c r="B85" s="294"/>
      <c r="C85" s="295"/>
      <c r="D85" s="166"/>
      <c r="E85" s="417"/>
      <c r="F85" s="294"/>
      <c r="G85" s="295"/>
      <c r="H85" s="166"/>
      <c r="I85" s="417"/>
      <c r="J85" s="294"/>
      <c r="K85" s="295"/>
      <c r="L85" s="166"/>
      <c r="M85" s="23"/>
    </row>
    <row r="86" spans="1:13" ht="15.75" x14ac:dyDescent="0.2">
      <c r="A86" s="21" t="s">
        <v>383</v>
      </c>
      <c r="B86" s="234"/>
      <c r="C86" s="145"/>
      <c r="D86" s="166"/>
      <c r="E86" s="27"/>
      <c r="F86" s="234"/>
      <c r="G86" s="145"/>
      <c r="H86" s="166"/>
      <c r="I86" s="27"/>
      <c r="J86" s="287"/>
      <c r="K86" s="44"/>
      <c r="L86" s="254"/>
      <c r="M86" s="27"/>
    </row>
    <row r="87" spans="1:13" ht="15.75" x14ac:dyDescent="0.2">
      <c r="A87" s="13" t="s">
        <v>365</v>
      </c>
      <c r="B87" s="353"/>
      <c r="C87" s="353"/>
      <c r="D87" s="171"/>
      <c r="E87" s="11"/>
      <c r="F87" s="352"/>
      <c r="G87" s="352"/>
      <c r="H87" s="171"/>
      <c r="I87" s="11"/>
      <c r="J87" s="309"/>
      <c r="K87" s="236"/>
      <c r="L87" s="428"/>
      <c r="M87" s="11"/>
    </row>
    <row r="88" spans="1:13" x14ac:dyDescent="0.2">
      <c r="A88" s="21" t="s">
        <v>9</v>
      </c>
      <c r="B88" s="234"/>
      <c r="C88" s="145"/>
      <c r="D88" s="166"/>
      <c r="E88" s="27"/>
      <c r="F88" s="234"/>
      <c r="G88" s="145"/>
      <c r="H88" s="166"/>
      <c r="I88" s="27"/>
      <c r="J88" s="287"/>
      <c r="K88" s="44"/>
      <c r="L88" s="254"/>
      <c r="M88" s="27"/>
    </row>
    <row r="89" spans="1:13" x14ac:dyDescent="0.2">
      <c r="A89" s="21" t="s">
        <v>10</v>
      </c>
      <c r="B89" s="234"/>
      <c r="C89" s="145"/>
      <c r="D89" s="166"/>
      <c r="E89" s="27"/>
      <c r="F89" s="234"/>
      <c r="G89" s="145"/>
      <c r="H89" s="166"/>
      <c r="I89" s="27"/>
      <c r="J89" s="287"/>
      <c r="K89" s="44"/>
      <c r="L89" s="254"/>
      <c r="M89" s="27"/>
    </row>
    <row r="90" spans="1:13" ht="15.75" x14ac:dyDescent="0.2">
      <c r="A90" s="296" t="s">
        <v>380</v>
      </c>
      <c r="B90" s="294"/>
      <c r="C90" s="295"/>
      <c r="D90" s="166"/>
      <c r="E90" s="417"/>
      <c r="F90" s="294"/>
      <c r="G90" s="295"/>
      <c r="H90" s="166"/>
      <c r="I90" s="417"/>
      <c r="J90" s="294"/>
      <c r="K90" s="295"/>
      <c r="L90" s="166"/>
      <c r="M90" s="23"/>
    </row>
    <row r="91" spans="1:13" x14ac:dyDescent="0.2">
      <c r="A91" s="296" t="s">
        <v>12</v>
      </c>
      <c r="B91" s="294"/>
      <c r="C91" s="295"/>
      <c r="D91" s="166"/>
      <c r="E91" s="417"/>
      <c r="F91" s="294"/>
      <c r="G91" s="295"/>
      <c r="H91" s="166"/>
      <c r="I91" s="417"/>
      <c r="J91" s="294"/>
      <c r="K91" s="295"/>
      <c r="L91" s="166"/>
      <c r="M91" s="23"/>
    </row>
    <row r="92" spans="1:13" x14ac:dyDescent="0.2">
      <c r="A92" s="296" t="s">
        <v>13</v>
      </c>
      <c r="B92" s="294"/>
      <c r="C92" s="295"/>
      <c r="D92" s="166"/>
      <c r="E92" s="417"/>
      <c r="F92" s="294"/>
      <c r="G92" s="295"/>
      <c r="H92" s="166"/>
      <c r="I92" s="417"/>
      <c r="J92" s="294"/>
      <c r="K92" s="295"/>
      <c r="L92" s="166"/>
      <c r="M92" s="23"/>
    </row>
    <row r="93" spans="1:13" ht="15.75" x14ac:dyDescent="0.2">
      <c r="A93" s="296" t="s">
        <v>381</v>
      </c>
      <c r="B93" s="294"/>
      <c r="C93" s="295"/>
      <c r="D93" s="166"/>
      <c r="E93" s="417"/>
      <c r="F93" s="294"/>
      <c r="G93" s="295"/>
      <c r="H93" s="166"/>
      <c r="I93" s="417"/>
      <c r="J93" s="294"/>
      <c r="K93" s="295"/>
      <c r="L93" s="166"/>
      <c r="M93" s="23"/>
    </row>
    <row r="94" spans="1:13" x14ac:dyDescent="0.2">
      <c r="A94" s="296" t="s">
        <v>12</v>
      </c>
      <c r="B94" s="294"/>
      <c r="C94" s="295"/>
      <c r="D94" s="166"/>
      <c r="E94" s="417"/>
      <c r="F94" s="294"/>
      <c r="G94" s="295"/>
      <c r="H94" s="166"/>
      <c r="I94" s="417"/>
      <c r="J94" s="294"/>
      <c r="K94" s="295"/>
      <c r="L94" s="166"/>
      <c r="M94" s="23"/>
    </row>
    <row r="95" spans="1:13" x14ac:dyDescent="0.2">
      <c r="A95" s="296" t="s">
        <v>13</v>
      </c>
      <c r="B95" s="294"/>
      <c r="C95" s="295"/>
      <c r="D95" s="166"/>
      <c r="E95" s="417"/>
      <c r="F95" s="294"/>
      <c r="G95" s="295"/>
      <c r="H95" s="166"/>
      <c r="I95" s="417"/>
      <c r="J95" s="294"/>
      <c r="K95" s="295"/>
      <c r="L95" s="166"/>
      <c r="M95" s="23"/>
    </row>
    <row r="96" spans="1:13" x14ac:dyDescent="0.2">
      <c r="A96" s="21" t="s">
        <v>348</v>
      </c>
      <c r="B96" s="234"/>
      <c r="C96" s="145"/>
      <c r="D96" s="166"/>
      <c r="E96" s="27"/>
      <c r="F96" s="234"/>
      <c r="G96" s="145"/>
      <c r="H96" s="166"/>
      <c r="I96" s="27"/>
      <c r="J96" s="287"/>
      <c r="K96" s="44"/>
      <c r="L96" s="254"/>
      <c r="M96" s="27"/>
    </row>
    <row r="97" spans="1:13" x14ac:dyDescent="0.2">
      <c r="A97" s="21" t="s">
        <v>347</v>
      </c>
      <c r="B97" s="234"/>
      <c r="C97" s="145"/>
      <c r="D97" s="166"/>
      <c r="E97" s="27"/>
      <c r="F97" s="234"/>
      <c r="G97" s="145"/>
      <c r="H97" s="166"/>
      <c r="I97" s="27"/>
      <c r="J97" s="287"/>
      <c r="K97" s="44"/>
      <c r="L97" s="254"/>
      <c r="M97" s="27"/>
    </row>
    <row r="98" spans="1:13" ht="15.75" x14ac:dyDescent="0.2">
      <c r="A98" s="21" t="s">
        <v>382</v>
      </c>
      <c r="B98" s="234"/>
      <c r="C98" s="234"/>
      <c r="D98" s="166"/>
      <c r="E98" s="27"/>
      <c r="F98" s="292"/>
      <c r="G98" s="292"/>
      <c r="H98" s="166"/>
      <c r="I98" s="27"/>
      <c r="J98" s="287"/>
      <c r="K98" s="44"/>
      <c r="L98" s="254"/>
      <c r="M98" s="27"/>
    </row>
    <row r="99" spans="1:13" x14ac:dyDescent="0.2">
      <c r="A99" s="21" t="s">
        <v>9</v>
      </c>
      <c r="B99" s="292"/>
      <c r="C99" s="293"/>
      <c r="D99" s="166"/>
      <c r="E99" s="27"/>
      <c r="F99" s="234"/>
      <c r="G99" s="145"/>
      <c r="H99" s="166"/>
      <c r="I99" s="27"/>
      <c r="J99" s="287"/>
      <c r="K99" s="44"/>
      <c r="L99" s="254"/>
      <c r="M99" s="27"/>
    </row>
    <row r="100" spans="1:13" x14ac:dyDescent="0.2">
      <c r="A100" s="21" t="s">
        <v>10</v>
      </c>
      <c r="B100" s="292"/>
      <c r="C100" s="293"/>
      <c r="D100" s="166"/>
      <c r="E100" s="27"/>
      <c r="F100" s="234"/>
      <c r="G100" s="234"/>
      <c r="H100" s="166"/>
      <c r="I100" s="27"/>
      <c r="J100" s="287"/>
      <c r="K100" s="44"/>
      <c r="L100" s="254"/>
      <c r="M100" s="27"/>
    </row>
    <row r="101" spans="1:13" ht="15.75" x14ac:dyDescent="0.2">
      <c r="A101" s="296" t="s">
        <v>380</v>
      </c>
      <c r="B101" s="294"/>
      <c r="C101" s="295"/>
      <c r="D101" s="166"/>
      <c r="E101" s="417"/>
      <c r="F101" s="294"/>
      <c r="G101" s="295"/>
      <c r="H101" s="166"/>
      <c r="I101" s="417"/>
      <c r="J101" s="294"/>
      <c r="K101" s="295"/>
      <c r="L101" s="166"/>
      <c r="M101" s="23"/>
    </row>
    <row r="102" spans="1:13" x14ac:dyDescent="0.2">
      <c r="A102" s="296" t="s">
        <v>12</v>
      </c>
      <c r="B102" s="294"/>
      <c r="C102" s="295"/>
      <c r="D102" s="166"/>
      <c r="E102" s="417"/>
      <c r="F102" s="294"/>
      <c r="G102" s="295"/>
      <c r="H102" s="166"/>
      <c r="I102" s="417"/>
      <c r="J102" s="294"/>
      <c r="K102" s="295"/>
      <c r="L102" s="166"/>
      <c r="M102" s="23"/>
    </row>
    <row r="103" spans="1:13" x14ac:dyDescent="0.2">
      <c r="A103" s="296" t="s">
        <v>13</v>
      </c>
      <c r="B103" s="294"/>
      <c r="C103" s="295"/>
      <c r="D103" s="166"/>
      <c r="E103" s="417"/>
      <c r="F103" s="294"/>
      <c r="G103" s="295"/>
      <c r="H103" s="166"/>
      <c r="I103" s="417"/>
      <c r="J103" s="294"/>
      <c r="K103" s="295"/>
      <c r="L103" s="166"/>
      <c r="M103" s="23"/>
    </row>
    <row r="104" spans="1:13" ht="15.75" x14ac:dyDescent="0.2">
      <c r="A104" s="296" t="s">
        <v>381</v>
      </c>
      <c r="B104" s="294"/>
      <c r="C104" s="295"/>
      <c r="D104" s="166"/>
      <c r="E104" s="417"/>
      <c r="F104" s="294"/>
      <c r="G104" s="295"/>
      <c r="H104" s="166"/>
      <c r="I104" s="417"/>
      <c r="J104" s="294"/>
      <c r="K104" s="295"/>
      <c r="L104" s="166"/>
      <c r="M104" s="23"/>
    </row>
    <row r="105" spans="1:13" x14ac:dyDescent="0.2">
      <c r="A105" s="296" t="s">
        <v>12</v>
      </c>
      <c r="B105" s="294"/>
      <c r="C105" s="295"/>
      <c r="D105" s="166"/>
      <c r="E105" s="417"/>
      <c r="F105" s="294"/>
      <c r="G105" s="295"/>
      <c r="H105" s="166"/>
      <c r="I105" s="417"/>
      <c r="J105" s="294"/>
      <c r="K105" s="295"/>
      <c r="L105" s="166"/>
      <c r="M105" s="23"/>
    </row>
    <row r="106" spans="1:13" x14ac:dyDescent="0.2">
      <c r="A106" s="296" t="s">
        <v>13</v>
      </c>
      <c r="B106" s="294"/>
      <c r="C106" s="295"/>
      <c r="D106" s="166"/>
      <c r="E106" s="417"/>
      <c r="F106" s="294"/>
      <c r="G106" s="295"/>
      <c r="H106" s="166"/>
      <c r="I106" s="417"/>
      <c r="J106" s="294"/>
      <c r="K106" s="295"/>
      <c r="L106" s="166"/>
      <c r="M106" s="23"/>
    </row>
    <row r="107" spans="1:13" ht="15.75" x14ac:dyDescent="0.2">
      <c r="A107" s="21" t="s">
        <v>383</v>
      </c>
      <c r="B107" s="234"/>
      <c r="C107" s="145"/>
      <c r="D107" s="166"/>
      <c r="E107" s="27"/>
      <c r="F107" s="234"/>
      <c r="G107" s="145"/>
      <c r="H107" s="166"/>
      <c r="I107" s="27"/>
      <c r="J107" s="287"/>
      <c r="K107" s="44"/>
      <c r="L107" s="254"/>
      <c r="M107" s="27"/>
    </row>
    <row r="108" spans="1:13" ht="15.75" x14ac:dyDescent="0.2">
      <c r="A108" s="21" t="s">
        <v>384</v>
      </c>
      <c r="B108" s="234"/>
      <c r="C108" s="234"/>
      <c r="D108" s="166"/>
      <c r="E108" s="27"/>
      <c r="F108" s="234"/>
      <c r="G108" s="234"/>
      <c r="H108" s="166"/>
      <c r="I108" s="27"/>
      <c r="J108" s="287"/>
      <c r="K108" s="44"/>
      <c r="L108" s="254"/>
      <c r="M108" s="27"/>
    </row>
    <row r="109" spans="1:13" ht="15.75" x14ac:dyDescent="0.2">
      <c r="A109" s="21" t="s">
        <v>385</v>
      </c>
      <c r="B109" s="234"/>
      <c r="C109" s="234"/>
      <c r="D109" s="166"/>
      <c r="E109" s="27"/>
      <c r="F109" s="234"/>
      <c r="G109" s="234"/>
      <c r="H109" s="166"/>
      <c r="I109" s="27"/>
      <c r="J109" s="287"/>
      <c r="K109" s="44"/>
      <c r="L109" s="254"/>
      <c r="M109" s="27"/>
    </row>
    <row r="110" spans="1:13" ht="15.75" x14ac:dyDescent="0.2">
      <c r="A110" s="21" t="s">
        <v>386</v>
      </c>
      <c r="B110" s="234"/>
      <c r="C110" s="234"/>
      <c r="D110" s="166"/>
      <c r="E110" s="27"/>
      <c r="F110" s="234"/>
      <c r="G110" s="234"/>
      <c r="H110" s="166"/>
      <c r="I110" s="27"/>
      <c r="J110" s="287"/>
      <c r="K110" s="44"/>
      <c r="L110" s="254"/>
      <c r="M110" s="27"/>
    </row>
    <row r="111" spans="1:13" ht="15.75" x14ac:dyDescent="0.2">
      <c r="A111" s="13" t="s">
        <v>366</v>
      </c>
      <c r="B111" s="308"/>
      <c r="C111" s="159"/>
      <c r="D111" s="171"/>
      <c r="E111" s="11"/>
      <c r="F111" s="308"/>
      <c r="G111" s="159"/>
      <c r="H111" s="171"/>
      <c r="I111" s="11"/>
      <c r="J111" s="309"/>
      <c r="K111" s="236"/>
      <c r="L111" s="428"/>
      <c r="M111" s="11"/>
    </row>
    <row r="112" spans="1:13" x14ac:dyDescent="0.2">
      <c r="A112" s="21" t="s">
        <v>9</v>
      </c>
      <c r="B112" s="234"/>
      <c r="C112" s="145"/>
      <c r="D112" s="166"/>
      <c r="E112" s="27"/>
      <c r="F112" s="234"/>
      <c r="G112" s="145"/>
      <c r="H112" s="166"/>
      <c r="I112" s="27"/>
      <c r="J112" s="287"/>
      <c r="K112" s="44"/>
      <c r="L112" s="254"/>
      <c r="M112" s="27"/>
    </row>
    <row r="113" spans="1:14" x14ac:dyDescent="0.2">
      <c r="A113" s="21" t="s">
        <v>10</v>
      </c>
      <c r="B113" s="234"/>
      <c r="C113" s="145"/>
      <c r="D113" s="166"/>
      <c r="E113" s="27"/>
      <c r="F113" s="234"/>
      <c r="G113" s="145"/>
      <c r="H113" s="166"/>
      <c r="I113" s="27"/>
      <c r="J113" s="287"/>
      <c r="K113" s="44"/>
      <c r="L113" s="254"/>
      <c r="M113" s="27"/>
    </row>
    <row r="114" spans="1:14" x14ac:dyDescent="0.2">
      <c r="A114" s="21" t="s">
        <v>26</v>
      </c>
      <c r="B114" s="234"/>
      <c r="C114" s="145"/>
      <c r="D114" s="166"/>
      <c r="E114" s="27"/>
      <c r="F114" s="234"/>
      <c r="G114" s="145"/>
      <c r="H114" s="166"/>
      <c r="I114" s="27"/>
      <c r="J114" s="287"/>
      <c r="K114" s="44"/>
      <c r="L114" s="254"/>
      <c r="M114" s="27"/>
    </row>
    <row r="115" spans="1:14" x14ac:dyDescent="0.2">
      <c r="A115" s="296" t="s">
        <v>15</v>
      </c>
      <c r="B115" s="294"/>
      <c r="C115" s="295"/>
      <c r="D115" s="166"/>
      <c r="E115" s="417"/>
      <c r="F115" s="294"/>
      <c r="G115" s="295"/>
      <c r="H115" s="166"/>
      <c r="I115" s="417"/>
      <c r="J115" s="294"/>
      <c r="K115" s="295"/>
      <c r="L115" s="166"/>
      <c r="M115" s="23"/>
    </row>
    <row r="116" spans="1:14" ht="15.75" x14ac:dyDescent="0.2">
      <c r="A116" s="21" t="s">
        <v>387</v>
      </c>
      <c r="B116" s="234"/>
      <c r="C116" s="234"/>
      <c r="D116" s="166"/>
      <c r="E116" s="27"/>
      <c r="F116" s="234"/>
      <c r="G116" s="234"/>
      <c r="H116" s="166"/>
      <c r="I116" s="27"/>
      <c r="J116" s="287"/>
      <c r="K116" s="44"/>
      <c r="L116" s="254"/>
      <c r="M116" s="27"/>
    </row>
    <row r="117" spans="1:14" ht="15.75" x14ac:dyDescent="0.2">
      <c r="A117" s="21" t="s">
        <v>388</v>
      </c>
      <c r="B117" s="234"/>
      <c r="C117" s="234"/>
      <c r="D117" s="166"/>
      <c r="E117" s="27"/>
      <c r="F117" s="234"/>
      <c r="G117" s="234"/>
      <c r="H117" s="166"/>
      <c r="I117" s="27"/>
      <c r="J117" s="287"/>
      <c r="K117" s="44"/>
      <c r="L117" s="254"/>
      <c r="M117" s="27"/>
    </row>
    <row r="118" spans="1:14" ht="15.75" x14ac:dyDescent="0.2">
      <c r="A118" s="21" t="s">
        <v>386</v>
      </c>
      <c r="B118" s="234"/>
      <c r="C118" s="234"/>
      <c r="D118" s="166"/>
      <c r="E118" s="27"/>
      <c r="F118" s="234"/>
      <c r="G118" s="234"/>
      <c r="H118" s="166"/>
      <c r="I118" s="27"/>
      <c r="J118" s="287"/>
      <c r="K118" s="44"/>
      <c r="L118" s="254"/>
      <c r="M118" s="27"/>
    </row>
    <row r="119" spans="1:14" ht="15.75" x14ac:dyDescent="0.2">
      <c r="A119" s="13" t="s">
        <v>367</v>
      </c>
      <c r="B119" s="308"/>
      <c r="C119" s="159"/>
      <c r="D119" s="171"/>
      <c r="E119" s="11"/>
      <c r="F119" s="308"/>
      <c r="G119" s="159"/>
      <c r="H119" s="171"/>
      <c r="I119" s="11"/>
      <c r="J119" s="309"/>
      <c r="K119" s="236"/>
      <c r="L119" s="428"/>
      <c r="M119" s="11"/>
    </row>
    <row r="120" spans="1:14" x14ac:dyDescent="0.2">
      <c r="A120" s="21" t="s">
        <v>9</v>
      </c>
      <c r="B120" s="234"/>
      <c r="C120" s="145"/>
      <c r="D120" s="166"/>
      <c r="E120" s="27"/>
      <c r="F120" s="234"/>
      <c r="G120" s="145"/>
      <c r="H120" s="166"/>
      <c r="I120" s="27"/>
      <c r="J120" s="287"/>
      <c r="K120" s="44"/>
      <c r="L120" s="254"/>
      <c r="M120" s="27"/>
    </row>
    <row r="121" spans="1:14" x14ac:dyDescent="0.2">
      <c r="A121" s="21" t="s">
        <v>10</v>
      </c>
      <c r="B121" s="234"/>
      <c r="C121" s="145"/>
      <c r="D121" s="166"/>
      <c r="E121" s="27"/>
      <c r="F121" s="234"/>
      <c r="G121" s="145"/>
      <c r="H121" s="166"/>
      <c r="I121" s="27"/>
      <c r="J121" s="287"/>
      <c r="K121" s="44"/>
      <c r="L121" s="254"/>
      <c r="M121" s="27"/>
    </row>
    <row r="122" spans="1:14" x14ac:dyDescent="0.2">
      <c r="A122" s="21" t="s">
        <v>26</v>
      </c>
      <c r="B122" s="234"/>
      <c r="C122" s="145"/>
      <c r="D122" s="166"/>
      <c r="E122" s="27"/>
      <c r="F122" s="234"/>
      <c r="G122" s="145"/>
      <c r="H122" s="166"/>
      <c r="I122" s="27"/>
      <c r="J122" s="287"/>
      <c r="K122" s="44"/>
      <c r="L122" s="254"/>
      <c r="M122" s="27"/>
    </row>
    <row r="123" spans="1:14" x14ac:dyDescent="0.2">
      <c r="A123" s="296" t="s">
        <v>14</v>
      </c>
      <c r="B123" s="294"/>
      <c r="C123" s="295"/>
      <c r="D123" s="166"/>
      <c r="E123" s="417"/>
      <c r="F123" s="294"/>
      <c r="G123" s="295"/>
      <c r="H123" s="166"/>
      <c r="I123" s="417"/>
      <c r="J123" s="294"/>
      <c r="K123" s="295"/>
      <c r="L123" s="166"/>
      <c r="M123" s="23"/>
    </row>
    <row r="124" spans="1:14" ht="15.75" x14ac:dyDescent="0.2">
      <c r="A124" s="21" t="s">
        <v>393</v>
      </c>
      <c r="B124" s="234"/>
      <c r="C124" s="234"/>
      <c r="D124" s="166"/>
      <c r="E124" s="27"/>
      <c r="F124" s="234"/>
      <c r="G124" s="234"/>
      <c r="H124" s="166"/>
      <c r="I124" s="27"/>
      <c r="J124" s="287"/>
      <c r="K124" s="44"/>
      <c r="L124" s="254"/>
      <c r="M124" s="27"/>
    </row>
    <row r="125" spans="1:14" ht="15.75" x14ac:dyDescent="0.2">
      <c r="A125" s="21" t="s">
        <v>385</v>
      </c>
      <c r="B125" s="234"/>
      <c r="C125" s="234"/>
      <c r="D125" s="166"/>
      <c r="E125" s="27"/>
      <c r="F125" s="234"/>
      <c r="G125" s="234"/>
      <c r="H125" s="166"/>
      <c r="I125" s="27"/>
      <c r="J125" s="287"/>
      <c r="K125" s="44"/>
      <c r="L125" s="254"/>
      <c r="M125" s="27"/>
    </row>
    <row r="126" spans="1:14" ht="15.75" x14ac:dyDescent="0.2">
      <c r="A126" s="10" t="s">
        <v>386</v>
      </c>
      <c r="B126" s="45"/>
      <c r="C126" s="45"/>
      <c r="D126" s="167"/>
      <c r="E126" s="418"/>
      <c r="F126" s="45"/>
      <c r="G126" s="45"/>
      <c r="H126" s="167"/>
      <c r="I126" s="22"/>
      <c r="J126" s="288"/>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35"/>
      <c r="C130" s="735"/>
      <c r="D130" s="735"/>
      <c r="E130" s="613"/>
      <c r="F130" s="735"/>
      <c r="G130" s="735"/>
      <c r="H130" s="735"/>
      <c r="I130" s="613"/>
      <c r="J130" s="735"/>
      <c r="K130" s="735"/>
      <c r="L130" s="735"/>
      <c r="M130" s="613"/>
    </row>
    <row r="131" spans="1:14" s="3" customFormat="1" x14ac:dyDescent="0.2">
      <c r="A131" s="144"/>
      <c r="B131" s="733" t="s">
        <v>0</v>
      </c>
      <c r="C131" s="734"/>
      <c r="D131" s="734"/>
      <c r="E131" s="610"/>
      <c r="F131" s="733" t="s">
        <v>1</v>
      </c>
      <c r="G131" s="734"/>
      <c r="H131" s="734"/>
      <c r="I131" s="611"/>
      <c r="J131" s="733" t="s">
        <v>2</v>
      </c>
      <c r="K131" s="734"/>
      <c r="L131" s="734"/>
      <c r="M131" s="611"/>
      <c r="N131" s="148"/>
    </row>
    <row r="132" spans="1:14" s="3" customFormat="1" x14ac:dyDescent="0.2">
      <c r="A132" s="140"/>
      <c r="B132" s="152" t="s">
        <v>421</v>
      </c>
      <c r="C132" s="152" t="s">
        <v>422</v>
      </c>
      <c r="D132" s="245" t="s">
        <v>3</v>
      </c>
      <c r="E132" s="305" t="s">
        <v>29</v>
      </c>
      <c r="F132" s="152" t="s">
        <v>421</v>
      </c>
      <c r="G132" s="152" t="s">
        <v>422</v>
      </c>
      <c r="H132" s="206" t="s">
        <v>3</v>
      </c>
      <c r="I132" s="162" t="s">
        <v>29</v>
      </c>
      <c r="J132" s="152" t="s">
        <v>421</v>
      </c>
      <c r="K132" s="152" t="s">
        <v>422</v>
      </c>
      <c r="L132" s="246" t="s">
        <v>3</v>
      </c>
      <c r="M132" s="162" t="s">
        <v>29</v>
      </c>
      <c r="N132" s="148"/>
    </row>
    <row r="133" spans="1:14" s="3" customFormat="1" x14ac:dyDescent="0.2">
      <c r="A133" s="708"/>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389</v>
      </c>
      <c r="B134" s="236"/>
      <c r="C134" s="309"/>
      <c r="D134" s="350"/>
      <c r="E134" s="11"/>
      <c r="F134" s="316"/>
      <c r="G134" s="317"/>
      <c r="H134" s="431"/>
      <c r="I134" s="24"/>
      <c r="J134" s="318"/>
      <c r="K134" s="318"/>
      <c r="L134" s="427"/>
      <c r="M134" s="11"/>
      <c r="N134" s="148"/>
    </row>
    <row r="135" spans="1:14" s="3" customFormat="1" ht="15.75" x14ac:dyDescent="0.2">
      <c r="A135" s="13" t="s">
        <v>394</v>
      </c>
      <c r="B135" s="236"/>
      <c r="C135" s="309"/>
      <c r="D135" s="171"/>
      <c r="E135" s="11"/>
      <c r="F135" s="236"/>
      <c r="G135" s="309"/>
      <c r="H135" s="432"/>
      <c r="I135" s="24"/>
      <c r="J135" s="308"/>
      <c r="K135" s="308"/>
      <c r="L135" s="428"/>
      <c r="M135" s="11"/>
      <c r="N135" s="148"/>
    </row>
    <row r="136" spans="1:14" s="3" customFormat="1" ht="15.75" x14ac:dyDescent="0.2">
      <c r="A136" s="13" t="s">
        <v>391</v>
      </c>
      <c r="B136" s="236"/>
      <c r="C136" s="309"/>
      <c r="D136" s="171"/>
      <c r="E136" s="11"/>
      <c r="F136" s="236"/>
      <c r="G136" s="309"/>
      <c r="H136" s="432"/>
      <c r="I136" s="24"/>
      <c r="J136" s="308"/>
      <c r="K136" s="308"/>
      <c r="L136" s="428"/>
      <c r="M136" s="11"/>
      <c r="N136" s="148"/>
    </row>
    <row r="137" spans="1:14" s="3" customFormat="1" ht="15.75" x14ac:dyDescent="0.2">
      <c r="A137" s="41" t="s">
        <v>392</v>
      </c>
      <c r="B137" s="276"/>
      <c r="C137" s="315"/>
      <c r="D137" s="169"/>
      <c r="E137" s="9"/>
      <c r="F137" s="276"/>
      <c r="G137" s="315"/>
      <c r="H137" s="433"/>
      <c r="I137" s="36"/>
      <c r="J137" s="314"/>
      <c r="K137" s="314"/>
      <c r="L137" s="429"/>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0:D130"/>
    <mergeCell ref="F130:H130"/>
    <mergeCell ref="J130:L130"/>
    <mergeCell ref="B131:D131"/>
    <mergeCell ref="F131:H131"/>
    <mergeCell ref="J131:L131"/>
    <mergeCell ref="B44:D44"/>
    <mergeCell ref="B62:D62"/>
    <mergeCell ref="F62:H62"/>
    <mergeCell ref="J62:L62"/>
    <mergeCell ref="B63:D63"/>
    <mergeCell ref="F63:H63"/>
    <mergeCell ref="J63:L63"/>
    <mergeCell ref="D40:F40"/>
    <mergeCell ref="G40:I40"/>
    <mergeCell ref="J40:L40"/>
    <mergeCell ref="B42:D42"/>
    <mergeCell ref="F42:H42"/>
    <mergeCell ref="J42:L42"/>
    <mergeCell ref="B18:D18"/>
    <mergeCell ref="F18:H18"/>
    <mergeCell ref="J18:L18"/>
    <mergeCell ref="B19:D19"/>
    <mergeCell ref="F19:H19"/>
    <mergeCell ref="J19:L19"/>
    <mergeCell ref="B2:D2"/>
    <mergeCell ref="F2:H2"/>
    <mergeCell ref="J2:L2"/>
    <mergeCell ref="B4:D4"/>
    <mergeCell ref="F4:H4"/>
    <mergeCell ref="J4:L4"/>
  </mergeCells>
  <conditionalFormatting sqref="B50:C52">
    <cfRule type="expression" dxfId="228" priority="59">
      <formula>kvartal &lt; 4</formula>
    </cfRule>
  </conditionalFormatting>
  <conditionalFormatting sqref="A50:A52">
    <cfRule type="expression" dxfId="227" priority="7">
      <formula>kvartal &lt; 4</formula>
    </cfRule>
  </conditionalFormatting>
  <conditionalFormatting sqref="A69:A74">
    <cfRule type="expression" dxfId="226" priority="6">
      <formula>kvartal &lt; 4</formula>
    </cfRule>
  </conditionalFormatting>
  <conditionalFormatting sqref="A80:A85">
    <cfRule type="expression" dxfId="225" priority="5">
      <formula>kvartal &lt; 4</formula>
    </cfRule>
  </conditionalFormatting>
  <conditionalFormatting sqref="A90:A95">
    <cfRule type="expression" dxfId="224" priority="4">
      <formula>kvartal &lt; 4</formula>
    </cfRule>
  </conditionalFormatting>
  <conditionalFormatting sqref="A101:A106">
    <cfRule type="expression" dxfId="223" priority="3">
      <formula>kvartal &lt; 4</formula>
    </cfRule>
  </conditionalFormatting>
  <conditionalFormatting sqref="A115">
    <cfRule type="expression" dxfId="222" priority="2">
      <formula>kvartal &lt; 4</formula>
    </cfRule>
  </conditionalFormatting>
  <conditionalFormatting sqref="A123">
    <cfRule type="expression" dxfId="221" priority="1">
      <formula>kvartal &lt; 4</formula>
    </cfRule>
  </conditionalFormatting>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T61"/>
  <sheetViews>
    <sheetView showGridLines="0" zoomScale="60" zoomScaleNormal="60" workbookViewId="0">
      <pane xSplit="1" ySplit="8" topLeftCell="B9" activePane="bottomRight" state="frozen"/>
      <selection activeCell="AU39" sqref="AU39"/>
      <selection pane="topRight" activeCell="AU39" sqref="AU39"/>
      <selection pane="bottomLeft" activeCell="AU39" sqref="AU39"/>
      <selection pane="bottomRight" activeCell="A4" sqref="A4"/>
    </sheetView>
  </sheetViews>
  <sheetFormatPr baseColWidth="10" defaultColWidth="11.42578125" defaultRowHeight="12.75" x14ac:dyDescent="0.2"/>
  <cols>
    <col min="1" max="1" width="90" style="509" customWidth="1"/>
    <col min="2" max="46" width="11.7109375" style="509" customWidth="1"/>
    <col min="47" max="16384" width="11.42578125" style="509"/>
  </cols>
  <sheetData>
    <row r="1" spans="1:46" ht="20.25" x14ac:dyDescent="0.3">
      <c r="A1" s="507" t="s">
        <v>285</v>
      </c>
      <c r="B1" s="473" t="s">
        <v>52</v>
      </c>
      <c r="C1" s="508"/>
      <c r="D1" s="508"/>
      <c r="H1" s="508"/>
      <c r="I1" s="508"/>
      <c r="J1" s="508"/>
      <c r="K1" s="508"/>
      <c r="L1" s="508"/>
      <c r="M1" s="508"/>
      <c r="N1" s="508"/>
      <c r="O1" s="508"/>
      <c r="P1" s="508"/>
    </row>
    <row r="2" spans="1:46" ht="20.25" x14ac:dyDescent="0.3">
      <c r="A2" s="507" t="s">
        <v>256</v>
      </c>
      <c r="B2" s="510"/>
      <c r="C2" s="510"/>
      <c r="D2" s="510"/>
      <c r="E2" s="510"/>
      <c r="F2" s="510"/>
      <c r="G2" s="510"/>
      <c r="H2" s="510"/>
      <c r="I2" s="510"/>
      <c r="J2" s="510"/>
      <c r="K2" s="510"/>
      <c r="L2" s="510"/>
      <c r="M2" s="510"/>
      <c r="N2" s="510"/>
      <c r="O2" s="510"/>
      <c r="P2" s="510"/>
      <c r="Q2" s="510"/>
      <c r="R2" s="510"/>
      <c r="S2" s="510"/>
      <c r="T2" s="510"/>
      <c r="U2" s="510"/>
      <c r="V2" s="510"/>
      <c r="W2" s="510"/>
      <c r="X2" s="510"/>
      <c r="Y2" s="510"/>
      <c r="Z2" s="510"/>
      <c r="AA2" s="510"/>
      <c r="AB2" s="510"/>
      <c r="AC2" s="510"/>
      <c r="AD2" s="510"/>
      <c r="AE2" s="510"/>
      <c r="AF2" s="510"/>
      <c r="AG2" s="510"/>
      <c r="AH2" s="510"/>
      <c r="AI2" s="510"/>
      <c r="AJ2" s="510"/>
      <c r="AK2" s="510"/>
      <c r="AL2" s="510"/>
      <c r="AM2" s="510"/>
      <c r="AN2" s="510"/>
      <c r="AO2" s="510"/>
      <c r="AP2" s="510"/>
      <c r="AQ2" s="510"/>
      <c r="AR2" s="510"/>
      <c r="AS2" s="510"/>
      <c r="AT2" s="510"/>
    </row>
    <row r="3" spans="1:46" ht="18.75" x14ac:dyDescent="0.3">
      <c r="A3" s="511" t="s">
        <v>286</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c r="AL3" s="512"/>
      <c r="AM3" s="512"/>
      <c r="AN3" s="512"/>
      <c r="AO3" s="512"/>
      <c r="AP3" s="512"/>
      <c r="AQ3" s="512"/>
      <c r="AR3" s="512"/>
      <c r="AS3" s="512"/>
      <c r="AT3" s="512"/>
    </row>
    <row r="4" spans="1:46" ht="18.75" customHeight="1" x14ac:dyDescent="0.25">
      <c r="A4" s="479" t="s">
        <v>424</v>
      </c>
      <c r="B4" s="513"/>
      <c r="C4" s="513"/>
      <c r="D4" s="514"/>
      <c r="E4" s="517"/>
      <c r="F4" s="516"/>
      <c r="G4" s="518"/>
      <c r="H4" s="515"/>
      <c r="I4" s="513"/>
      <c r="J4" s="514"/>
      <c r="K4" s="515"/>
      <c r="L4" s="513"/>
      <c r="M4" s="514"/>
      <c r="N4" s="515"/>
      <c r="O4" s="513"/>
      <c r="P4" s="514"/>
      <c r="Q4" s="516"/>
      <c r="R4" s="516"/>
      <c r="S4" s="516"/>
      <c r="T4" s="517"/>
      <c r="U4" s="516"/>
      <c r="V4" s="518"/>
      <c r="W4" s="517"/>
      <c r="X4" s="516"/>
      <c r="Y4" s="518"/>
      <c r="Z4" s="517"/>
      <c r="AA4" s="516"/>
      <c r="AB4" s="518"/>
      <c r="AC4" s="517"/>
      <c r="AD4" s="516"/>
      <c r="AE4" s="518"/>
      <c r="AF4" s="517"/>
      <c r="AG4" s="516"/>
      <c r="AH4" s="518"/>
      <c r="AI4" s="517"/>
      <c r="AJ4" s="516"/>
      <c r="AK4" s="518"/>
      <c r="AL4" s="517"/>
      <c r="AM4" s="516"/>
      <c r="AN4" s="518"/>
      <c r="AO4" s="519"/>
      <c r="AP4" s="520"/>
      <c r="AQ4" s="521"/>
      <c r="AR4" s="517"/>
      <c r="AS4" s="516"/>
      <c r="AT4" s="522"/>
    </row>
    <row r="5" spans="1:46" ht="18.75" customHeight="1" x14ac:dyDescent="0.3">
      <c r="A5" s="523" t="s">
        <v>100</v>
      </c>
      <c r="B5" s="739" t="s">
        <v>175</v>
      </c>
      <c r="C5" s="740"/>
      <c r="D5" s="741"/>
      <c r="E5" s="739" t="s">
        <v>176</v>
      </c>
      <c r="F5" s="740"/>
      <c r="G5" s="741"/>
      <c r="H5" s="739" t="s">
        <v>176</v>
      </c>
      <c r="I5" s="740"/>
      <c r="J5" s="741"/>
      <c r="K5" s="739" t="s">
        <v>404</v>
      </c>
      <c r="L5" s="740"/>
      <c r="M5" s="741"/>
      <c r="N5" s="739" t="s">
        <v>177</v>
      </c>
      <c r="O5" s="740"/>
      <c r="P5" s="741"/>
      <c r="Q5" s="739" t="s">
        <v>178</v>
      </c>
      <c r="R5" s="740"/>
      <c r="S5" s="741"/>
      <c r="T5" s="739" t="s">
        <v>179</v>
      </c>
      <c r="U5" s="740"/>
      <c r="V5" s="741"/>
      <c r="W5" s="739"/>
      <c r="X5" s="740"/>
      <c r="Y5" s="741"/>
      <c r="Z5" s="682"/>
      <c r="AA5" s="683"/>
      <c r="AB5" s="684"/>
      <c r="AC5" s="739" t="s">
        <v>180</v>
      </c>
      <c r="AD5" s="740"/>
      <c r="AE5" s="741"/>
      <c r="AF5" s="679"/>
      <c r="AG5" s="680"/>
      <c r="AH5" s="681"/>
      <c r="AI5" s="739"/>
      <c r="AJ5" s="740"/>
      <c r="AK5" s="741"/>
      <c r="AL5" s="739" t="s">
        <v>72</v>
      </c>
      <c r="AM5" s="740"/>
      <c r="AN5" s="741"/>
      <c r="AO5" s="745" t="s">
        <v>2</v>
      </c>
      <c r="AP5" s="746"/>
      <c r="AQ5" s="747"/>
      <c r="AR5" s="739" t="s">
        <v>287</v>
      </c>
      <c r="AS5" s="740"/>
      <c r="AT5" s="741"/>
    </row>
    <row r="6" spans="1:46" ht="21" customHeight="1" x14ac:dyDescent="0.3">
      <c r="A6" s="524"/>
      <c r="B6" s="742" t="s">
        <v>181</v>
      </c>
      <c r="C6" s="743"/>
      <c r="D6" s="744"/>
      <c r="E6" s="742" t="s">
        <v>419</v>
      </c>
      <c r="F6" s="743"/>
      <c r="G6" s="744"/>
      <c r="H6" s="742" t="s">
        <v>182</v>
      </c>
      <c r="I6" s="743"/>
      <c r="J6" s="744"/>
      <c r="K6" s="742" t="s">
        <v>182</v>
      </c>
      <c r="L6" s="743"/>
      <c r="M6" s="744"/>
      <c r="N6" s="742" t="s">
        <v>182</v>
      </c>
      <c r="O6" s="743"/>
      <c r="P6" s="744"/>
      <c r="Q6" s="742" t="s">
        <v>183</v>
      </c>
      <c r="R6" s="743"/>
      <c r="S6" s="744"/>
      <c r="T6" s="742" t="s">
        <v>90</v>
      </c>
      <c r="U6" s="743"/>
      <c r="V6" s="744"/>
      <c r="W6" s="742" t="s">
        <v>63</v>
      </c>
      <c r="X6" s="743"/>
      <c r="Y6" s="744"/>
      <c r="Z6" s="742" t="s">
        <v>65</v>
      </c>
      <c r="AA6" s="743"/>
      <c r="AB6" s="744"/>
      <c r="AC6" s="742" t="s">
        <v>181</v>
      </c>
      <c r="AD6" s="743"/>
      <c r="AE6" s="744"/>
      <c r="AF6" s="742" t="s">
        <v>71</v>
      </c>
      <c r="AG6" s="743"/>
      <c r="AH6" s="744"/>
      <c r="AI6" s="742" t="s">
        <v>67</v>
      </c>
      <c r="AJ6" s="743"/>
      <c r="AK6" s="744"/>
      <c r="AL6" s="742" t="s">
        <v>182</v>
      </c>
      <c r="AM6" s="743"/>
      <c r="AN6" s="744"/>
      <c r="AO6" s="748" t="s">
        <v>288</v>
      </c>
      <c r="AP6" s="749"/>
      <c r="AQ6" s="750"/>
      <c r="AR6" s="742" t="s">
        <v>289</v>
      </c>
      <c r="AS6" s="743"/>
      <c r="AT6" s="744"/>
    </row>
    <row r="7" spans="1:46" ht="18.75" customHeight="1" x14ac:dyDescent="0.3">
      <c r="A7" s="524"/>
      <c r="B7" s="523"/>
      <c r="C7" s="523"/>
      <c r="D7" s="525" t="s">
        <v>80</v>
      </c>
      <c r="E7" s="523"/>
      <c r="F7" s="523"/>
      <c r="G7" s="525" t="s">
        <v>80</v>
      </c>
      <c r="H7" s="523"/>
      <c r="I7" s="523"/>
      <c r="J7" s="525" t="s">
        <v>80</v>
      </c>
      <c r="K7" s="523"/>
      <c r="L7" s="523"/>
      <c r="M7" s="525" t="s">
        <v>80</v>
      </c>
      <c r="N7" s="523"/>
      <c r="O7" s="523"/>
      <c r="P7" s="525" t="s">
        <v>80</v>
      </c>
      <c r="Q7" s="523"/>
      <c r="R7" s="523"/>
      <c r="S7" s="525" t="s">
        <v>80</v>
      </c>
      <c r="T7" s="523"/>
      <c r="U7" s="523"/>
      <c r="V7" s="525" t="s">
        <v>80</v>
      </c>
      <c r="W7" s="523"/>
      <c r="X7" s="523"/>
      <c r="Y7" s="525" t="s">
        <v>80</v>
      </c>
      <c r="Z7" s="523"/>
      <c r="AA7" s="523"/>
      <c r="AB7" s="525" t="s">
        <v>80</v>
      </c>
      <c r="AC7" s="523"/>
      <c r="AD7" s="523"/>
      <c r="AE7" s="525" t="s">
        <v>80</v>
      </c>
      <c r="AF7" s="523"/>
      <c r="AG7" s="523"/>
      <c r="AH7" s="525" t="s">
        <v>80</v>
      </c>
      <c r="AI7" s="523"/>
      <c r="AJ7" s="523"/>
      <c r="AK7" s="525" t="s">
        <v>80</v>
      </c>
      <c r="AL7" s="523"/>
      <c r="AM7" s="523"/>
      <c r="AN7" s="525" t="s">
        <v>80</v>
      </c>
      <c r="AO7" s="523"/>
      <c r="AP7" s="523"/>
      <c r="AQ7" s="525" t="s">
        <v>80</v>
      </c>
      <c r="AR7" s="523"/>
      <c r="AS7" s="523"/>
      <c r="AT7" s="525" t="s">
        <v>80</v>
      </c>
    </row>
    <row r="8" spans="1:46" ht="18.75" customHeight="1" x14ac:dyDescent="0.25">
      <c r="A8" s="526" t="s">
        <v>290</v>
      </c>
      <c r="B8" s="657">
        <v>2019</v>
      </c>
      <c r="C8" s="657">
        <v>2020</v>
      </c>
      <c r="D8" s="527" t="s">
        <v>82</v>
      </c>
      <c r="E8" s="657">
        <v>2019</v>
      </c>
      <c r="F8" s="657">
        <v>2020</v>
      </c>
      <c r="G8" s="527" t="s">
        <v>82</v>
      </c>
      <c r="H8" s="657">
        <v>2019</v>
      </c>
      <c r="I8" s="657">
        <v>2020</v>
      </c>
      <c r="J8" s="527" t="s">
        <v>82</v>
      </c>
      <c r="K8" s="657">
        <v>2019</v>
      </c>
      <c r="L8" s="657">
        <v>2020</v>
      </c>
      <c r="M8" s="527" t="s">
        <v>82</v>
      </c>
      <c r="N8" s="657">
        <v>2019</v>
      </c>
      <c r="O8" s="657">
        <v>2020</v>
      </c>
      <c r="P8" s="527" t="s">
        <v>82</v>
      </c>
      <c r="Q8" s="607">
        <v>2019</v>
      </c>
      <c r="R8" s="607">
        <v>2020</v>
      </c>
      <c r="S8" s="527" t="s">
        <v>82</v>
      </c>
      <c r="T8" s="657">
        <v>2019</v>
      </c>
      <c r="U8" s="657">
        <v>2020</v>
      </c>
      <c r="V8" s="527" t="s">
        <v>82</v>
      </c>
      <c r="W8" s="657">
        <v>2019</v>
      </c>
      <c r="X8" s="657">
        <v>2020</v>
      </c>
      <c r="Y8" s="527" t="s">
        <v>82</v>
      </c>
      <c r="Z8" s="657">
        <v>2019</v>
      </c>
      <c r="AA8" s="657">
        <v>2020</v>
      </c>
      <c r="AB8" s="527" t="s">
        <v>82</v>
      </c>
      <c r="AC8" s="657">
        <v>2019</v>
      </c>
      <c r="AD8" s="657">
        <v>2020</v>
      </c>
      <c r="AE8" s="527" t="s">
        <v>82</v>
      </c>
      <c r="AF8" s="657">
        <v>2019</v>
      </c>
      <c r="AG8" s="657">
        <v>2020</v>
      </c>
      <c r="AH8" s="527" t="s">
        <v>82</v>
      </c>
      <c r="AI8" s="607">
        <v>2019</v>
      </c>
      <c r="AJ8" s="607">
        <v>2020</v>
      </c>
      <c r="AK8" s="527" t="s">
        <v>82</v>
      </c>
      <c r="AL8" s="607">
        <v>2019</v>
      </c>
      <c r="AM8" s="607">
        <v>2020</v>
      </c>
      <c r="AN8" s="527" t="s">
        <v>82</v>
      </c>
      <c r="AO8" s="607" t="e">
        <f xml:space="preserve"> år-1</f>
        <v>#REF!</v>
      </c>
      <c r="AP8" s="607" t="e">
        <f xml:space="preserve"> år</f>
        <v>#REF!</v>
      </c>
      <c r="AQ8" s="527" t="s">
        <v>82</v>
      </c>
      <c r="AR8" s="607" t="e">
        <f xml:space="preserve"> år-1</f>
        <v>#REF!</v>
      </c>
      <c r="AS8" s="607" t="e">
        <f xml:space="preserve"> år</f>
        <v>#REF!</v>
      </c>
      <c r="AT8" s="527" t="s">
        <v>82</v>
      </c>
    </row>
    <row r="9" spans="1:46" ht="18.75" customHeight="1" x14ac:dyDescent="0.3">
      <c r="A9" s="524" t="s">
        <v>291</v>
      </c>
      <c r="B9" s="617"/>
      <c r="C9" s="591"/>
      <c r="D9" s="529"/>
      <c r="E9" s="617"/>
      <c r="F9" s="591"/>
      <c r="G9" s="529"/>
      <c r="H9" s="617"/>
      <c r="I9" s="591"/>
      <c r="J9" s="529"/>
      <c r="K9" s="591"/>
      <c r="L9" s="591"/>
      <c r="M9" s="529"/>
      <c r="N9" s="617"/>
      <c r="O9" s="591"/>
      <c r="P9" s="529"/>
      <c r="Q9" s="617"/>
      <c r="R9" s="591"/>
      <c r="S9" s="528"/>
      <c r="T9" s="676"/>
      <c r="U9" s="530"/>
      <c r="V9" s="529"/>
      <c r="W9" s="663"/>
      <c r="X9" s="594"/>
      <c r="Y9" s="529"/>
      <c r="Z9" s="617"/>
      <c r="AA9" s="591"/>
      <c r="AB9" s="529"/>
      <c r="AC9" s="663"/>
      <c r="AD9" s="594"/>
      <c r="AE9" s="529"/>
      <c r="AF9" s="617"/>
      <c r="AG9" s="591"/>
      <c r="AH9" s="529"/>
      <c r="AI9" s="617"/>
      <c r="AJ9" s="591"/>
      <c r="AK9" s="529"/>
      <c r="AL9" s="617"/>
      <c r="AM9" s="591"/>
      <c r="AN9" s="529"/>
      <c r="AO9" s="529"/>
      <c r="AP9" s="529"/>
      <c r="AQ9" s="529"/>
      <c r="AR9" s="531"/>
      <c r="AS9" s="531"/>
      <c r="AT9" s="531"/>
    </row>
    <row r="10" spans="1:46" s="510" customFormat="1" ht="18.75" customHeight="1" x14ac:dyDescent="0.3">
      <c r="A10" s="532" t="s">
        <v>292</v>
      </c>
      <c r="B10" s="618"/>
      <c r="C10" s="437"/>
      <c r="D10" s="534"/>
      <c r="E10" s="618"/>
      <c r="F10" s="437"/>
      <c r="G10" s="534"/>
      <c r="H10" s="618"/>
      <c r="I10" s="437"/>
      <c r="J10" s="534"/>
      <c r="K10" s="437"/>
      <c r="L10" s="437"/>
      <c r="M10" s="534"/>
      <c r="N10" s="618"/>
      <c r="O10" s="437"/>
      <c r="P10" s="534"/>
      <c r="Q10" s="618"/>
      <c r="R10" s="437"/>
      <c r="S10" s="533"/>
      <c r="T10" s="666"/>
      <c r="U10" s="535"/>
      <c r="V10" s="534"/>
      <c r="W10" s="619"/>
      <c r="X10" s="338"/>
      <c r="Y10" s="534"/>
      <c r="Z10" s="618"/>
      <c r="AA10" s="437"/>
      <c r="AB10" s="534"/>
      <c r="AC10" s="619"/>
      <c r="AD10" s="338"/>
      <c r="AE10" s="534"/>
      <c r="AF10" s="618"/>
      <c r="AG10" s="437"/>
      <c r="AH10" s="534"/>
      <c r="AI10" s="618"/>
      <c r="AJ10" s="437"/>
      <c r="AK10" s="534"/>
      <c r="AL10" s="618"/>
      <c r="AM10" s="437"/>
      <c r="AN10" s="534"/>
      <c r="AO10" s="534"/>
      <c r="AP10" s="534"/>
      <c r="AQ10" s="534"/>
      <c r="AR10" s="536"/>
      <c r="AS10" s="536"/>
      <c r="AT10" s="536"/>
    </row>
    <row r="11" spans="1:46" s="510" customFormat="1" ht="18.75" customHeight="1" x14ac:dyDescent="0.3">
      <c r="A11" s="532" t="s">
        <v>293</v>
      </c>
      <c r="B11" s="619">
        <f>1779.407+0.724</f>
        <v>1780.1309999999999</v>
      </c>
      <c r="C11" s="338">
        <f>1883.065+0.52</f>
        <v>1883.585</v>
      </c>
      <c r="D11" s="534">
        <f t="shared" ref="D11:D16" si="0">IF(B11=0, "    ---- ", IF(ABS(ROUND(100/B11*C11-100,1))&lt;999,ROUND(100/B11*C11-100,1),IF(ROUND(100/B11*C11-100,1)&gt;999,999,-999)))</f>
        <v>5.8</v>
      </c>
      <c r="E11" s="619">
        <v>475.4</v>
      </c>
      <c r="F11" s="338">
        <v>545.4</v>
      </c>
      <c r="G11" s="534">
        <f t="shared" ref="G11:G30" si="1">IF(E11=0, "    ---- ", IF(ABS(ROUND(100/E11*F11-100,1))&lt;999,ROUND(100/E11*F11-100,1),IF(ROUND(100/E11*F11-100,1)&gt;999,999,-999)))</f>
        <v>14.7</v>
      </c>
      <c r="H11" s="619">
        <v>11523.682000000001</v>
      </c>
      <c r="I11" s="338">
        <v>10826.105</v>
      </c>
      <c r="J11" s="534">
        <f t="shared" ref="J11:J17" si="2">IF(H11=0, "    ---- ", IF(ABS(ROUND(100/H11*I11-100,1))&lt;999,ROUND(100/H11*I11-100,1),IF(ROUND(100/H11*I11-100,1)&gt;999,999,-999)))</f>
        <v>-6.1</v>
      </c>
      <c r="K11" s="338"/>
      <c r="L11" s="338">
        <v>2541</v>
      </c>
      <c r="M11" s="534" t="str">
        <f t="shared" ref="M11:M17" si="3">IF(K11=0, "    ---- ", IF(ABS(ROUND(100/K11*L11-100,1))&lt;999,ROUND(100/K11*L11-100,1),IF(ROUND(100/K11*L11-100,1)&gt;999,999,-999)))</f>
        <v xml:space="preserve">    ---- </v>
      </c>
      <c r="N11" s="619">
        <v>886</v>
      </c>
      <c r="O11" s="338">
        <v>924.93299999999999</v>
      </c>
      <c r="P11" s="534">
        <f t="shared" ref="P11:P17" si="4">IF(N11=0, "    ---- ", IF(ABS(ROUND(100/N11*O11-100,1))&lt;999,ROUND(100/N11*O11-100,1),IF(ROUND(100/N11*O11-100,1)&gt;999,999,-999)))</f>
        <v>4.4000000000000004</v>
      </c>
      <c r="Q11" s="619">
        <v>2879.4270000000001</v>
      </c>
      <c r="R11" s="338">
        <v>2870.85</v>
      </c>
      <c r="S11" s="534">
        <f t="shared" ref="S11:S16" si="5">IF(Q11=0, "    ---- ", IF(ABS(ROUND(100/Q11*R11-100,1))&lt;999,ROUND(100/Q11*R11-100,1),IF(ROUND(100/Q11*R11-100,1)&gt;999,999,-999)))</f>
        <v>-0.3</v>
      </c>
      <c r="T11" s="619">
        <v>26.62580341</v>
      </c>
      <c r="U11" s="338">
        <v>26.17104192</v>
      </c>
      <c r="V11" s="534">
        <f>IF(T11=0, "    ---- ", IF(ABS(ROUND(100/T11*U11-100,1))&lt;999,ROUND(100/T11*U11-100,1),IF(ROUND(100/T11*U11-100,1)&gt;999,999,-999)))</f>
        <v>-1.7</v>
      </c>
      <c r="W11" s="619">
        <v>32158.208351410001</v>
      </c>
      <c r="X11" s="338">
        <v>26234.381377770002</v>
      </c>
      <c r="Y11" s="534">
        <f t="shared" ref="Y11:Y17" si="6">IF(W11=0, "    ---- ", IF(ABS(ROUND(100/W11*X11-100,1))&lt;999,ROUND(100/W11*X11-100,1),IF(ROUND(100/W11*X11-100,1)&gt;999,999,-999)))</f>
        <v>-18.399999999999999</v>
      </c>
      <c r="Z11" s="619">
        <v>9812</v>
      </c>
      <c r="AA11" s="338">
        <v>10019</v>
      </c>
      <c r="AB11" s="534">
        <f t="shared" ref="AB11:AB17" si="7">IF(Z11=0, "    ---- ", IF(ABS(ROUND(100/Z11*AA11-100,1))&lt;999,ROUND(100/Z11*AA11-100,1),IF(ROUND(100/Z11*AA11-100,1)&gt;999,999,-999)))</f>
        <v>2.1</v>
      </c>
      <c r="AC11" s="619">
        <v>4519</v>
      </c>
      <c r="AD11" s="338">
        <v>2527</v>
      </c>
      <c r="AE11" s="534">
        <f t="shared" ref="AE11:AE17" si="8">IF(AC11=0, "    ---- ", IF(ABS(ROUND(100/AC11*AD11-100,1))&lt;999,ROUND(100/AC11*AD11-100,1),IF(ROUND(100/AC11*AD11-100,1)&gt;999,999,-999)))</f>
        <v>-44.1</v>
      </c>
      <c r="AF11" s="619">
        <v>97.840428990000007</v>
      </c>
      <c r="AG11" s="338">
        <v>94.921636710000001</v>
      </c>
      <c r="AH11" s="534">
        <f t="shared" ref="AH11:AH16" si="9">IF(AF11=0, "    ---- ", IF(ABS(ROUND(100/AF11*AG11-100,1))&lt;999,ROUND(100/AF11*AG11-100,1),IF(ROUND(100/AF11*AG11-100,1)&gt;999,999,-999)))</f>
        <v>-3</v>
      </c>
      <c r="AI11" s="619">
        <v>5784.8854157299993</v>
      </c>
      <c r="AJ11" s="338">
        <v>4050.7280432700004</v>
      </c>
      <c r="AK11" s="534">
        <f t="shared" ref="AK11:AK17" si="10">IF(AI11=0, "    ---- ", IF(ABS(ROUND(100/AI11*AJ11-100,1))&lt;999,ROUND(100/AI11*AJ11-100,1),IF(ROUND(100/AI11*AJ11-100,1)&gt;999,999,-999)))</f>
        <v>-30</v>
      </c>
      <c r="AL11" s="619">
        <v>12816</v>
      </c>
      <c r="AM11" s="338">
        <v>13982</v>
      </c>
      <c r="AN11" s="534">
        <f t="shared" ref="AN11:AN17" si="11">IF(AL11=0, "    ---- ", IF(ABS(ROUND(100/AL11*AM11-100,1))&lt;999,ROUND(100/AL11*AM11-100,1),IF(ROUND(100/AL11*AM11-100,1)&gt;999,999,-999)))</f>
        <v>9.1</v>
      </c>
      <c r="AO11" s="534">
        <f t="shared" ref="AO11:AP17" si="12">B11+H11+K11+N11+Q11+W11+E11+Z11+AC11+AI11+AL11</f>
        <v>82634.733767140002</v>
      </c>
      <c r="AP11" s="534">
        <f t="shared" si="12"/>
        <v>76404.982421039997</v>
      </c>
      <c r="AQ11" s="534">
        <f t="shared" ref="AQ11:AQ45" si="13">IF(AO11=0, "    ---- ", IF(ABS(ROUND(100/AO11*AP11-100,1))&lt;999,ROUND(100/AO11*AP11-100,1),IF(ROUND(100/AO11*AP11-100,1)&gt;999,999,-999)))</f>
        <v>-7.5</v>
      </c>
      <c r="AR11" s="537">
        <f t="shared" ref="AR11:AS17" si="14">+B11+H11+K11+N11+Q11+T11+W11+E11+Z11+AC11+AF11+AI11+AL11</f>
        <v>82759.199999539996</v>
      </c>
      <c r="AS11" s="537">
        <f t="shared" si="14"/>
        <v>76526.075099670008</v>
      </c>
      <c r="AT11" s="534">
        <f t="shared" ref="AT11:AT17" si="15">IF(AR11=0, "    ---- ", IF(ABS(ROUND(100/AR11*AS11-100,1))&lt;999,ROUND(100/AR11*AS11-100,1),IF(ROUND(100/AR11*AS11-100,1)&gt;999,999,-999)))</f>
        <v>-7.5</v>
      </c>
    </row>
    <row r="12" spans="1:46" s="510" customFormat="1" ht="18.75" customHeight="1" x14ac:dyDescent="0.3">
      <c r="A12" s="532" t="s">
        <v>294</v>
      </c>
      <c r="B12" s="619">
        <v>-90.757000000000005</v>
      </c>
      <c r="C12" s="338">
        <v>-88.582999999999998</v>
      </c>
      <c r="D12" s="534">
        <f t="shared" si="0"/>
        <v>-2.4</v>
      </c>
      <c r="E12" s="619">
        <v>-0.3</v>
      </c>
      <c r="F12" s="338">
        <v>0.3</v>
      </c>
      <c r="G12" s="534">
        <f t="shared" si="1"/>
        <v>-200</v>
      </c>
      <c r="H12" s="619">
        <v>-186.67699999999999</v>
      </c>
      <c r="I12" s="338">
        <v>-207.73599999999999</v>
      </c>
      <c r="J12" s="534">
        <f t="shared" si="2"/>
        <v>11.3</v>
      </c>
      <c r="K12" s="338"/>
      <c r="L12" s="338">
        <v>-145</v>
      </c>
      <c r="M12" s="534" t="str">
        <f t="shared" si="3"/>
        <v xml:space="preserve">    ---- </v>
      </c>
      <c r="N12" s="619">
        <v>-1</v>
      </c>
      <c r="O12" s="338">
        <v>-1.0189999999999999</v>
      </c>
      <c r="P12" s="534">
        <f t="shared" si="4"/>
        <v>1.9</v>
      </c>
      <c r="Q12" s="619">
        <v>-49.493000000000002</v>
      </c>
      <c r="R12" s="338">
        <v>-58.96</v>
      </c>
      <c r="S12" s="534">
        <f t="shared" si="5"/>
        <v>19.100000000000001</v>
      </c>
      <c r="T12" s="619"/>
      <c r="U12" s="338"/>
      <c r="V12" s="534"/>
      <c r="W12" s="619">
        <v>-1.2561040000000001</v>
      </c>
      <c r="X12" s="338">
        <v>0</v>
      </c>
      <c r="Y12" s="534">
        <f t="shared" si="6"/>
        <v>-100</v>
      </c>
      <c r="Z12" s="619">
        <v>-57</v>
      </c>
      <c r="AA12" s="338">
        <v>-67</v>
      </c>
      <c r="AB12" s="534">
        <f t="shared" si="7"/>
        <v>17.5</v>
      </c>
      <c r="AC12" s="619">
        <v>-1</v>
      </c>
      <c r="AD12" s="338">
        <v>-1</v>
      </c>
      <c r="AE12" s="534"/>
      <c r="AF12" s="619"/>
      <c r="AG12" s="338"/>
      <c r="AH12" s="534"/>
      <c r="AI12" s="619">
        <v>-146.245</v>
      </c>
      <c r="AJ12" s="338">
        <v>-3.2709999999999999</v>
      </c>
      <c r="AK12" s="534">
        <f t="shared" si="10"/>
        <v>-97.8</v>
      </c>
      <c r="AL12" s="619">
        <v>-7</v>
      </c>
      <c r="AM12" s="338">
        <v>-8</v>
      </c>
      <c r="AN12" s="534">
        <f t="shared" si="11"/>
        <v>14.3</v>
      </c>
      <c r="AO12" s="534">
        <f t="shared" si="12"/>
        <v>-540.72810400000003</v>
      </c>
      <c r="AP12" s="534">
        <f t="shared" si="12"/>
        <v>-580.26899999999989</v>
      </c>
      <c r="AQ12" s="534">
        <f t="shared" si="13"/>
        <v>7.3</v>
      </c>
      <c r="AR12" s="537">
        <f t="shared" si="14"/>
        <v>-540.72810400000003</v>
      </c>
      <c r="AS12" s="537">
        <f t="shared" si="14"/>
        <v>-580.26899999999989</v>
      </c>
      <c r="AT12" s="534">
        <f t="shared" si="15"/>
        <v>7.3</v>
      </c>
    </row>
    <row r="13" spans="1:46" s="510" customFormat="1" ht="18.75" customHeight="1" x14ac:dyDescent="0.3">
      <c r="A13" s="532" t="s">
        <v>295</v>
      </c>
      <c r="B13" s="619">
        <v>812.97</v>
      </c>
      <c r="C13" s="338">
        <v>728.35199999999998</v>
      </c>
      <c r="D13" s="534">
        <f t="shared" si="0"/>
        <v>-10.4</v>
      </c>
      <c r="E13" s="619">
        <v>394.6</v>
      </c>
      <c r="F13" s="338">
        <v>320</v>
      </c>
      <c r="G13" s="534">
        <f t="shared" si="1"/>
        <v>-18.899999999999999</v>
      </c>
      <c r="H13" s="619">
        <v>2663.759</v>
      </c>
      <c r="I13" s="338">
        <v>2084.1309999999999</v>
      </c>
      <c r="J13" s="534">
        <f t="shared" si="2"/>
        <v>-21.8</v>
      </c>
      <c r="K13" s="338"/>
      <c r="L13" s="338">
        <v>0</v>
      </c>
      <c r="M13" s="534" t="str">
        <f t="shared" si="3"/>
        <v xml:space="preserve">    ---- </v>
      </c>
      <c r="N13" s="619">
        <v>140.9</v>
      </c>
      <c r="O13" s="338">
        <v>101.58799999999999</v>
      </c>
      <c r="P13" s="534">
        <f t="shared" si="4"/>
        <v>-27.9</v>
      </c>
      <c r="Q13" s="619">
        <v>1466.4490000000001</v>
      </c>
      <c r="R13" s="338">
        <v>1341.32</v>
      </c>
      <c r="S13" s="534">
        <f t="shared" si="5"/>
        <v>-8.5</v>
      </c>
      <c r="T13" s="619"/>
      <c r="U13" s="338"/>
      <c r="V13" s="534"/>
      <c r="W13" s="619">
        <v>0.23514299999999999</v>
      </c>
      <c r="X13" s="338">
        <v>2846.1835729999998</v>
      </c>
      <c r="Y13" s="534">
        <f t="shared" si="6"/>
        <v>999</v>
      </c>
      <c r="Z13" s="619">
        <v>2654</v>
      </c>
      <c r="AA13" s="338">
        <v>4797</v>
      </c>
      <c r="AB13" s="534">
        <f t="shared" si="7"/>
        <v>80.7</v>
      </c>
      <c r="AC13" s="619">
        <v>106</v>
      </c>
      <c r="AD13" s="338">
        <v>0</v>
      </c>
      <c r="AE13" s="534"/>
      <c r="AF13" s="619">
        <v>82.389431999999999</v>
      </c>
      <c r="AG13" s="338">
        <v>73.030493000000007</v>
      </c>
      <c r="AH13" s="534">
        <f t="shared" si="9"/>
        <v>-11.4</v>
      </c>
      <c r="AI13" s="619">
        <v>1148.41937738</v>
      </c>
      <c r="AJ13" s="338">
        <v>936.7658244600002</v>
      </c>
      <c r="AK13" s="534">
        <f t="shared" si="10"/>
        <v>-18.399999999999999</v>
      </c>
      <c r="AL13" s="619">
        <v>2370</v>
      </c>
      <c r="AM13" s="338">
        <v>5326</v>
      </c>
      <c r="AN13" s="534">
        <f t="shared" si="11"/>
        <v>124.7</v>
      </c>
      <c r="AO13" s="534">
        <f t="shared" si="12"/>
        <v>11757.332520380001</v>
      </c>
      <c r="AP13" s="534">
        <f t="shared" si="12"/>
        <v>18481.340397460001</v>
      </c>
      <c r="AQ13" s="534">
        <f t="shared" si="13"/>
        <v>57.2</v>
      </c>
      <c r="AR13" s="537">
        <f t="shared" si="14"/>
        <v>11839.721952380001</v>
      </c>
      <c r="AS13" s="537">
        <f t="shared" si="14"/>
        <v>18554.370890459999</v>
      </c>
      <c r="AT13" s="534">
        <f t="shared" si="15"/>
        <v>56.7</v>
      </c>
    </row>
    <row r="14" spans="1:46" s="510" customFormat="1" ht="18.75" customHeight="1" x14ac:dyDescent="0.3">
      <c r="A14" s="532" t="s">
        <v>296</v>
      </c>
      <c r="B14" s="659">
        <f>SUM(B11:B13)</f>
        <v>2502.3440000000001</v>
      </c>
      <c r="C14" s="660">
        <f>SUM(C11:C13)</f>
        <v>2523.3539999999998</v>
      </c>
      <c r="D14" s="534">
        <f t="shared" si="0"/>
        <v>0.8</v>
      </c>
      <c r="E14" s="618">
        <f>SUM(E11:E13)</f>
        <v>869.7</v>
      </c>
      <c r="F14" s="437">
        <f>SUM(F11:F13)</f>
        <v>865.69999999999993</v>
      </c>
      <c r="G14" s="534">
        <f t="shared" si="1"/>
        <v>-0.5</v>
      </c>
      <c r="H14" s="618">
        <f>SUM(H11:H13)</f>
        <v>14000.764000000001</v>
      </c>
      <c r="I14" s="437">
        <f>SUM(I11:I13)</f>
        <v>12702.499999999998</v>
      </c>
      <c r="J14" s="534">
        <f t="shared" si="2"/>
        <v>-9.3000000000000007</v>
      </c>
      <c r="K14" s="437"/>
      <c r="L14" s="437">
        <f>SUM(L11:L13)</f>
        <v>2396</v>
      </c>
      <c r="M14" s="534" t="str">
        <f t="shared" si="3"/>
        <v xml:space="preserve">    ---- </v>
      </c>
      <c r="N14" s="618">
        <f>SUM(N11:N13)</f>
        <v>1025.9000000000001</v>
      </c>
      <c r="O14" s="437">
        <f>SUM(O11:O13)</f>
        <v>1025.502</v>
      </c>
      <c r="P14" s="534">
        <f t="shared" si="4"/>
        <v>0</v>
      </c>
      <c r="Q14" s="618">
        <f>SUM(Q11:Q13)</f>
        <v>4296.3829999999998</v>
      </c>
      <c r="R14" s="437">
        <f>SUM(R11:R13)</f>
        <v>4153.21</v>
      </c>
      <c r="S14" s="534">
        <f t="shared" si="5"/>
        <v>-3.3</v>
      </c>
      <c r="T14" s="618">
        <f>SUM(T11:T13)</f>
        <v>26.62580341</v>
      </c>
      <c r="U14" s="437">
        <f>SUM(U11:U13)</f>
        <v>26.17104192</v>
      </c>
      <c r="V14" s="534">
        <f>IF(T14=0, "    ---- ", IF(ABS(ROUND(100/T14*U14-100,1))&lt;999,ROUND(100/T14*U14-100,1),IF(ROUND(100/T14*U14-100,1)&gt;999,999,-999)))</f>
        <v>-1.7</v>
      </c>
      <c r="W14" s="618">
        <v>32157.187390410003</v>
      </c>
      <c r="X14" s="437">
        <v>29080.56495077</v>
      </c>
      <c r="Y14" s="534">
        <f t="shared" si="6"/>
        <v>-9.6</v>
      </c>
      <c r="Z14" s="618">
        <f>SUM(Z11:Z13)</f>
        <v>12409</v>
      </c>
      <c r="AA14" s="437">
        <f>SUM(AA11:AA13)</f>
        <v>14749</v>
      </c>
      <c r="AB14" s="534">
        <f t="shared" si="7"/>
        <v>18.899999999999999</v>
      </c>
      <c r="AC14" s="618">
        <f>SUM(AC11:AC13)</f>
        <v>4624</v>
      </c>
      <c r="AD14" s="437">
        <f>SUM(AD11:AD13)</f>
        <v>2526</v>
      </c>
      <c r="AE14" s="534">
        <f t="shared" si="8"/>
        <v>-45.4</v>
      </c>
      <c r="AF14" s="618">
        <f>SUM(AF11:AF13)</f>
        <v>180.22986099000002</v>
      </c>
      <c r="AG14" s="437">
        <f>SUM(AG11:AG13)</f>
        <v>167.95212971000001</v>
      </c>
      <c r="AH14" s="534">
        <f t="shared" si="9"/>
        <v>-6.8</v>
      </c>
      <c r="AI14" s="618">
        <f>SUM(AI11:AI13)</f>
        <v>6787.0597931099992</v>
      </c>
      <c r="AJ14" s="437">
        <f>SUM(AJ11:AJ13)</f>
        <v>4984.2228677300009</v>
      </c>
      <c r="AK14" s="534">
        <f t="shared" si="10"/>
        <v>-26.6</v>
      </c>
      <c r="AL14" s="618">
        <f>SUM(AL11:AL13)</f>
        <v>15179</v>
      </c>
      <c r="AM14" s="437">
        <f>SUM(AM11:AM13)</f>
        <v>19300</v>
      </c>
      <c r="AN14" s="534">
        <f t="shared" si="11"/>
        <v>27.1</v>
      </c>
      <c r="AO14" s="534">
        <f t="shared" si="12"/>
        <v>93851.338183520013</v>
      </c>
      <c r="AP14" s="534">
        <f t="shared" si="12"/>
        <v>94306.053818500004</v>
      </c>
      <c r="AQ14" s="534">
        <f t="shared" si="13"/>
        <v>0.5</v>
      </c>
      <c r="AR14" s="537">
        <f t="shared" si="14"/>
        <v>94058.193847920003</v>
      </c>
      <c r="AS14" s="537">
        <f t="shared" si="14"/>
        <v>94500.176990129999</v>
      </c>
      <c r="AT14" s="534">
        <f t="shared" si="15"/>
        <v>0.5</v>
      </c>
    </row>
    <row r="15" spans="1:46" s="510" customFormat="1" ht="18.75" customHeight="1" x14ac:dyDescent="0.3">
      <c r="A15" s="532" t="s">
        <v>297</v>
      </c>
      <c r="B15" s="196">
        <v>43.780999999999999</v>
      </c>
      <c r="C15" s="448">
        <v>41.421999999999997</v>
      </c>
      <c r="D15" s="534">
        <f t="shared" si="0"/>
        <v>-5.4</v>
      </c>
      <c r="E15" s="196">
        <v>50.5</v>
      </c>
      <c r="F15" s="448">
        <v>18.3</v>
      </c>
      <c r="G15" s="534">
        <f t="shared" si="1"/>
        <v>-63.8</v>
      </c>
      <c r="H15" s="196">
        <v>9023.6350000000002</v>
      </c>
      <c r="I15" s="448">
        <v>-263.21600000000001</v>
      </c>
      <c r="J15" s="534">
        <f t="shared" si="2"/>
        <v>-102.9</v>
      </c>
      <c r="K15" s="595"/>
      <c r="L15" s="595">
        <v>114</v>
      </c>
      <c r="M15" s="534" t="str">
        <f t="shared" si="3"/>
        <v xml:space="preserve">    ---- </v>
      </c>
      <c r="N15" s="664">
        <v>45.8</v>
      </c>
      <c r="O15" s="448">
        <v>23.684000000000001</v>
      </c>
      <c r="P15" s="534">
        <f t="shared" si="4"/>
        <v>-48.3</v>
      </c>
      <c r="Q15" s="196">
        <v>204.006</v>
      </c>
      <c r="R15" s="448">
        <v>98.55</v>
      </c>
      <c r="S15" s="534">
        <f t="shared" si="5"/>
        <v>-51.7</v>
      </c>
      <c r="T15" s="655"/>
      <c r="U15" s="593"/>
      <c r="V15" s="534"/>
      <c r="W15" s="196">
        <v>33961.814102969998</v>
      </c>
      <c r="X15" s="448">
        <v>7930.9492998100004</v>
      </c>
      <c r="Y15" s="534">
        <f t="shared" si="6"/>
        <v>-76.599999999999994</v>
      </c>
      <c r="Z15" s="196">
        <v>2148</v>
      </c>
      <c r="AA15" s="448">
        <v>1556</v>
      </c>
      <c r="AB15" s="534">
        <f t="shared" si="7"/>
        <v>-27.6</v>
      </c>
      <c r="AC15" s="196">
        <v>5667</v>
      </c>
      <c r="AD15" s="448">
        <v>3357</v>
      </c>
      <c r="AE15" s="534">
        <f t="shared" si="8"/>
        <v>-40.799999999999997</v>
      </c>
      <c r="AF15" s="655"/>
      <c r="AG15" s="593"/>
      <c r="AH15" s="534"/>
      <c r="AI15" s="669">
        <v>1984.1352124299983</v>
      </c>
      <c r="AJ15" s="539">
        <v>305.63495194999979</v>
      </c>
      <c r="AK15" s="534">
        <f t="shared" si="10"/>
        <v>-84.6</v>
      </c>
      <c r="AL15" s="196">
        <v>8407</v>
      </c>
      <c r="AM15" s="448">
        <v>7758</v>
      </c>
      <c r="AN15" s="534">
        <f t="shared" si="11"/>
        <v>-7.7</v>
      </c>
      <c r="AO15" s="534">
        <f t="shared" si="12"/>
        <v>61535.671315399995</v>
      </c>
      <c r="AP15" s="534">
        <f t="shared" si="12"/>
        <v>20940.324251760001</v>
      </c>
      <c r="AQ15" s="534">
        <f t="shared" si="13"/>
        <v>-66</v>
      </c>
      <c r="AR15" s="537">
        <f t="shared" si="14"/>
        <v>61535.671315399995</v>
      </c>
      <c r="AS15" s="537">
        <f t="shared" si="14"/>
        <v>20940.324251760001</v>
      </c>
      <c r="AT15" s="534">
        <f t="shared" si="15"/>
        <v>-66</v>
      </c>
    </row>
    <row r="16" spans="1:46" s="510" customFormat="1" ht="18.75" customHeight="1" x14ac:dyDescent="0.3">
      <c r="A16" s="532" t="s">
        <v>298</v>
      </c>
      <c r="B16" s="196">
        <v>1718.7249999999999</v>
      </c>
      <c r="C16" s="448">
        <v>340.71899999999999</v>
      </c>
      <c r="D16" s="534">
        <f t="shared" si="0"/>
        <v>-80.2</v>
      </c>
      <c r="E16" s="196">
        <v>457.9</v>
      </c>
      <c r="F16" s="448">
        <v>12.3</v>
      </c>
      <c r="G16" s="540">
        <f t="shared" si="1"/>
        <v>-97.3</v>
      </c>
      <c r="H16" s="196">
        <v>10128.371999999999</v>
      </c>
      <c r="I16" s="448">
        <v>-872.71199999999999</v>
      </c>
      <c r="J16" s="534">
        <f t="shared" si="2"/>
        <v>-108.6</v>
      </c>
      <c r="K16" s="595"/>
      <c r="L16" s="595"/>
      <c r="M16" s="534" t="str">
        <f t="shared" si="3"/>
        <v xml:space="preserve">    ---- </v>
      </c>
      <c r="N16" s="664">
        <v>296</v>
      </c>
      <c r="O16" s="448">
        <v>-49.911000000000001</v>
      </c>
      <c r="P16" s="534">
        <f t="shared" si="4"/>
        <v>-116.9</v>
      </c>
      <c r="Q16" s="196">
        <v>2641.277</v>
      </c>
      <c r="R16" s="448">
        <v>437.17</v>
      </c>
      <c r="S16" s="533">
        <f t="shared" si="5"/>
        <v>-83.4</v>
      </c>
      <c r="T16" s="655"/>
      <c r="U16" s="593"/>
      <c r="V16" s="540"/>
      <c r="W16" s="196">
        <v>178.04810983000002</v>
      </c>
      <c r="X16" s="448">
        <v>-0.71734605000000007</v>
      </c>
      <c r="Y16" s="540">
        <f t="shared" si="6"/>
        <v>-100.4</v>
      </c>
      <c r="Z16" s="196">
        <v>6510</v>
      </c>
      <c r="AA16" s="448">
        <v>803</v>
      </c>
      <c r="AB16" s="534">
        <f t="shared" si="7"/>
        <v>-87.7</v>
      </c>
      <c r="AC16" s="196"/>
      <c r="AD16" s="448"/>
      <c r="AE16" s="534"/>
      <c r="AF16" s="655">
        <v>280</v>
      </c>
      <c r="AG16" s="595">
        <v>167.7283042</v>
      </c>
      <c r="AH16" s="534">
        <f t="shared" si="9"/>
        <v>-40.1</v>
      </c>
      <c r="AI16" s="669">
        <v>2888.4494457100004</v>
      </c>
      <c r="AJ16" s="539">
        <v>113.21726035000034</v>
      </c>
      <c r="AK16" s="534">
        <f t="shared" si="10"/>
        <v>-96.1</v>
      </c>
      <c r="AL16" s="196">
        <v>9726</v>
      </c>
      <c r="AM16" s="448">
        <v>1563</v>
      </c>
      <c r="AN16" s="534">
        <f t="shared" si="11"/>
        <v>-83.9</v>
      </c>
      <c r="AO16" s="534">
        <f t="shared" si="12"/>
        <v>34544.771555539999</v>
      </c>
      <c r="AP16" s="534">
        <f t="shared" si="12"/>
        <v>2346.0659143000003</v>
      </c>
      <c r="AQ16" s="534">
        <f t="shared" si="13"/>
        <v>-93.2</v>
      </c>
      <c r="AR16" s="537">
        <f t="shared" si="14"/>
        <v>34824.771555539999</v>
      </c>
      <c r="AS16" s="537">
        <f t="shared" si="14"/>
        <v>2513.7942185000002</v>
      </c>
      <c r="AT16" s="534">
        <f t="shared" si="15"/>
        <v>-92.8</v>
      </c>
    </row>
    <row r="17" spans="1:46" s="510" customFormat="1" ht="18.75" customHeight="1" x14ac:dyDescent="0.3">
      <c r="A17" s="532" t="s">
        <v>299</v>
      </c>
      <c r="B17" s="196"/>
      <c r="C17" s="448"/>
      <c r="D17" s="534"/>
      <c r="E17" s="196">
        <v>6.5</v>
      </c>
      <c r="F17" s="448">
        <v>10.8</v>
      </c>
      <c r="G17" s="534">
        <f t="shared" si="1"/>
        <v>66.2</v>
      </c>
      <c r="H17" s="196">
        <v>45.738999999999997</v>
      </c>
      <c r="I17" s="448">
        <v>-17.893999999999998</v>
      </c>
      <c r="J17" s="534">
        <f t="shared" si="2"/>
        <v>-139.1</v>
      </c>
      <c r="K17" s="595"/>
      <c r="L17" s="595">
        <v>9</v>
      </c>
      <c r="M17" s="534" t="str">
        <f t="shared" si="3"/>
        <v xml:space="preserve">    ---- </v>
      </c>
      <c r="N17" s="664">
        <v>10.4</v>
      </c>
      <c r="O17" s="448">
        <v>75.668999999999997</v>
      </c>
      <c r="P17" s="534">
        <f t="shared" si="4"/>
        <v>627.6</v>
      </c>
      <c r="Q17" s="196">
        <v>122.4</v>
      </c>
      <c r="R17" s="448">
        <v>133</v>
      </c>
      <c r="S17" s="534"/>
      <c r="T17" s="655"/>
      <c r="U17" s="593"/>
      <c r="V17" s="534"/>
      <c r="W17" s="196">
        <v>830.27711499999998</v>
      </c>
      <c r="X17" s="448">
        <v>886.69994199999996</v>
      </c>
      <c r="Y17" s="534">
        <f t="shared" si="6"/>
        <v>6.8</v>
      </c>
      <c r="Z17" s="196">
        <v>126</v>
      </c>
      <c r="AA17" s="448">
        <v>153</v>
      </c>
      <c r="AB17" s="534">
        <f t="shared" si="7"/>
        <v>21.4</v>
      </c>
      <c r="AC17" s="196">
        <v>153</v>
      </c>
      <c r="AD17" s="448">
        <v>149</v>
      </c>
      <c r="AE17" s="534">
        <f t="shared" si="8"/>
        <v>-2.6</v>
      </c>
      <c r="AF17" s="655"/>
      <c r="AG17" s="593"/>
      <c r="AH17" s="534"/>
      <c r="AI17" s="669">
        <v>162.42581912</v>
      </c>
      <c r="AJ17" s="539">
        <v>175.41353477000001</v>
      </c>
      <c r="AK17" s="534">
        <f t="shared" si="10"/>
        <v>8</v>
      </c>
      <c r="AL17" s="196">
        <v>583</v>
      </c>
      <c r="AM17" s="448">
        <v>594</v>
      </c>
      <c r="AN17" s="534">
        <f t="shared" si="11"/>
        <v>1.9</v>
      </c>
      <c r="AO17" s="534">
        <f t="shared" si="12"/>
        <v>2039.74193412</v>
      </c>
      <c r="AP17" s="534">
        <f t="shared" si="12"/>
        <v>2168.6884767700003</v>
      </c>
      <c r="AQ17" s="534">
        <f t="shared" si="13"/>
        <v>6.3</v>
      </c>
      <c r="AR17" s="537">
        <f t="shared" si="14"/>
        <v>2039.74193412</v>
      </c>
      <c r="AS17" s="537">
        <f t="shared" si="14"/>
        <v>2168.6884767700003</v>
      </c>
      <c r="AT17" s="534">
        <f t="shared" si="15"/>
        <v>6.3</v>
      </c>
    </row>
    <row r="18" spans="1:46" s="510" customFormat="1" ht="18.75" customHeight="1" x14ac:dyDescent="0.3">
      <c r="A18" s="532" t="s">
        <v>300</v>
      </c>
      <c r="B18" s="196"/>
      <c r="C18" s="448"/>
      <c r="D18" s="534"/>
      <c r="E18" s="196"/>
      <c r="F18" s="448"/>
      <c r="G18" s="534"/>
      <c r="H18" s="196"/>
      <c r="I18" s="448"/>
      <c r="J18" s="534"/>
      <c r="K18" s="595"/>
      <c r="L18" s="595"/>
      <c r="M18" s="534"/>
      <c r="N18" s="664"/>
      <c r="O18" s="448"/>
      <c r="P18" s="534"/>
      <c r="Q18" s="196"/>
      <c r="R18" s="448"/>
      <c r="S18" s="533"/>
      <c r="T18" s="655"/>
      <c r="U18" s="593"/>
      <c r="V18" s="534"/>
      <c r="W18" s="196"/>
      <c r="X18" s="448"/>
      <c r="Y18" s="534"/>
      <c r="Z18" s="672"/>
      <c r="AA18" s="541"/>
      <c r="AB18" s="534"/>
      <c r="AC18" s="196"/>
      <c r="AD18" s="448"/>
      <c r="AE18" s="534"/>
      <c r="AF18" s="655"/>
      <c r="AG18" s="593"/>
      <c r="AH18" s="534"/>
      <c r="AI18" s="669"/>
      <c r="AJ18" s="539"/>
      <c r="AK18" s="534"/>
      <c r="AL18" s="196"/>
      <c r="AM18" s="448"/>
      <c r="AN18" s="534"/>
      <c r="AO18" s="534"/>
      <c r="AP18" s="534"/>
      <c r="AQ18" s="534"/>
      <c r="AR18" s="542"/>
      <c r="AS18" s="542"/>
      <c r="AT18" s="536"/>
    </row>
    <row r="19" spans="1:46" s="510" customFormat="1" ht="18.75" customHeight="1" x14ac:dyDescent="0.3">
      <c r="A19" s="532" t="s">
        <v>301</v>
      </c>
      <c r="B19" s="618">
        <f>-581.827+33.877</f>
        <v>-547.95000000000005</v>
      </c>
      <c r="C19" s="437">
        <f>-607.703+33.625</f>
        <v>-574.07799999999997</v>
      </c>
      <c r="D19" s="534">
        <f>IF(B19=0, "    ---- ", IF(ABS(ROUND(100/B19*C19-100,1))&lt;999,ROUND(100/B19*C19-100,1),IF(ROUND(100/B19*C19-100,1)&gt;999,999,-999)))</f>
        <v>4.8</v>
      </c>
      <c r="E19" s="618">
        <v>-67</v>
      </c>
      <c r="F19" s="437">
        <v>-75.3</v>
      </c>
      <c r="G19" s="534">
        <f t="shared" si="1"/>
        <v>12.4</v>
      </c>
      <c r="H19" s="618">
        <v>-10429.901</v>
      </c>
      <c r="I19" s="437">
        <v>-10563.501</v>
      </c>
      <c r="J19" s="534">
        <f>IF(H19=0, "    ---- ", IF(ABS(ROUND(100/H19*I19-100,1))&lt;999,ROUND(100/H19*I19-100,1),IF(ROUND(100/H19*I19-100,1)&gt;999,999,-999)))</f>
        <v>1.3</v>
      </c>
      <c r="K19" s="437"/>
      <c r="L19" s="437">
        <v>-1093</v>
      </c>
      <c r="M19" s="534" t="str">
        <f>IF(K19=0, "    ---- ", IF(ABS(ROUND(100/K19*L19-100,1))&lt;999,ROUND(100/K19*L19-100,1),IF(ROUND(100/K19*L19-100,1)&gt;999,999,-999)))</f>
        <v xml:space="preserve">    ---- </v>
      </c>
      <c r="N19" s="618">
        <v>-111.2</v>
      </c>
      <c r="O19" s="437">
        <v>-108.334</v>
      </c>
      <c r="P19" s="534">
        <f>IF(N19=0, "    ---- ", IF(ABS(ROUND(100/N19*O19-100,1))&lt;999,ROUND(100/N19*O19-100,1),IF(ROUND(100/N19*O19-100,1)&gt;999,999,-999)))</f>
        <v>-2.6</v>
      </c>
      <c r="Q19" s="618">
        <v>-459.61</v>
      </c>
      <c r="R19" s="437">
        <f>-473.61+5.39</f>
        <v>-468.22</v>
      </c>
      <c r="S19" s="534">
        <f>IF(Q19=0, "    ---- ", IF(ABS(ROUND(100/Q19*R19-100,1))&lt;999,ROUND(100/Q19*R19-100,1),IF(ROUND(100/Q19*R19-100,1)&gt;999,999,-999)))</f>
        <v>1.9</v>
      </c>
      <c r="T19" s="618">
        <v>-13.242918</v>
      </c>
      <c r="U19" s="437">
        <v>-14.993433</v>
      </c>
      <c r="V19" s="534">
        <f>IF(T19=0, "    ---- ", IF(ABS(ROUND(100/T19*U19-100,1))&lt;999,ROUND(100/T19*U19-100,1),IF(ROUND(100/T19*U19-100,1)&gt;999,999,-999)))</f>
        <v>13.2</v>
      </c>
      <c r="W19" s="618">
        <v>-14788.338514999999</v>
      </c>
      <c r="X19" s="437">
        <v>-15345.527322</v>
      </c>
      <c r="Y19" s="534">
        <f>IF(W19=0, "    ---- ", IF(ABS(ROUND(100/W19*X19-100,1))&lt;999,ROUND(100/W19*X19-100,1),IF(ROUND(100/W19*X19-100,1)&gt;999,999,-999)))</f>
        <v>3.8</v>
      </c>
      <c r="Z19" s="618">
        <v>-4207</v>
      </c>
      <c r="AA19" s="437">
        <v>-5927</v>
      </c>
      <c r="AB19" s="534">
        <f>IF(Z19=0, "    ---- ", IF(ABS(ROUND(100/Z19*AA19-100,1))&lt;999,ROUND(100/Z19*AA19-100,1),IF(ROUND(100/Z19*AA19-100,1)&gt;999,999,-999)))</f>
        <v>40.9</v>
      </c>
      <c r="AC19" s="618">
        <v>-2228</v>
      </c>
      <c r="AD19" s="437">
        <v>-2351</v>
      </c>
      <c r="AE19" s="534">
        <f>IF(AC19=0, "    ---- ", IF(ABS(ROUND(100/AC19*AD19-100,1))&lt;999,ROUND(100/AC19*AD19-100,1),IF(ROUND(100/AC19*AD19-100,1)&gt;999,999,-999)))</f>
        <v>5.5</v>
      </c>
      <c r="AF19" s="618">
        <v>-139.7756583</v>
      </c>
      <c r="AG19" s="437">
        <v>-153.73549273</v>
      </c>
      <c r="AH19" s="534">
        <f>IF(AF19=0, "    ---- ", IF(ABS(ROUND(100/AF19*AG19-100,1))&lt;999,ROUND(100/AF19*AG19-100,1),IF(ROUND(100/AF19*AG19-100,1)&gt;999,999,-999)))</f>
        <v>10</v>
      </c>
      <c r="AI19" s="670">
        <v>-1787.23499855</v>
      </c>
      <c r="AJ19" s="543">
        <v>-1158.6792028999998</v>
      </c>
      <c r="AK19" s="534">
        <f>IF(AI19=0, "    ---- ", IF(ABS(ROUND(100/AI19*AJ19-100,1))&lt;999,ROUND(100/AI19*AJ19-100,1),IF(ROUND(100/AI19*AJ19-100,1)&gt;999,999,-999)))</f>
        <v>-35.200000000000003</v>
      </c>
      <c r="AL19" s="618">
        <f>-9300+7</f>
        <v>-9293</v>
      </c>
      <c r="AM19" s="437">
        <f>-9354+4</f>
        <v>-9350</v>
      </c>
      <c r="AN19" s="534">
        <f>IF(AL19=0, "    ---- ", IF(ABS(ROUND(100/AL19*AM19-100,1))&lt;999,ROUND(100/AL19*AM19-100,1),IF(ROUND(100/AL19*AM19-100,1)&gt;999,999,-999)))</f>
        <v>0.6</v>
      </c>
      <c r="AO19" s="534">
        <f t="shared" ref="AO19:AP21" si="16">B19+H19+K19+N19+Q19+W19+E19+Z19+AC19+AI19+AL19</f>
        <v>-43919.23451355</v>
      </c>
      <c r="AP19" s="534">
        <f t="shared" si="16"/>
        <v>-47014.639524899998</v>
      </c>
      <c r="AQ19" s="534">
        <f t="shared" si="13"/>
        <v>7</v>
      </c>
      <c r="AR19" s="537">
        <f t="shared" ref="AR19:AS21" si="17">+B19+H19+K19+N19+Q19+T19+W19+E19+Z19+AC19+AF19+AI19+AL19</f>
        <v>-44072.253089849997</v>
      </c>
      <c r="AS19" s="537">
        <f t="shared" si="17"/>
        <v>-47183.368450629991</v>
      </c>
      <c r="AT19" s="534">
        <f>IF(AR19=0, "    ---- ", IF(ABS(ROUND(100/AR19*AS19-100,1))&lt;999,ROUND(100/AR19*AS19-100,1),IF(ROUND(100/AR19*AS19-100,1)&gt;999,999,-999)))</f>
        <v>7.1</v>
      </c>
    </row>
    <row r="20" spans="1:46" s="510" customFormat="1" ht="18.75" customHeight="1" x14ac:dyDescent="0.3">
      <c r="A20" s="532" t="s">
        <v>363</v>
      </c>
      <c r="B20" s="619">
        <v>-544.41800000000001</v>
      </c>
      <c r="C20" s="338">
        <v>-518.29200000000003</v>
      </c>
      <c r="D20" s="534">
        <f>IF(B20=0, "    ---- ", IF(ABS(ROUND(100/B20*C20-100,1))&lt;999,ROUND(100/B20*C20-100,1),IF(ROUND(100/B20*C20-100,1)&gt;999,999,-999)))</f>
        <v>-4.8</v>
      </c>
      <c r="E20" s="619">
        <v>-91.8</v>
      </c>
      <c r="F20" s="338">
        <v>-97.9</v>
      </c>
      <c r="G20" s="534">
        <f t="shared" si="1"/>
        <v>6.6</v>
      </c>
      <c r="H20" s="619">
        <v>-2903.377</v>
      </c>
      <c r="I20" s="338">
        <v>-5884.3549999999996</v>
      </c>
      <c r="J20" s="534">
        <f>IF(H20=0, "    ---- ", IF(ABS(ROUND(100/H20*I20-100,1))&lt;999,ROUND(100/H20*I20-100,1),IF(ROUND(100/H20*I20-100,1)&gt;999,999,-999)))</f>
        <v>102.7</v>
      </c>
      <c r="K20" s="338"/>
      <c r="L20" s="338">
        <v>114</v>
      </c>
      <c r="M20" s="534" t="str">
        <f>IF(K20=0, "    ---- ", IF(ABS(ROUND(100/K20*L20-100,1))&lt;999,ROUND(100/K20*L20-100,1),IF(ROUND(100/K20*L20-100,1)&gt;999,999,-999)))</f>
        <v xml:space="preserve">    ---- </v>
      </c>
      <c r="N20" s="619">
        <v>-77.400000000000006</v>
      </c>
      <c r="O20" s="338">
        <v>-103.054</v>
      </c>
      <c r="P20" s="534">
        <f>IF(N20=0, "    ---- ", IF(ABS(ROUND(100/N20*O20-100,1))&lt;999,ROUND(100/N20*O20-100,1),IF(ROUND(100/N20*O20-100,1)&gt;999,999,-999)))</f>
        <v>33.1</v>
      </c>
      <c r="Q20" s="619">
        <v>-1849.498</v>
      </c>
      <c r="R20" s="338">
        <v>-2402.5</v>
      </c>
      <c r="S20" s="534">
        <f>IF(Q20=0, "    ---- ", IF(ABS(ROUND(100/Q20*R20-100,1))&lt;999,ROUND(100/Q20*R20-100,1),IF(ROUND(100/Q20*R20-100,1)&gt;999,999,-999)))</f>
        <v>29.9</v>
      </c>
      <c r="T20" s="619"/>
      <c r="U20" s="338"/>
      <c r="V20" s="534"/>
      <c r="W20" s="619">
        <v>-288.21158800000001</v>
      </c>
      <c r="X20" s="338">
        <v>-7667.30602</v>
      </c>
      <c r="Y20" s="534">
        <f>IF(W20=0, "    ---- ", IF(ABS(ROUND(100/W20*X20-100,1))&lt;999,ROUND(100/W20*X20-100,1),IF(ROUND(100/W20*X20-100,1)&gt;999,999,-999)))</f>
        <v>999</v>
      </c>
      <c r="Z20" s="671">
        <v>-1539</v>
      </c>
      <c r="AA20" s="544">
        <v>-1765</v>
      </c>
      <c r="AB20" s="534">
        <f>IF(Z20=0, "    ---- ", IF(ABS(ROUND(100/Z20*AA20-100,1))&lt;999,ROUND(100/Z20*AA20-100,1),IF(ROUND(100/Z20*AA20-100,1)&gt;999,999,-999)))</f>
        <v>14.7</v>
      </c>
      <c r="AC20" s="671"/>
      <c r="AD20" s="544">
        <v>-41</v>
      </c>
      <c r="AE20" s="534"/>
      <c r="AF20" s="619">
        <v>-11.93893301</v>
      </c>
      <c r="AG20" s="338">
        <v>-13.678045600000001</v>
      </c>
      <c r="AH20" s="534">
        <f>IF(AF20=0, "    ---- ", IF(ABS(ROUND(100/AF20*AG20-100,1))&lt;999,ROUND(100/AF20*AG20-100,1),IF(ROUND(100/AF20*AG20-100,1)&gt;999,999,-999)))</f>
        <v>14.6</v>
      </c>
      <c r="AI20" s="671">
        <v>-794.80942468000012</v>
      </c>
      <c r="AJ20" s="544">
        <v>-672.03687275999994</v>
      </c>
      <c r="AK20" s="534">
        <f>IF(AI20=0, "    ---- ", IF(ABS(ROUND(100/AI20*AJ20-100,1))&lt;999,ROUND(100/AI20*AJ20-100,1),IF(ROUND(100/AI20*AJ20-100,1)&gt;999,999,-999)))</f>
        <v>-15.4</v>
      </c>
      <c r="AL20" s="619">
        <v>-3892</v>
      </c>
      <c r="AM20" s="338">
        <v>-4228</v>
      </c>
      <c r="AN20" s="534">
        <f>IF(AL20=0, "    ---- ", IF(ABS(ROUND(100/AL20*AM20-100,1))&lt;999,ROUND(100/AL20*AM20-100,1),IF(ROUND(100/AL20*AM20-100,1)&gt;999,999,-999)))</f>
        <v>8.6</v>
      </c>
      <c r="AO20" s="534">
        <f t="shared" si="16"/>
        <v>-11980.51401268</v>
      </c>
      <c r="AP20" s="534">
        <f t="shared" si="16"/>
        <v>-23265.443892760002</v>
      </c>
      <c r="AQ20" s="534">
        <f t="shared" si="13"/>
        <v>94.2</v>
      </c>
      <c r="AR20" s="537">
        <f t="shared" si="17"/>
        <v>-11992.452945690002</v>
      </c>
      <c r="AS20" s="537">
        <f t="shared" si="17"/>
        <v>-23279.121938360004</v>
      </c>
      <c r="AT20" s="534">
        <f>IF(AR20=0, "    ---- ", IF(ABS(ROUND(100/AR20*AS20-100,1))&lt;999,ROUND(100/AR20*AS20-100,1),IF(ROUND(100/AR20*AS20-100,1)&gt;999,999,-999)))</f>
        <v>94.1</v>
      </c>
    </row>
    <row r="21" spans="1:46" s="510" customFormat="1" ht="18.75" customHeight="1" x14ac:dyDescent="0.3">
      <c r="A21" s="532" t="s">
        <v>302</v>
      </c>
      <c r="B21" s="618">
        <f>SUM(B19:B20)</f>
        <v>-1092.3679999999999</v>
      </c>
      <c r="C21" s="437">
        <f>SUM(C19:C20)</f>
        <v>-1092.3699999999999</v>
      </c>
      <c r="D21" s="534">
        <f>IF(B21=0, "    ---- ", IF(ABS(ROUND(100/B21*C21-100,1))&lt;999,ROUND(100/B21*C21-100,1),IF(ROUND(100/B21*C21-100,1)&gt;999,999,-999)))</f>
        <v>0</v>
      </c>
      <c r="E21" s="618">
        <f>SUM(E19:E20)</f>
        <v>-158.80000000000001</v>
      </c>
      <c r="F21" s="437">
        <f>SUM(F19:F20)</f>
        <v>-173.2</v>
      </c>
      <c r="G21" s="534">
        <f t="shared" si="1"/>
        <v>9.1</v>
      </c>
      <c r="H21" s="618">
        <f>SUM(H19:H20)</f>
        <v>-13333.278</v>
      </c>
      <c r="I21" s="437">
        <f>SUM(I19:I20)</f>
        <v>-16447.856</v>
      </c>
      <c r="J21" s="534">
        <f>IF(H21=0, "    ---- ", IF(ABS(ROUND(100/H21*I21-100,1))&lt;999,ROUND(100/H21*I21-100,1),IF(ROUND(100/H21*I21-100,1)&gt;999,999,-999)))</f>
        <v>23.4</v>
      </c>
      <c r="K21" s="437"/>
      <c r="L21" s="437">
        <f>SUM(L19:L20)</f>
        <v>-979</v>
      </c>
      <c r="M21" s="534" t="str">
        <f>IF(K21=0, "    ---- ", IF(ABS(ROUND(100/K21*L21-100,1))&lt;999,ROUND(100/K21*L21-100,1),IF(ROUND(100/K21*L21-100,1)&gt;999,999,-999)))</f>
        <v xml:space="preserve">    ---- </v>
      </c>
      <c r="N21" s="618">
        <f>SUM(N19:N20)</f>
        <v>-188.60000000000002</v>
      </c>
      <c r="O21" s="437">
        <f>SUM(O19:O20)</f>
        <v>-211.38800000000001</v>
      </c>
      <c r="P21" s="534">
        <f>IF(N21=0, "    ---- ", IF(ABS(ROUND(100/N21*O21-100,1))&lt;999,ROUND(100/N21*O21-100,1),IF(ROUND(100/N21*O21-100,1)&gt;999,999,-999)))</f>
        <v>12.1</v>
      </c>
      <c r="Q21" s="618">
        <f>SUM(Q19:Q20)</f>
        <v>-2309.1080000000002</v>
      </c>
      <c r="R21" s="437">
        <f>SUM(R19:R20)</f>
        <v>-2870.7200000000003</v>
      </c>
      <c r="S21" s="534">
        <f>IF(Q21=0, "    ---- ", IF(ABS(ROUND(100/Q21*R21-100,1))&lt;999,ROUND(100/Q21*R21-100,1),IF(ROUND(100/Q21*R21-100,1)&gt;999,999,-999)))</f>
        <v>24.3</v>
      </c>
      <c r="T21" s="618">
        <f>SUM(T19:T20)</f>
        <v>-13.242918</v>
      </c>
      <c r="U21" s="437">
        <f>SUM(U19:U20)</f>
        <v>-14.993433</v>
      </c>
      <c r="V21" s="534">
        <f>IF(T21=0, "    ---- ", IF(ABS(ROUND(100/T21*U21-100,1))&lt;999,ROUND(100/T21*U21-100,1),IF(ROUND(100/T21*U21-100,1)&gt;999,999,-999)))</f>
        <v>13.2</v>
      </c>
      <c r="W21" s="618">
        <v>-15076.550103</v>
      </c>
      <c r="X21" s="437">
        <v>-23012.833341999998</v>
      </c>
      <c r="Y21" s="534">
        <f>IF(W21=0, "    ---- ", IF(ABS(ROUND(100/W21*X21-100,1))&lt;999,ROUND(100/W21*X21-100,1),IF(ROUND(100/W21*X21-100,1)&gt;999,999,-999)))</f>
        <v>52.6</v>
      </c>
      <c r="Z21" s="618">
        <f>SUM(Z19:Z20)</f>
        <v>-5746</v>
      </c>
      <c r="AA21" s="437">
        <f>SUM(AA19:AA20)</f>
        <v>-7692</v>
      </c>
      <c r="AB21" s="534">
        <f>IF(Z21=0, "    ---- ", IF(ABS(ROUND(100/Z21*AA21-100,1))&lt;999,ROUND(100/Z21*AA21-100,1),IF(ROUND(100/Z21*AA21-100,1)&gt;999,999,-999)))</f>
        <v>33.9</v>
      </c>
      <c r="AC21" s="618">
        <f>SUM(AC19:AC20)</f>
        <v>-2228</v>
      </c>
      <c r="AD21" s="437">
        <f>SUM(AD19:AD20)</f>
        <v>-2392</v>
      </c>
      <c r="AE21" s="534">
        <f>IF(AC21=0, "    ---- ", IF(ABS(ROUND(100/AC21*AD21-100,1))&lt;999,ROUND(100/AC21*AD21-100,1),IF(ROUND(100/AC21*AD21-100,1)&gt;999,999,-999)))</f>
        <v>7.4</v>
      </c>
      <c r="AF21" s="618">
        <f>SUM(AF19:AF20)</f>
        <v>-151.71459131</v>
      </c>
      <c r="AG21" s="437">
        <f>SUM(AG19:AG20)</f>
        <v>-167.41353832999999</v>
      </c>
      <c r="AH21" s="534">
        <f>IF(AF21=0, "    ---- ", IF(ABS(ROUND(100/AF21*AG21-100,1))&lt;999,ROUND(100/AF21*AG21-100,1),IF(ROUND(100/AF21*AG21-100,1)&gt;999,999,-999)))</f>
        <v>10.3</v>
      </c>
      <c r="AI21" s="618">
        <f>SUM(AI19:AI20)</f>
        <v>-2582.0444232300001</v>
      </c>
      <c r="AJ21" s="437">
        <f>SUM(AJ19:AJ20)</f>
        <v>-1830.7160756599997</v>
      </c>
      <c r="AK21" s="534">
        <f>IF(AI21=0, "    ---- ", IF(ABS(ROUND(100/AI21*AJ21-100,1))&lt;999,ROUND(100/AI21*AJ21-100,1),IF(ROUND(100/AI21*AJ21-100,1)&gt;999,999,-999)))</f>
        <v>-29.1</v>
      </c>
      <c r="AL21" s="618">
        <f>SUM(AL19:AL20)</f>
        <v>-13185</v>
      </c>
      <c r="AM21" s="437">
        <f>SUM(AM19:AM20)</f>
        <v>-13578</v>
      </c>
      <c r="AN21" s="534">
        <f>IF(AL21=0, "    ---- ", IF(ABS(ROUND(100/AL21*AM21-100,1))&lt;999,ROUND(100/AL21*AM21-100,1),IF(ROUND(100/AL21*AM21-100,1)&gt;999,999,-999)))</f>
        <v>3</v>
      </c>
      <c r="AO21" s="534">
        <f t="shared" si="16"/>
        <v>-55899.748526229996</v>
      </c>
      <c r="AP21" s="534">
        <f t="shared" si="16"/>
        <v>-70280.083417660004</v>
      </c>
      <c r="AQ21" s="534">
        <f t="shared" si="13"/>
        <v>25.7</v>
      </c>
      <c r="AR21" s="537">
        <f t="shared" si="17"/>
        <v>-56064.706035540003</v>
      </c>
      <c r="AS21" s="537">
        <f t="shared" si="17"/>
        <v>-70462.490388990002</v>
      </c>
      <c r="AT21" s="534">
        <f>IF(AR21=0, "    ---- ", IF(ABS(ROUND(100/AR21*AS21-100,1))&lt;999,ROUND(100/AR21*AS21-100,1),IF(ROUND(100/AR21*AS21-100,1)&gt;999,999,-999)))</f>
        <v>25.7</v>
      </c>
    </row>
    <row r="22" spans="1:46" s="510" customFormat="1" ht="18.75" customHeight="1" x14ac:dyDescent="0.3">
      <c r="A22" s="532" t="s">
        <v>303</v>
      </c>
      <c r="B22" s="196"/>
      <c r="C22" s="448"/>
      <c r="D22" s="534"/>
      <c r="E22" s="655"/>
      <c r="F22" s="593"/>
      <c r="G22" s="534"/>
      <c r="H22" s="196"/>
      <c r="I22" s="448"/>
      <c r="J22" s="534"/>
      <c r="K22" s="593"/>
      <c r="L22" s="593"/>
      <c r="M22" s="534"/>
      <c r="N22" s="655"/>
      <c r="O22" s="448"/>
      <c r="P22" s="534"/>
      <c r="Q22" s="196"/>
      <c r="R22" s="448"/>
      <c r="S22" s="534"/>
      <c r="T22" s="655"/>
      <c r="U22" s="593"/>
      <c r="V22" s="534"/>
      <c r="W22" s="196"/>
      <c r="X22" s="448"/>
      <c r="Y22" s="534"/>
      <c r="Z22" s="655"/>
      <c r="AA22" s="593"/>
      <c r="AB22" s="534"/>
      <c r="AC22" s="655"/>
      <c r="AD22" s="593"/>
      <c r="AE22" s="534"/>
      <c r="AF22" s="655"/>
      <c r="AG22" s="593"/>
      <c r="AH22" s="534"/>
      <c r="AI22" s="655"/>
      <c r="AJ22" s="593"/>
      <c r="AK22" s="534"/>
      <c r="AL22" s="196"/>
      <c r="AM22" s="448"/>
      <c r="AN22" s="534"/>
      <c r="AO22" s="534"/>
      <c r="AP22" s="534"/>
      <c r="AQ22" s="534"/>
      <c r="AR22" s="534"/>
      <c r="AS22" s="534"/>
      <c r="AT22" s="534"/>
    </row>
    <row r="23" spans="1:46" s="510" customFormat="1" ht="18.75" customHeight="1" x14ac:dyDescent="0.3">
      <c r="A23" s="532" t="s">
        <v>304</v>
      </c>
      <c r="B23" s="619">
        <f>16.789-3.73</f>
        <v>13.059000000000001</v>
      </c>
      <c r="C23" s="338">
        <f>-84.824+14.817</f>
        <v>-70.007000000000005</v>
      </c>
      <c r="D23" s="534">
        <f t="shared" ref="D23:D29" si="18">IF(B23=0, "    ---- ", IF(ABS(ROUND(100/B23*C23-100,1))&lt;999,ROUND(100/B23*C23-100,1),IF(ROUND(100/B23*C23-100,1)&gt;999,999,-999)))</f>
        <v>-636.1</v>
      </c>
      <c r="E23" s="619">
        <v>-39.4</v>
      </c>
      <c r="F23" s="338">
        <v>-61.9</v>
      </c>
      <c r="G23" s="534">
        <f t="shared" si="1"/>
        <v>57.1</v>
      </c>
      <c r="H23" s="619">
        <v>2005.125</v>
      </c>
      <c r="I23" s="338">
        <v>3318.8820000000001</v>
      </c>
      <c r="J23" s="534">
        <f t="shared" ref="J23:J29" si="19">IF(H23=0, "    ---- ", IF(ABS(ROUND(100/H23*I23-100,1))&lt;999,ROUND(100/H23*I23-100,1),IF(ROUND(100/H23*I23-100,1)&gt;999,999,-999)))</f>
        <v>65.5</v>
      </c>
      <c r="K23" s="338"/>
      <c r="L23" s="338">
        <v>-770</v>
      </c>
      <c r="M23" s="534" t="str">
        <f>IF(K23=0, "    ---- ", IF(ABS(ROUND(100/K23*L23-100,1))&lt;999,ROUND(100/K23*L23-100,1),IF(ROUND(100/K23*L23-100,1)&gt;999,999,-999)))</f>
        <v xml:space="preserve">    ---- </v>
      </c>
      <c r="N23" s="619">
        <v>-230.4</v>
      </c>
      <c r="O23" s="338">
        <v>-241.41200000000001</v>
      </c>
      <c r="P23" s="534">
        <f>IF(N23=0, "    ---- ", IF(ABS(ROUND(100/N23*O23-100,1))&lt;999,ROUND(100/N23*O23-100,1),IF(ROUND(100/N23*O23-100,1)&gt;999,999,-999)))</f>
        <v>4.8</v>
      </c>
      <c r="Q23" s="619">
        <v>-373.137</v>
      </c>
      <c r="R23" s="338">
        <f>-329.42+50.43</f>
        <v>-278.99</v>
      </c>
      <c r="S23" s="534">
        <f t="shared" ref="S23:S31" si="20">IF(Q23=0, "    ---- ", IF(ABS(ROUND(100/Q23*R23-100,1))&lt;999,ROUND(100/Q23*R23-100,1),IF(ROUND(100/Q23*R23-100,1)&gt;999,999,-999)))</f>
        <v>-25.2</v>
      </c>
      <c r="T23" s="619">
        <v>-5.3086270000000004</v>
      </c>
      <c r="U23" s="338">
        <v>5.4304032099999997</v>
      </c>
      <c r="V23" s="534"/>
      <c r="W23" s="619">
        <v>-22950.562556950001</v>
      </c>
      <c r="X23" s="338">
        <v>-14246.86870207</v>
      </c>
      <c r="Y23" s="534">
        <f t="shared" ref="Y23:Y30" si="21">IF(W23=0, "    ---- ", IF(ABS(ROUND(100/W23*X23-100,1))&lt;999,ROUND(100/W23*X23-100,1),IF(ROUND(100/W23*X23-100,1)&gt;999,999,-999)))</f>
        <v>-37.9</v>
      </c>
      <c r="Z23" s="619">
        <v>-203</v>
      </c>
      <c r="AA23" s="338">
        <v>-262</v>
      </c>
      <c r="AB23" s="534">
        <f t="shared" ref="AB23:AB29" si="22">IF(Z23=0, "    ---- ", IF(ABS(ROUND(100/Z23*AA23-100,1))&lt;999,ROUND(100/Z23*AA23-100,1),IF(ROUND(100/Z23*AA23-100,1)&gt;999,999,-999)))</f>
        <v>29.1</v>
      </c>
      <c r="AC23" s="619">
        <v>-3195</v>
      </c>
      <c r="AD23" s="338">
        <v>-1055</v>
      </c>
      <c r="AE23" s="534">
        <f t="shared" ref="AE23:AE29" si="23">IF(AC23=0, "    ---- ", IF(ABS(ROUND(100/AC23*AD23-100,1))&lt;999,ROUND(100/AC23*AD23-100,1),IF(ROUND(100/AC23*AD23-100,1)&gt;999,999,-999)))</f>
        <v>-67</v>
      </c>
      <c r="AF23" s="619"/>
      <c r="AG23" s="338"/>
      <c r="AH23" s="534"/>
      <c r="AI23" s="619">
        <v>-700.07325208000009</v>
      </c>
      <c r="AJ23" s="338">
        <v>-212.90619566999999</v>
      </c>
      <c r="AK23" s="534">
        <f t="shared" ref="AK23:AK29" si="24">IF(AI23=0, "    ---- ", IF(ABS(ROUND(100/AI23*AJ23-100,1))&lt;999,ROUND(100/AI23*AJ23-100,1),IF(ROUND(100/AI23*AJ23-100,1)&gt;999,999,-999)))</f>
        <v>-69.599999999999994</v>
      </c>
      <c r="AL23" s="619">
        <v>80</v>
      </c>
      <c r="AM23" s="338">
        <v>200</v>
      </c>
      <c r="AN23" s="534">
        <f t="shared" ref="AN23:AN29" si="25">IF(AL23=0, "    ---- ", IF(ABS(ROUND(100/AL23*AM23-100,1))&lt;999,ROUND(100/AL23*AM23-100,1),IF(ROUND(100/AL23*AM23-100,1)&gt;999,999,-999)))</f>
        <v>150</v>
      </c>
      <c r="AO23" s="534">
        <f t="shared" ref="AO23:AO34" si="26">B23+H23+K23+N23+Q23+W23+E23+Z23+AC23+AI23+AL23</f>
        <v>-25593.388809030002</v>
      </c>
      <c r="AP23" s="534">
        <f t="shared" ref="AP23:AP34" si="27">C23+I23+L23+O23+R23+X23+F23+AA23+AD23+AJ23+AM23</f>
        <v>-13680.20189774</v>
      </c>
      <c r="AQ23" s="534">
        <f t="shared" si="13"/>
        <v>-46.5</v>
      </c>
      <c r="AR23" s="534"/>
      <c r="AS23" s="534"/>
      <c r="AT23" s="534"/>
    </row>
    <row r="24" spans="1:46" s="510" customFormat="1" ht="18.75" customHeight="1" x14ac:dyDescent="0.3">
      <c r="A24" s="532" t="s">
        <v>305</v>
      </c>
      <c r="B24" s="619"/>
      <c r="C24" s="338"/>
      <c r="D24" s="534"/>
      <c r="E24" s="619">
        <v>0.1</v>
      </c>
      <c r="F24" s="338">
        <v>0</v>
      </c>
      <c r="G24" s="534">
        <f t="shared" si="1"/>
        <v>-100</v>
      </c>
      <c r="H24" s="619">
        <v>-10.609</v>
      </c>
      <c r="I24" s="338">
        <v>1.57</v>
      </c>
      <c r="J24" s="534">
        <f t="shared" si="19"/>
        <v>-114.8</v>
      </c>
      <c r="K24" s="338"/>
      <c r="L24" s="338">
        <v>0</v>
      </c>
      <c r="M24" s="534" t="str">
        <f>IF(K24=0, "    ---- ", IF(ABS(ROUND(100/K24*L24-100,1))&lt;999,ROUND(100/K24*L24-100,1),IF(ROUND(100/K24*L24-100,1)&gt;999,999,-999)))</f>
        <v xml:space="preserve">    ---- </v>
      </c>
      <c r="N24" s="619"/>
      <c r="O24" s="338"/>
      <c r="P24" s="534" t="str">
        <f>IF(N24=0, "    ---- ", IF(ABS(ROUND(100/N24*O24-100,1))&lt;999,ROUND(100/N24*O24-100,1),IF(ROUND(100/N24*O24-100,1)&gt;999,999,-999)))</f>
        <v xml:space="preserve">    ---- </v>
      </c>
      <c r="Q24" s="619">
        <v>-1.329</v>
      </c>
      <c r="R24" s="338">
        <v>-1.46</v>
      </c>
      <c r="S24" s="534">
        <f t="shared" si="20"/>
        <v>9.9</v>
      </c>
      <c r="T24" s="619"/>
      <c r="U24" s="338"/>
      <c r="V24" s="534"/>
      <c r="W24" s="619">
        <v>15.442897</v>
      </c>
      <c r="X24" s="338">
        <v>489.97288800000001</v>
      </c>
      <c r="Y24" s="534">
        <f t="shared" si="21"/>
        <v>999</v>
      </c>
      <c r="Z24" s="619">
        <v>49</v>
      </c>
      <c r="AA24" s="338">
        <v>49</v>
      </c>
      <c r="AB24" s="534">
        <f t="shared" si="22"/>
        <v>0</v>
      </c>
      <c r="AC24" s="619"/>
      <c r="AD24" s="338"/>
      <c r="AE24" s="534" t="str">
        <f t="shared" si="23"/>
        <v xml:space="preserve">    ---- </v>
      </c>
      <c r="AF24" s="619"/>
      <c r="AG24" s="338"/>
      <c r="AH24" s="534"/>
      <c r="AI24" s="619">
        <v>38.226318710000008</v>
      </c>
      <c r="AJ24" s="338">
        <v>176.69697060000007</v>
      </c>
      <c r="AK24" s="534">
        <f t="shared" si="24"/>
        <v>362.2</v>
      </c>
      <c r="AL24" s="619">
        <v>64</v>
      </c>
      <c r="AM24" s="338">
        <v>78</v>
      </c>
      <c r="AN24" s="534">
        <f t="shared" si="25"/>
        <v>21.9</v>
      </c>
      <c r="AO24" s="534">
        <f t="shared" si="26"/>
        <v>154.83121571000001</v>
      </c>
      <c r="AP24" s="534">
        <f t="shared" si="27"/>
        <v>793.77985860000013</v>
      </c>
      <c r="AQ24" s="534">
        <f t="shared" si="13"/>
        <v>412.7</v>
      </c>
      <c r="AR24" s="534"/>
      <c r="AS24" s="534"/>
      <c r="AT24" s="534"/>
    </row>
    <row r="25" spans="1:46" s="510" customFormat="1" ht="18.75" customHeight="1" x14ac:dyDescent="0.3">
      <c r="A25" s="532" t="s">
        <v>306</v>
      </c>
      <c r="B25" s="619">
        <v>-19.265999999999998</v>
      </c>
      <c r="C25" s="338">
        <v>-25.46</v>
      </c>
      <c r="D25" s="534">
        <f t="shared" si="18"/>
        <v>32.1</v>
      </c>
      <c r="E25" s="619">
        <v>-8.4</v>
      </c>
      <c r="F25" s="338">
        <v>0.6</v>
      </c>
      <c r="G25" s="534">
        <f t="shared" si="1"/>
        <v>-107.1</v>
      </c>
      <c r="H25" s="619">
        <v>-3245.6570000000002</v>
      </c>
      <c r="I25" s="338">
        <v>2264.88</v>
      </c>
      <c r="J25" s="534">
        <f t="shared" si="19"/>
        <v>-169.8</v>
      </c>
      <c r="K25" s="338"/>
      <c r="L25" s="338">
        <v>-23</v>
      </c>
      <c r="M25" s="534"/>
      <c r="N25" s="619">
        <v>-9.5</v>
      </c>
      <c r="O25" s="338">
        <v>2.98</v>
      </c>
      <c r="P25" s="534"/>
      <c r="Q25" s="619">
        <v>-16.536000000000001</v>
      </c>
      <c r="R25" s="338">
        <v>18.940000000000001</v>
      </c>
      <c r="S25" s="534">
        <f t="shared" si="20"/>
        <v>-214.5</v>
      </c>
      <c r="T25" s="619"/>
      <c r="U25" s="338"/>
      <c r="V25" s="534"/>
      <c r="W25" s="619">
        <v>-21036.712399</v>
      </c>
      <c r="X25" s="338">
        <v>8304.7692729999999</v>
      </c>
      <c r="Y25" s="534">
        <f t="shared" si="21"/>
        <v>-139.5</v>
      </c>
      <c r="Z25" s="619">
        <v>-918</v>
      </c>
      <c r="AA25" s="338">
        <v>-31</v>
      </c>
      <c r="AB25" s="534">
        <f t="shared" si="22"/>
        <v>-96.6</v>
      </c>
      <c r="AC25" s="619">
        <v>-4662</v>
      </c>
      <c r="AD25" s="338">
        <v>1090</v>
      </c>
      <c r="AE25" s="534">
        <f t="shared" si="23"/>
        <v>-123.4</v>
      </c>
      <c r="AF25" s="619"/>
      <c r="AG25" s="338"/>
      <c r="AH25" s="534"/>
      <c r="AI25" s="619">
        <v>-659.26707844000009</v>
      </c>
      <c r="AJ25" s="338">
        <v>-28.441718989999995</v>
      </c>
      <c r="AK25" s="534">
        <f t="shared" si="24"/>
        <v>-95.7</v>
      </c>
      <c r="AL25" s="619">
        <v>-3648</v>
      </c>
      <c r="AM25" s="338">
        <v>-2592</v>
      </c>
      <c r="AN25" s="534">
        <f t="shared" si="25"/>
        <v>-28.9</v>
      </c>
      <c r="AO25" s="534">
        <f t="shared" si="26"/>
        <v>-34223.338477440004</v>
      </c>
      <c r="AP25" s="534">
        <f t="shared" si="27"/>
        <v>8982.2675540100008</v>
      </c>
      <c r="AQ25" s="534">
        <f t="shared" si="13"/>
        <v>-126.2</v>
      </c>
      <c r="AR25" s="534"/>
      <c r="AS25" s="534"/>
      <c r="AT25" s="534"/>
    </row>
    <row r="26" spans="1:46" s="510" customFormat="1" ht="18.75" customHeight="1" x14ac:dyDescent="0.3">
      <c r="A26" s="532" t="s">
        <v>307</v>
      </c>
      <c r="B26" s="619"/>
      <c r="C26" s="338"/>
      <c r="D26" s="534"/>
      <c r="E26" s="619">
        <v>-0.4</v>
      </c>
      <c r="F26" s="338">
        <v>-0.3</v>
      </c>
      <c r="G26" s="534">
        <f t="shared" si="1"/>
        <v>-25</v>
      </c>
      <c r="H26" s="619">
        <v>-11.045999999999999</v>
      </c>
      <c r="I26" s="338">
        <v>-9.4939999999999998</v>
      </c>
      <c r="J26" s="534">
        <f t="shared" si="19"/>
        <v>-14.1</v>
      </c>
      <c r="K26" s="338"/>
      <c r="L26" s="338">
        <v>0</v>
      </c>
      <c r="M26" s="534"/>
      <c r="N26" s="619"/>
      <c r="O26" s="338"/>
      <c r="P26" s="534"/>
      <c r="Q26" s="619">
        <v>1.5629999999999999</v>
      </c>
      <c r="R26" s="338">
        <v>1.98</v>
      </c>
      <c r="S26" s="534"/>
      <c r="T26" s="619"/>
      <c r="U26" s="338"/>
      <c r="V26" s="534"/>
      <c r="W26" s="619">
        <v>-173.12967499999999</v>
      </c>
      <c r="X26" s="338">
        <v>-175.29139000000001</v>
      </c>
      <c r="Y26" s="534">
        <f t="shared" si="21"/>
        <v>1.2</v>
      </c>
      <c r="Z26" s="619">
        <v>-3</v>
      </c>
      <c r="AA26" s="338">
        <v>-3</v>
      </c>
      <c r="AB26" s="534">
        <f t="shared" si="22"/>
        <v>0</v>
      </c>
      <c r="AC26" s="619">
        <v>-46</v>
      </c>
      <c r="AD26" s="338">
        <v>-23</v>
      </c>
      <c r="AE26" s="534">
        <f t="shared" si="23"/>
        <v>-50</v>
      </c>
      <c r="AF26" s="619"/>
      <c r="AG26" s="338"/>
      <c r="AH26" s="534"/>
      <c r="AI26" s="619">
        <v>-2.2124839999999999</v>
      </c>
      <c r="AJ26" s="338">
        <v>-3.1828799999999999</v>
      </c>
      <c r="AK26" s="534">
        <f t="shared" si="24"/>
        <v>43.9</v>
      </c>
      <c r="AL26" s="619">
        <v>-1</v>
      </c>
      <c r="AM26" s="338"/>
      <c r="AN26" s="534">
        <f t="shared" si="25"/>
        <v>-100</v>
      </c>
      <c r="AO26" s="534">
        <f t="shared" si="26"/>
        <v>-235.22515899999999</v>
      </c>
      <c r="AP26" s="534">
        <f t="shared" si="27"/>
        <v>-212.28827000000004</v>
      </c>
      <c r="AQ26" s="534">
        <f t="shared" si="13"/>
        <v>-9.8000000000000007</v>
      </c>
      <c r="AR26" s="534"/>
      <c r="AS26" s="534"/>
      <c r="AT26" s="534"/>
    </row>
    <row r="27" spans="1:46" s="510" customFormat="1" ht="18.75" customHeight="1" x14ac:dyDescent="0.3">
      <c r="A27" s="532" t="s">
        <v>308</v>
      </c>
      <c r="B27" s="619">
        <v>-1.1359999999999999</v>
      </c>
      <c r="C27" s="338">
        <v>-0.52</v>
      </c>
      <c r="D27" s="534">
        <f t="shared" si="18"/>
        <v>-54.2</v>
      </c>
      <c r="E27" s="619"/>
      <c r="F27" s="338"/>
      <c r="G27" s="534"/>
      <c r="H27" s="619">
        <v>-179.39699999999999</v>
      </c>
      <c r="I27" s="338">
        <v>-362.935</v>
      </c>
      <c r="J27" s="534">
        <f t="shared" si="19"/>
        <v>102.3</v>
      </c>
      <c r="K27" s="338"/>
      <c r="L27" s="338">
        <v>0</v>
      </c>
      <c r="M27" s="534" t="str">
        <f>IF(K27=0, "    ---- ", IF(ABS(ROUND(100/K27*L27-100,1))&lt;999,ROUND(100/K27*L27-100,1),IF(ROUND(100/K27*L27-100,1)&gt;999,999,-999)))</f>
        <v xml:space="preserve">    ---- </v>
      </c>
      <c r="N27" s="619">
        <v>-2.2999999999999998</v>
      </c>
      <c r="O27" s="338">
        <v>-2.2690000000000001</v>
      </c>
      <c r="P27" s="534">
        <f>IF(N27=0, "    ---- ", IF(ABS(ROUND(100/N27*O27-100,1))&lt;999,ROUND(100/N27*O27-100,1),IF(ROUND(100/N27*O27-100,1)&gt;999,999,-999)))</f>
        <v>-1.3</v>
      </c>
      <c r="Q27" s="619"/>
      <c r="R27" s="338"/>
      <c r="S27" s="534"/>
      <c r="T27" s="619"/>
      <c r="U27" s="338"/>
      <c r="V27" s="534"/>
      <c r="W27" s="619"/>
      <c r="X27" s="338"/>
      <c r="Y27" s="534"/>
      <c r="Z27" s="619">
        <v>0</v>
      </c>
      <c r="AA27" s="338">
        <v>0</v>
      </c>
      <c r="AB27" s="534" t="str">
        <f t="shared" si="22"/>
        <v xml:space="preserve">    ---- </v>
      </c>
      <c r="AC27" s="619">
        <v>-8</v>
      </c>
      <c r="AD27" s="338">
        <v>-3</v>
      </c>
      <c r="AE27" s="534"/>
      <c r="AF27" s="619"/>
      <c r="AG27" s="338"/>
      <c r="AH27" s="534"/>
      <c r="AI27" s="619">
        <v>0</v>
      </c>
      <c r="AJ27" s="338">
        <v>0</v>
      </c>
      <c r="AK27" s="534" t="str">
        <f t="shared" si="24"/>
        <v xml:space="preserve">    ---- </v>
      </c>
      <c r="AL27" s="619">
        <v>-27</v>
      </c>
      <c r="AM27" s="338">
        <v>-118</v>
      </c>
      <c r="AN27" s="534">
        <f t="shared" si="25"/>
        <v>337</v>
      </c>
      <c r="AO27" s="534">
        <f t="shared" si="26"/>
        <v>-217.833</v>
      </c>
      <c r="AP27" s="534">
        <f t="shared" si="27"/>
        <v>-486.72399999999999</v>
      </c>
      <c r="AQ27" s="534">
        <f t="shared" si="13"/>
        <v>123.4</v>
      </c>
      <c r="AR27" s="534"/>
      <c r="AS27" s="534"/>
      <c r="AT27" s="534"/>
    </row>
    <row r="28" spans="1:46" s="510" customFormat="1" ht="18.75" customHeight="1" x14ac:dyDescent="0.3">
      <c r="A28" s="532" t="s">
        <v>309</v>
      </c>
      <c r="B28" s="619"/>
      <c r="C28" s="338"/>
      <c r="D28" s="534"/>
      <c r="E28" s="619"/>
      <c r="F28" s="338"/>
      <c r="G28" s="534" t="str">
        <f t="shared" si="1"/>
        <v xml:space="preserve">    ---- </v>
      </c>
      <c r="H28" s="619">
        <v>13.148999999999999</v>
      </c>
      <c r="I28" s="338">
        <v>11.691000000000001</v>
      </c>
      <c r="J28" s="534">
        <f t="shared" si="19"/>
        <v>-11.1</v>
      </c>
      <c r="K28" s="338"/>
      <c r="L28" s="338">
        <v>0</v>
      </c>
      <c r="M28" s="534"/>
      <c r="N28" s="619"/>
      <c r="O28" s="338"/>
      <c r="P28" s="534"/>
      <c r="Q28" s="619"/>
      <c r="R28" s="338"/>
      <c r="S28" s="534" t="str">
        <f t="shared" si="20"/>
        <v xml:space="preserve">    ---- </v>
      </c>
      <c r="T28" s="619"/>
      <c r="U28" s="338"/>
      <c r="V28" s="534"/>
      <c r="W28" s="619">
        <v>0</v>
      </c>
      <c r="X28" s="338">
        <v>0</v>
      </c>
      <c r="Y28" s="534" t="str">
        <f t="shared" si="21"/>
        <v xml:space="preserve">    ---- </v>
      </c>
      <c r="Z28" s="619">
        <v>2</v>
      </c>
      <c r="AA28" s="338">
        <v>3</v>
      </c>
      <c r="AB28" s="534">
        <f t="shared" si="22"/>
        <v>50</v>
      </c>
      <c r="AC28" s="619"/>
      <c r="AD28" s="338"/>
      <c r="AE28" s="534"/>
      <c r="AF28" s="619"/>
      <c r="AG28" s="338"/>
      <c r="AH28" s="534"/>
      <c r="AI28" s="619">
        <v>0</v>
      </c>
      <c r="AJ28" s="338">
        <v>0</v>
      </c>
      <c r="AK28" s="534" t="str">
        <f t="shared" si="24"/>
        <v xml:space="preserve">    ---- </v>
      </c>
      <c r="AL28" s="619">
        <v>-7</v>
      </c>
      <c r="AM28" s="338">
        <v>-7</v>
      </c>
      <c r="AN28" s="534">
        <f t="shared" si="25"/>
        <v>0</v>
      </c>
      <c r="AO28" s="534">
        <f t="shared" si="26"/>
        <v>8.1489999999999991</v>
      </c>
      <c r="AP28" s="534">
        <f t="shared" si="27"/>
        <v>7.6910000000000007</v>
      </c>
      <c r="AQ28" s="534">
        <f t="shared" si="13"/>
        <v>-5.6</v>
      </c>
      <c r="AR28" s="534"/>
      <c r="AS28" s="534"/>
      <c r="AT28" s="534"/>
    </row>
    <row r="29" spans="1:46" s="510" customFormat="1" ht="18.75" customHeight="1" x14ac:dyDescent="0.3">
      <c r="A29" s="532" t="s">
        <v>310</v>
      </c>
      <c r="B29" s="619">
        <f>SUM(B23:B28)</f>
        <v>-7.3429999999999973</v>
      </c>
      <c r="C29" s="338">
        <f>SUM(C23:C28)</f>
        <v>-95.987000000000009</v>
      </c>
      <c r="D29" s="534">
        <f t="shared" si="18"/>
        <v>999</v>
      </c>
      <c r="E29" s="619">
        <f>SUM(E23:E28)</f>
        <v>-48.099999999999994</v>
      </c>
      <c r="F29" s="338">
        <f>SUM(F23:F28)</f>
        <v>-61.599999999999994</v>
      </c>
      <c r="G29" s="534">
        <f t="shared" si="1"/>
        <v>28.1</v>
      </c>
      <c r="H29" s="619">
        <f>SUM(H23:H28)</f>
        <v>-1428.4350000000002</v>
      </c>
      <c r="I29" s="338">
        <f>SUM(I23:I28)</f>
        <v>5224.5940000000001</v>
      </c>
      <c r="J29" s="534">
        <f t="shared" si="19"/>
        <v>-465.8</v>
      </c>
      <c r="K29" s="338"/>
      <c r="L29" s="338">
        <f>SUM(L23:L28)</f>
        <v>-793</v>
      </c>
      <c r="M29" s="534" t="str">
        <f>IF(K29=0, "    ---- ", IF(ABS(ROUND(100/K29*L29-100,1))&lt;999,ROUND(100/K29*L29-100,1),IF(ROUND(100/K29*L29-100,1)&gt;999,999,-999)))</f>
        <v xml:space="preserve">    ---- </v>
      </c>
      <c r="N29" s="619">
        <f>SUM(N23:N28)</f>
        <v>-242.20000000000002</v>
      </c>
      <c r="O29" s="338">
        <f>SUM(O23:O28)</f>
        <v>-240.70100000000002</v>
      </c>
      <c r="P29" s="534">
        <f>IF(N29=0, "    ---- ", IF(ABS(ROUND(100/N29*O29-100,1))&lt;999,ROUND(100/N29*O29-100,1),IF(ROUND(100/N29*O29-100,1)&gt;999,999,-999)))</f>
        <v>-0.6</v>
      </c>
      <c r="Q29" s="619">
        <f>SUM(Q23:Q28)</f>
        <v>-389.43900000000002</v>
      </c>
      <c r="R29" s="338">
        <f>SUM(R23:R28)</f>
        <v>-259.52999999999997</v>
      </c>
      <c r="S29" s="534">
        <f t="shared" si="20"/>
        <v>-33.4</v>
      </c>
      <c r="T29" s="619">
        <f>SUM(T23:T28)</f>
        <v>-5.3086270000000004</v>
      </c>
      <c r="U29" s="338">
        <f>SUM(U23:U28)</f>
        <v>5.4304032099999997</v>
      </c>
      <c r="V29" s="534"/>
      <c r="W29" s="619">
        <v>-44144.961733949996</v>
      </c>
      <c r="X29" s="338">
        <v>-5627.4179310700001</v>
      </c>
      <c r="Y29" s="534">
        <f t="shared" si="21"/>
        <v>-87.3</v>
      </c>
      <c r="Z29" s="619">
        <f>SUM(Z23:Z28)</f>
        <v>-1073</v>
      </c>
      <c r="AA29" s="338">
        <f>SUM(AA23:AA28)</f>
        <v>-244</v>
      </c>
      <c r="AB29" s="534">
        <f t="shared" si="22"/>
        <v>-77.3</v>
      </c>
      <c r="AC29" s="619">
        <f>SUM(AC23:AC28)</f>
        <v>-7911</v>
      </c>
      <c r="AD29" s="338">
        <f>SUM(AD23:AD28)</f>
        <v>9</v>
      </c>
      <c r="AE29" s="534">
        <f t="shared" si="23"/>
        <v>-100.1</v>
      </c>
      <c r="AF29" s="619">
        <f>SUM(AF23:AF28)</f>
        <v>0</v>
      </c>
      <c r="AG29" s="338">
        <f>SUM(AG23:AG28)</f>
        <v>0</v>
      </c>
      <c r="AH29" s="534"/>
      <c r="AI29" s="619">
        <f>SUM(AI23:AI28)</f>
        <v>-1323.3264958100001</v>
      </c>
      <c r="AJ29" s="338">
        <f>SUM(AJ23:AJ28)</f>
        <v>-67.833824059999912</v>
      </c>
      <c r="AK29" s="534">
        <f t="shared" si="24"/>
        <v>-94.9</v>
      </c>
      <c r="AL29" s="619">
        <f>SUM(AL23:AL28)</f>
        <v>-3539</v>
      </c>
      <c r="AM29" s="338">
        <f>SUM(AM23:AM28)</f>
        <v>-2439</v>
      </c>
      <c r="AN29" s="534">
        <f t="shared" si="25"/>
        <v>-31.1</v>
      </c>
      <c r="AO29" s="534">
        <f t="shared" si="26"/>
        <v>-60106.805229759993</v>
      </c>
      <c r="AP29" s="534">
        <f t="shared" si="27"/>
        <v>-4595.4757551299999</v>
      </c>
      <c r="AQ29" s="534">
        <f t="shared" si="13"/>
        <v>-92.4</v>
      </c>
      <c r="AR29" s="534"/>
      <c r="AS29" s="534"/>
      <c r="AT29" s="534"/>
    </row>
    <row r="30" spans="1:46" s="510" customFormat="1" ht="18.75" customHeight="1" x14ac:dyDescent="0.3">
      <c r="A30" s="532" t="s">
        <v>311</v>
      </c>
      <c r="B30" s="619">
        <v>-2860.7150000000001</v>
      </c>
      <c r="C30" s="338">
        <v>-1453.777</v>
      </c>
      <c r="D30" s="534">
        <f>IF(B30=0, "    ---- ", IF(ABS(ROUND(100/B30*C30-100,1))&lt;999,ROUND(100/B30*C30-100,1),IF(ROUND(100/B30*C30-100,1)&gt;999,999,-999)))</f>
        <v>-49.2</v>
      </c>
      <c r="E30" s="619">
        <v>-1135.0999999999999</v>
      </c>
      <c r="F30" s="338">
        <v>-665.4</v>
      </c>
      <c r="G30" s="534">
        <f t="shared" si="1"/>
        <v>-41.4</v>
      </c>
      <c r="H30" s="619">
        <v>-15414.288</v>
      </c>
      <c r="I30" s="338">
        <v>-1100.953</v>
      </c>
      <c r="J30" s="534">
        <f>IF(H30=0, "    ---- ", IF(ABS(ROUND(100/H30*I30-100,1))&lt;999,ROUND(100/H30*I30-100,1),IF(ROUND(100/H30*I30-100,1)&gt;999,999,-999)))</f>
        <v>-92.9</v>
      </c>
      <c r="K30" s="338"/>
      <c r="L30" s="338"/>
      <c r="M30" s="534"/>
      <c r="N30" s="619">
        <v>-639.70000000000005</v>
      </c>
      <c r="O30" s="338">
        <v>-246.80500000000001</v>
      </c>
      <c r="P30" s="534"/>
      <c r="Q30" s="619">
        <v>-4188.8739999999998</v>
      </c>
      <c r="R30" s="338">
        <v>-1399.7</v>
      </c>
      <c r="S30" s="534">
        <f t="shared" si="20"/>
        <v>-66.599999999999994</v>
      </c>
      <c r="T30" s="619"/>
      <c r="U30" s="338"/>
      <c r="V30" s="534"/>
      <c r="W30" s="619">
        <v>-82.352744000000001</v>
      </c>
      <c r="X30" s="338">
        <v>588.91876600000001</v>
      </c>
      <c r="Y30" s="534">
        <f t="shared" si="21"/>
        <v>-815.1</v>
      </c>
      <c r="Z30" s="619">
        <v>-13225</v>
      </c>
      <c r="AA30" s="338">
        <v>-7899</v>
      </c>
      <c r="AB30" s="534">
        <f>IF(Z30=0, "    ---- ", IF(ABS(ROUND(100/Z30*AA30-100,1))&lt;999,ROUND(100/Z30*AA30-100,1),IF(ROUND(100/Z30*AA30-100,1)&gt;999,999,-999)))</f>
        <v>-40.299999999999997</v>
      </c>
      <c r="AC30" s="619"/>
      <c r="AD30" s="338"/>
      <c r="AE30" s="534"/>
      <c r="AF30" s="619">
        <v>-301.10040894999997</v>
      </c>
      <c r="AG30" s="338">
        <v>-161.01533685000001</v>
      </c>
      <c r="AH30" s="534">
        <f>IF(AF30=0, "    ---- ", IF(ABS(ROUND(100/AF30*AG30-100,1))&lt;999,ROUND(100/AF30*AG30-100,1),IF(ROUND(100/AF30*AG30-100,1)&gt;999,999,-999)))</f>
        <v>-46.5</v>
      </c>
      <c r="AI30" s="619">
        <v>-5832.408907670002</v>
      </c>
      <c r="AJ30" s="338">
        <v>-3121.4266780900016</v>
      </c>
      <c r="AK30" s="534">
        <f>IF(AI30=0, "    ---- ", IF(ABS(ROUND(100/AI30*AJ30-100,1))&lt;999,ROUND(100/AI30*AJ30-100,1),IF(ROUND(100/AI30*AJ30-100,1)&gt;999,999,-999)))</f>
        <v>-46.5</v>
      </c>
      <c r="AL30" s="619">
        <v>-14323</v>
      </c>
      <c r="AM30" s="338">
        <v>-10376</v>
      </c>
      <c r="AN30" s="534">
        <f>IF(AL30=0, "    ---- ", IF(ABS(ROUND(100/AL30*AM30-100,1))&lt;999,ROUND(100/AL30*AM30-100,1),IF(ROUND(100/AL30*AM30-100,1)&gt;999,999,-999)))</f>
        <v>-27.6</v>
      </c>
      <c r="AO30" s="534">
        <f t="shared" si="26"/>
        <v>-57701.438651670003</v>
      </c>
      <c r="AP30" s="534">
        <f t="shared" si="27"/>
        <v>-25674.142912089999</v>
      </c>
      <c r="AQ30" s="534">
        <f t="shared" si="13"/>
        <v>-55.5</v>
      </c>
      <c r="AR30" s="534"/>
      <c r="AS30" s="534"/>
      <c r="AT30" s="534"/>
    </row>
    <row r="31" spans="1:46" s="510" customFormat="1" ht="18.75" customHeight="1" x14ac:dyDescent="0.3">
      <c r="A31" s="532" t="s">
        <v>312</v>
      </c>
      <c r="B31" s="619">
        <v>-0.36599999999999999</v>
      </c>
      <c r="C31" s="338">
        <v>0</v>
      </c>
      <c r="D31" s="534">
        <f>IF(B31=0, "    ---- ", IF(ABS(ROUND(100/B31*C31-100,1))&lt;999,ROUND(100/B31*C31-100,1),IF(ROUND(100/B31*C31-100,1)&gt;999,999,-999)))</f>
        <v>-100</v>
      </c>
      <c r="E31" s="619">
        <v>-9.5</v>
      </c>
      <c r="F31" s="338">
        <v>0</v>
      </c>
      <c r="G31" s="534"/>
      <c r="H31" s="619">
        <v>-1156.1020000000001</v>
      </c>
      <c r="I31" s="338">
        <v>-105.422</v>
      </c>
      <c r="J31" s="534">
        <f>IF(H31=0, "    ---- ", IF(ABS(ROUND(100/H31*I31-100,1))&lt;999,ROUND(100/H31*I31-100,1),IF(ROUND(100/H31*I31-100,1)&gt;999,999,-999)))</f>
        <v>-90.9</v>
      </c>
      <c r="K31" s="338"/>
      <c r="L31" s="338">
        <v>0</v>
      </c>
      <c r="M31" s="534"/>
      <c r="N31" s="619"/>
      <c r="O31" s="338"/>
      <c r="P31" s="534"/>
      <c r="Q31" s="619">
        <v>-49.488</v>
      </c>
      <c r="R31" s="338">
        <v>37.39</v>
      </c>
      <c r="S31" s="534">
        <f t="shared" si="20"/>
        <v>-175.6</v>
      </c>
      <c r="T31" s="619"/>
      <c r="U31" s="338"/>
      <c r="V31" s="534"/>
      <c r="W31" s="619">
        <v>-5065.7742870000002</v>
      </c>
      <c r="X31" s="338">
        <v>-7040.6116030000003</v>
      </c>
      <c r="Y31" s="534">
        <f>IF(W31=0, "    ---- ", IF(ABS(ROUND(100/W31*X31-100,1))&lt;999,ROUND(100/W31*X31-100,1),IF(ROUND(100/W31*X31-100,1)&gt;999,999,-999)))</f>
        <v>39</v>
      </c>
      <c r="Z31" s="619">
        <v>-175</v>
      </c>
      <c r="AA31" s="338">
        <v>-435</v>
      </c>
      <c r="AB31" s="534">
        <f>IF(Z31=0, "    ---- ", IF(ABS(ROUND(100/Z31*AA31-100,1))&lt;999,ROUND(100/Z31*AA31-100,1),IF(ROUND(100/Z31*AA31-100,1)&gt;999,999,-999)))</f>
        <v>148.6</v>
      </c>
      <c r="AC31" s="619">
        <v>-191</v>
      </c>
      <c r="AD31" s="338">
        <v>-3141</v>
      </c>
      <c r="AE31" s="534">
        <f>IF(AC31=0, "    ---- ", IF(ABS(ROUND(100/AC31*AD31-100,1))&lt;999,ROUND(100/AC31*AD31-100,1),IF(ROUND(100/AC31*AD31-100,1)&gt;999,999,-999)))</f>
        <v>999</v>
      </c>
      <c r="AF31" s="619"/>
      <c r="AG31" s="338"/>
      <c r="AH31" s="534"/>
      <c r="AI31" s="619">
        <v>-773.56097799999998</v>
      </c>
      <c r="AJ31" s="338">
        <v>-74.716521539999988</v>
      </c>
      <c r="AK31" s="534">
        <f>IF(AI31=0, "    ---- ", IF(ABS(ROUND(100/AI31*AJ31-100,1))&lt;999,ROUND(100/AI31*AJ31-100,1),IF(ROUND(100/AI31*AJ31-100,1)&gt;999,999,-999)))</f>
        <v>-90.3</v>
      </c>
      <c r="AL31" s="619">
        <v>-647</v>
      </c>
      <c r="AM31" s="338">
        <v>-1308</v>
      </c>
      <c r="AN31" s="534">
        <f>IF(AL31=0, "    ---- ", IF(ABS(ROUND(100/AL31*AM31-100,1))&lt;999,ROUND(100/AL31*AM31-100,1),IF(ROUND(100/AL31*AM31-100,1)&gt;999,999,-999)))</f>
        <v>102.2</v>
      </c>
      <c r="AO31" s="534">
        <f t="shared" si="26"/>
        <v>-8067.7912649999998</v>
      </c>
      <c r="AP31" s="534">
        <f t="shared" si="27"/>
        <v>-12067.36012454</v>
      </c>
      <c r="AQ31" s="534">
        <f t="shared" si="13"/>
        <v>49.6</v>
      </c>
      <c r="AR31" s="534"/>
      <c r="AS31" s="534"/>
      <c r="AT31" s="534"/>
    </row>
    <row r="32" spans="1:46" s="510" customFormat="1" ht="18.75" customHeight="1" x14ac:dyDescent="0.3">
      <c r="A32" s="532" t="s">
        <v>313</v>
      </c>
      <c r="B32" s="619">
        <v>-153.571</v>
      </c>
      <c r="C32" s="338">
        <v>-183.60400000000001</v>
      </c>
      <c r="D32" s="534">
        <f>IF(B32=0, "    ---- ", IF(ABS(ROUND(100/B32*C32-100,1))&lt;999,ROUND(100/B32*C32-100,1),IF(ROUND(100/B32*C32-100,1)&gt;999,999,-999)))</f>
        <v>19.600000000000001</v>
      </c>
      <c r="E32" s="619">
        <v>-50.5</v>
      </c>
      <c r="F32" s="338">
        <v>-57.1</v>
      </c>
      <c r="G32" s="534">
        <f>IF(E32=0, "    ---- ", IF(ABS(ROUND(100/E32*F32-100,1))&lt;999,ROUND(100/E32*F32-100,1),IF(ROUND(100/E32*F32-100,1)&gt;999,999,-999)))</f>
        <v>13.1</v>
      </c>
      <c r="H32" s="619">
        <v>-923.60199999999998</v>
      </c>
      <c r="I32" s="338">
        <v>-799.80499999999995</v>
      </c>
      <c r="J32" s="534">
        <f>IF(H32=0, "    ---- ", IF(ABS(ROUND(100/H32*I32-100,1))&lt;999,ROUND(100/H32*I32-100,1),IF(ROUND(100/H32*I32-100,1)&gt;999,999,-999)))</f>
        <v>-13.4</v>
      </c>
      <c r="K32" s="338"/>
      <c r="L32" s="338">
        <v>-688</v>
      </c>
      <c r="M32" s="534" t="str">
        <f>IF(K32=0, "    ---- ", IF(ABS(ROUND(100/K32*L32-100,1))&lt;999,ROUND(100/K32*L32-100,1),IF(ROUND(100/K32*L32-100,1)&gt;999,999,-999)))</f>
        <v xml:space="preserve">    ---- </v>
      </c>
      <c r="N32" s="619">
        <v>-202.4</v>
      </c>
      <c r="O32" s="338">
        <v>-190.81800000000001</v>
      </c>
      <c r="P32" s="534">
        <f>IF(N32=0, "    ---- ", IF(ABS(ROUND(100/N32*O32-100,1))&lt;999,ROUND(100/N32*O32-100,1),IF(ROUND(100/N32*O32-100,1)&gt;999,999,-999)))</f>
        <v>-5.7</v>
      </c>
      <c r="Q32" s="619">
        <v>-194.05</v>
      </c>
      <c r="R32" s="338">
        <v>-222.89</v>
      </c>
      <c r="S32" s="534">
        <f>IF(Q32=0, "    ---- ", IF(ABS(ROUND(100/Q32*R32-100,1))&lt;999,ROUND(100/Q32*R32-100,1),IF(ROUND(100/Q32*R32-100,1)&gt;999,999,-999)))</f>
        <v>14.9</v>
      </c>
      <c r="T32" s="619">
        <v>-8.0240973100000001</v>
      </c>
      <c r="U32" s="338">
        <v>-8.1308204899999996</v>
      </c>
      <c r="V32" s="534">
        <f>IF(T32=0, "    ---- ", IF(ABS(ROUND(100/T32*U32-100,1))&lt;999,ROUND(100/T32*U32-100,1),IF(ROUND(100/T32*U32-100,1)&gt;999,999,-999)))</f>
        <v>1.3</v>
      </c>
      <c r="W32" s="619">
        <v>-783.43012757000008</v>
      </c>
      <c r="X32" s="338">
        <v>-824.60600101</v>
      </c>
      <c r="Y32" s="534">
        <f>IF(W32=0, "    ---- ", IF(ABS(ROUND(100/W32*X32-100,1))&lt;999,ROUND(100/W32*X32-100,1),IF(ROUND(100/W32*X32-100,1)&gt;999,999,-999)))</f>
        <v>5.3</v>
      </c>
      <c r="Z32" s="619">
        <v>-492</v>
      </c>
      <c r="AA32" s="338">
        <v>-466</v>
      </c>
      <c r="AB32" s="534">
        <f>IF(Z32=0, "    ---- ", IF(ABS(ROUND(100/Z32*AA32-100,1))&lt;999,ROUND(100/Z32*AA32-100,1),IF(ROUND(100/Z32*AA32-100,1)&gt;999,999,-999)))</f>
        <v>-5.3</v>
      </c>
      <c r="AC32" s="619">
        <v>-73</v>
      </c>
      <c r="AD32" s="338">
        <v>-142</v>
      </c>
      <c r="AE32" s="534">
        <f>IF(AC32=0, "    ---- ", IF(ABS(ROUND(100/AC32*AD32-100,1))&lt;999,ROUND(100/AC32*AD32-100,1),IF(ROUND(100/AC32*AD32-100,1)&gt;999,999,-999)))</f>
        <v>94.5</v>
      </c>
      <c r="AF32" s="619">
        <v>2.8716573099999998</v>
      </c>
      <c r="AG32" s="338">
        <v>4.5158026500000004</v>
      </c>
      <c r="AH32" s="534">
        <f>IF(AF32=0, "    ---- ", IF(ABS(ROUND(100/AF32*AG32-100,1))&lt;999,ROUND(100/AF32*AG32-100,1),IF(ROUND(100/AF32*AG32-100,1)&gt;999,999,-999)))</f>
        <v>57.3</v>
      </c>
      <c r="AI32" s="619">
        <v>-827.07876560160003</v>
      </c>
      <c r="AJ32" s="338">
        <v>-450.36729448839998</v>
      </c>
      <c r="AK32" s="534">
        <f>IF(AI32=0, "    ---- ", IF(ABS(ROUND(100/AI32*AJ32-100,1))&lt;999,ROUND(100/AI32*AJ32-100,1),IF(ROUND(100/AI32*AJ32-100,1)&gt;999,999,-999)))</f>
        <v>-45.5</v>
      </c>
      <c r="AL32" s="619">
        <v>-1089</v>
      </c>
      <c r="AM32" s="338">
        <v>-1022</v>
      </c>
      <c r="AN32" s="534">
        <f>IF(AL32=0, "    ---- ", IF(ABS(ROUND(100/AL32*AM32-100,1))&lt;999,ROUND(100/AL32*AM32-100,1),IF(ROUND(100/AL32*AM32-100,1)&gt;999,999,-999)))</f>
        <v>-6.2</v>
      </c>
      <c r="AO32" s="534">
        <f t="shared" si="26"/>
        <v>-4788.6318931715996</v>
      </c>
      <c r="AP32" s="534">
        <f t="shared" si="27"/>
        <v>-5047.1902954983998</v>
      </c>
      <c r="AQ32" s="534">
        <f t="shared" si="13"/>
        <v>5.4</v>
      </c>
      <c r="AR32" s="534"/>
      <c r="AS32" s="534"/>
      <c r="AT32" s="534"/>
    </row>
    <row r="33" spans="1:46" s="545" customFormat="1" ht="18.75" customHeight="1" x14ac:dyDescent="0.3">
      <c r="A33" s="532" t="s">
        <v>314</v>
      </c>
      <c r="B33" s="196"/>
      <c r="C33" s="448"/>
      <c r="D33" s="537"/>
      <c r="E33" s="196">
        <v>-5.9</v>
      </c>
      <c r="F33" s="448">
        <v>-10</v>
      </c>
      <c r="G33" s="537">
        <f>IF(E33=0, "    ---- ", IF(ABS(ROUND(100/E33*F33-100,1))&lt;999,ROUND(100/E33*F33-100,1),IF(ROUND(100/E33*F33-100,1)&gt;999,999,-999)))</f>
        <v>69.5</v>
      </c>
      <c r="H33" s="196">
        <v>-60.83</v>
      </c>
      <c r="I33" s="448">
        <v>-15.510999999999999</v>
      </c>
      <c r="J33" s="537">
        <f>IF(H33=0, "    ---- ", IF(ABS(ROUND(100/H33*I33-100,1))&lt;999,ROUND(100/H33*I33-100,1),IF(ROUND(100/H33*I33-100,1)&gt;999,999,-999)))</f>
        <v>-74.5</v>
      </c>
      <c r="K33" s="448"/>
      <c r="L33" s="448">
        <v>-10</v>
      </c>
      <c r="M33" s="537"/>
      <c r="N33" s="196"/>
      <c r="O33" s="448"/>
      <c r="P33" s="537"/>
      <c r="Q33" s="196"/>
      <c r="R33" s="448"/>
      <c r="S33" s="537"/>
      <c r="T33" s="196"/>
      <c r="U33" s="448"/>
      <c r="V33" s="537"/>
      <c r="W33" s="196">
        <v>-828.40273300000001</v>
      </c>
      <c r="X33" s="448">
        <v>-896.86303499999997</v>
      </c>
      <c r="Y33" s="537">
        <f>IF(W33=0, "    ---- ", IF(ABS(ROUND(100/W33*X33-100,1))&lt;999,ROUND(100/W33*X33-100,1),IF(ROUND(100/W33*X33-100,1)&gt;999,999,-999)))</f>
        <v>8.3000000000000007</v>
      </c>
      <c r="Z33" s="196">
        <v>-22.83266094</v>
      </c>
      <c r="AA33" s="448">
        <v>-34.794406780000003</v>
      </c>
      <c r="AB33" s="537">
        <f>IF(Z33=0, "    ---- ", IF(ABS(ROUND(100/Z33*AA33-100,1))&lt;999,ROUND(100/Z33*AA33-100,1),IF(ROUND(100/Z33*AA33-100,1)&gt;999,999,-999)))</f>
        <v>52.4</v>
      </c>
      <c r="AC33" s="196"/>
      <c r="AD33" s="448"/>
      <c r="AE33" s="537"/>
      <c r="AF33" s="196"/>
      <c r="AG33" s="448"/>
      <c r="AH33" s="537"/>
      <c r="AI33" s="196">
        <v>-6.2001916199999991</v>
      </c>
      <c r="AJ33" s="448">
        <v>-0.41922915999999993</v>
      </c>
      <c r="AK33" s="537">
        <f>IF(AI33=0, "    ---- ", IF(ABS(ROUND(100/AI33*AJ33-100,1))&lt;999,ROUND(100/AI33*AJ33-100,1),IF(ROUND(100/AI33*AJ33-100,1)&gt;999,999,-999)))</f>
        <v>-93.2</v>
      </c>
      <c r="AL33" s="196">
        <v>-352</v>
      </c>
      <c r="AM33" s="448">
        <v>-178</v>
      </c>
      <c r="AN33" s="537">
        <f>IF(AL33=0, "    ---- ", IF(ABS(ROUND(100/AL33*AM33-100,1))&lt;999,ROUND(100/AL33*AM33-100,1),IF(ROUND(100/AL33*AM33-100,1)&gt;999,999,-999)))</f>
        <v>-49.4</v>
      </c>
      <c r="AO33" s="534">
        <f t="shared" si="26"/>
        <v>-1276.1655855600002</v>
      </c>
      <c r="AP33" s="534">
        <f t="shared" si="27"/>
        <v>-1145.58767094</v>
      </c>
      <c r="AQ33" s="537">
        <f t="shared" si="13"/>
        <v>-10.199999999999999</v>
      </c>
      <c r="AR33" s="537"/>
      <c r="AS33" s="537"/>
      <c r="AT33" s="537"/>
    </row>
    <row r="34" spans="1:46" s="548" customFormat="1" ht="18.75" customHeight="1" x14ac:dyDescent="0.3">
      <c r="A34" s="546" t="s">
        <v>315</v>
      </c>
      <c r="B34" s="199">
        <f>SUM(B14+B15+B16+B17+B21+B29+B30+B31+B32+B33)</f>
        <v>150.48700000000045</v>
      </c>
      <c r="C34" s="454">
        <f>SUM(C14+C15+C16+C17+C21+C29+C30+C31+C32+C33)</f>
        <v>79.756999999999863</v>
      </c>
      <c r="D34" s="547">
        <f>IF(B34=0, "    ---- ", IF(ABS(ROUND(100/B34*C34-100,1))&lt;999,ROUND(100/B34*C34-100,1),IF(ROUND(100/B34*C34-100,1)&gt;999,999,-999)))</f>
        <v>-47</v>
      </c>
      <c r="E34" s="199">
        <f>SUM(E14+E15+E16+E17+E21+E29+E30+E31+E32+E33)</f>
        <v>-23.299999999999862</v>
      </c>
      <c r="F34" s="454">
        <f>SUM(F14+F15+F16+F17+F21+F29+F30+F31+F32+F33)</f>
        <v>-60.200000000000138</v>
      </c>
      <c r="G34" s="547">
        <f>IF(E34=0, "    ---- ", IF(ABS(ROUND(100/E34*F34-100,1))&lt;999,ROUND(100/E34*F34-100,1),IF(ROUND(100/E34*F34-100,1)&gt;999,999,-999)))</f>
        <v>158.4</v>
      </c>
      <c r="H34" s="199">
        <f>SUM(H14+H15+H16+H17+H21+H29+H30+H31+H32+H33)</f>
        <v>881.97500000000173</v>
      </c>
      <c r="I34" s="454">
        <f>SUM(I14+I15+I16+I17+I21+I29+I30+I31+I32+I33)</f>
        <v>-1696.2750000000015</v>
      </c>
      <c r="J34" s="547">
        <f>IF(H34=0, "    ---- ", IF(ABS(ROUND(100/H34*I34-100,1))&lt;999,ROUND(100/H34*I34-100,1),IF(ROUND(100/H34*I34-100,1)&gt;999,999,-999)))</f>
        <v>-292.3</v>
      </c>
      <c r="K34" s="454"/>
      <c r="L34" s="454">
        <f>SUM(L14+L15+L16+L17+L21+L29+L30+L31+L32+L33)</f>
        <v>49</v>
      </c>
      <c r="M34" s="547" t="str">
        <f>IF(K34=0, "    ---- ", IF(ABS(ROUND(100/K34*L34-100,1))&lt;999,ROUND(100/K34*L34-100,1),IF(ROUND(100/K34*L34-100,1)&gt;999,999,-999)))</f>
        <v xml:space="preserve">    ---- </v>
      </c>
      <c r="N34" s="199">
        <f>SUM(N14+N15+N16+N17+N21+N29+N30+N31+N32+N33)</f>
        <v>105.1999999999999</v>
      </c>
      <c r="O34" s="454">
        <f>SUM(O14+O15+O16+O17+O21+O29+O30+O31+O32+O33)</f>
        <v>185.23199999999989</v>
      </c>
      <c r="P34" s="547">
        <f>IF(N34=0, "    ---- ", IF(ABS(ROUND(100/N34*O34-100,1))&lt;999,ROUND(100/N34*O34-100,1),IF(ROUND(100/N34*O34-100,1)&gt;999,999,-999)))</f>
        <v>76.099999999999994</v>
      </c>
      <c r="Q34" s="199">
        <f>SUM(Q14+Q15+Q16+Q17+Q21+Q29+Q30+Q31+Q32+Q33)</f>
        <v>133.10699999999952</v>
      </c>
      <c r="R34" s="454">
        <f>SUM(R14+R15+R16+R17+R21+R29+R30+R31+R32+R33)</f>
        <v>106.48000000000002</v>
      </c>
      <c r="S34" s="547">
        <f>IF(Q34=0, "    ---- ", IF(ABS(ROUND(100/Q34*R34-100,1))&lt;999,ROUND(100/Q34*R34-100,1),IF(ROUND(100/Q34*R34-100,1)&gt;999,999,-999)))</f>
        <v>-20</v>
      </c>
      <c r="T34" s="199">
        <f>SUM(T14+T15+T16+T17+T21+T29+T30+T31+T32+T33)</f>
        <v>5.0161099999998626E-2</v>
      </c>
      <c r="U34" s="454">
        <f>SUM(U14+U15+U16+U17+U21+U29+U30+U31+U32+U33)</f>
        <v>8.4771916399999991</v>
      </c>
      <c r="V34" s="547">
        <f>IF(T34=0, "    ---- ", IF(ABS(ROUND(100/T34*U34-100,1))&lt;999,ROUND(100/T34*U34-100,1),IF(ROUND(100/T34*U34-100,1)&gt;999,999,-999)))</f>
        <v>999</v>
      </c>
      <c r="W34" s="199">
        <v>1145.8549896899976</v>
      </c>
      <c r="X34" s="454">
        <v>1084.0837004500067</v>
      </c>
      <c r="Y34" s="547">
        <f>IF(W34=0, "    ---- ", IF(ABS(ROUND(100/W34*X34-100,1))&lt;999,ROUND(100/W34*X34-100,1),IF(ROUND(100/W34*X34-100,1)&gt;999,999,-999)))</f>
        <v>-5.4</v>
      </c>
      <c r="Z34" s="199">
        <f>SUM(Z14+Z15+Z16+Z17+Z21+Z29+Z30+Z31+Z32+Z33)</f>
        <v>459.16733906000002</v>
      </c>
      <c r="AA34" s="454">
        <f>SUM(AA14+AA15+AA16+AA17+AA21+AA29+AA30+AA31+AA32+AA33)</f>
        <v>490.20559321999997</v>
      </c>
      <c r="AB34" s="547">
        <f>IF(Z34=0, "    ---- ", IF(ABS(ROUND(100/Z34*AA34-100,1))&lt;999,ROUND(100/Z34*AA34-100,1),IF(ROUND(100/Z34*AA34-100,1)&gt;999,999,-999)))</f>
        <v>6.8</v>
      </c>
      <c r="AC34" s="199">
        <f>SUM(AC14+AC15+AC16+AC17+AC21+AC29+AC30+AC31+AC32+AC33)</f>
        <v>41</v>
      </c>
      <c r="AD34" s="454">
        <f>SUM(AD14+AD15+AD16+AD17+AD21+AD29+AD30+AD31+AD32+AD33)</f>
        <v>366</v>
      </c>
      <c r="AE34" s="547">
        <f>IF(AC34=0, "    ---- ", IF(ABS(ROUND(100/AC34*AD34-100,1))&lt;999,ROUND(100/AC34*AD34-100,1),IF(ROUND(100/AC34*AD34-100,1)&gt;999,999,-999)))</f>
        <v>792.7</v>
      </c>
      <c r="AF34" s="199">
        <f>SUM(AF14+AF15+AF16+AF17+AF21+AF29+AF30+AF31+AF32+AF33)</f>
        <v>10.286518040000043</v>
      </c>
      <c r="AG34" s="454">
        <f>SUM(AG14+AG15+AG16+AG17+AG21+AG29+AG30+AG31+AG32+AG33)</f>
        <v>11.767361380000029</v>
      </c>
      <c r="AH34" s="547">
        <f>IF(AF34=0, "    ---- ", IF(ABS(ROUND(100/AF34*AG34-100,1))&lt;999,ROUND(100/AF34*AG34-100,1),IF(ROUND(100/AF34*AG34-100,1)&gt;999,999,-999)))</f>
        <v>14.4</v>
      </c>
      <c r="AI34" s="199">
        <f>SUM(AI14+AI15+AI16+AI17+AI21+AI29+AI30+AI31+AI32+AI33)</f>
        <v>477.45050843839743</v>
      </c>
      <c r="AJ34" s="454">
        <f>SUM(AJ14+AJ15+AJ16+AJ17+AJ21+AJ29+AJ30+AJ31+AJ32+AJ33)</f>
        <v>33.008991801600118</v>
      </c>
      <c r="AK34" s="547">
        <f>IF(AI34=0, "    ---- ", IF(ABS(ROUND(100/AI34*AJ34-100,1))&lt;999,ROUND(100/AI34*AJ34-100,1),IF(ROUND(100/AI34*AJ34-100,1)&gt;999,999,-999)))</f>
        <v>-93.1</v>
      </c>
      <c r="AL34" s="199">
        <f>SUM(AL14+AL15+AL16+AL17+AL21+AL29+AL30+AL31+AL32+AL33)</f>
        <v>760</v>
      </c>
      <c r="AM34" s="454">
        <f>SUM(AM14+AM15+AM16+AM17+AM21+AM29+AM30+AM31+AM32+AM33)</f>
        <v>314</v>
      </c>
      <c r="AN34" s="547">
        <f>IF(AL34=0, "    ---- ", IF(ABS(ROUND(100/AL34*AM34-100,1))&lt;999,ROUND(100/AL34*AM34-100,1),IF(ROUND(100/AL34*AM34-100,1)&gt;999,999,-999)))</f>
        <v>-58.7</v>
      </c>
      <c r="AO34" s="547">
        <f t="shared" si="26"/>
        <v>4130.9418371883967</v>
      </c>
      <c r="AP34" s="547">
        <f t="shared" si="27"/>
        <v>951.29228547160506</v>
      </c>
      <c r="AQ34" s="547">
        <f t="shared" si="13"/>
        <v>-77</v>
      </c>
      <c r="AR34" s="547"/>
      <c r="AS34" s="547"/>
      <c r="AT34" s="547"/>
    </row>
    <row r="35" spans="1:46" s="548" customFormat="1" ht="18.75" customHeight="1" x14ac:dyDescent="0.3">
      <c r="A35" s="549"/>
      <c r="B35" s="665"/>
      <c r="C35" s="550"/>
      <c r="D35" s="551"/>
      <c r="E35" s="665"/>
      <c r="F35" s="550"/>
      <c r="G35" s="551"/>
      <c r="H35" s="665"/>
      <c r="I35" s="550"/>
      <c r="J35" s="551"/>
      <c r="K35" s="550"/>
      <c r="L35" s="550"/>
      <c r="M35" s="551"/>
      <c r="N35" s="665"/>
      <c r="O35" s="550"/>
      <c r="P35" s="551"/>
      <c r="Q35" s="665"/>
      <c r="R35" s="550"/>
      <c r="S35" s="551"/>
      <c r="T35" s="665"/>
      <c r="U35" s="550"/>
      <c r="V35" s="551"/>
      <c r="W35" s="665"/>
      <c r="X35" s="550"/>
      <c r="Y35" s="551"/>
      <c r="Z35" s="665"/>
      <c r="AA35" s="550"/>
      <c r="AB35" s="551"/>
      <c r="AC35" s="665"/>
      <c r="AD35" s="550"/>
      <c r="AE35" s="551"/>
      <c r="AF35" s="665"/>
      <c r="AG35" s="550"/>
      <c r="AH35" s="551"/>
      <c r="AI35" s="665"/>
      <c r="AJ35" s="550"/>
      <c r="AK35" s="552"/>
      <c r="AL35" s="665"/>
      <c r="AM35" s="550"/>
      <c r="AN35" s="552"/>
      <c r="AO35" s="552"/>
      <c r="AP35" s="552"/>
      <c r="AQ35" s="552"/>
      <c r="AR35" s="553"/>
      <c r="AS35" s="554"/>
      <c r="AT35" s="555"/>
    </row>
    <row r="36" spans="1:46" s="548" customFormat="1" ht="18.75" customHeight="1" x14ac:dyDescent="0.3">
      <c r="A36" s="524" t="s">
        <v>316</v>
      </c>
      <c r="B36" s="665"/>
      <c r="C36" s="550"/>
      <c r="D36" s="551"/>
      <c r="E36" s="665"/>
      <c r="F36" s="550"/>
      <c r="G36" s="551"/>
      <c r="H36" s="665"/>
      <c r="I36" s="550"/>
      <c r="J36" s="551"/>
      <c r="K36" s="550"/>
      <c r="L36" s="550"/>
      <c r="M36" s="551"/>
      <c r="N36" s="665"/>
      <c r="O36" s="550"/>
      <c r="P36" s="551"/>
      <c r="Q36" s="665"/>
      <c r="R36" s="550"/>
      <c r="S36" s="551"/>
      <c r="T36" s="665"/>
      <c r="U36" s="550"/>
      <c r="V36" s="551"/>
      <c r="W36" s="665"/>
      <c r="X36" s="550"/>
      <c r="Y36" s="551"/>
      <c r="Z36" s="665"/>
      <c r="AA36" s="550"/>
      <c r="AB36" s="551"/>
      <c r="AC36" s="665"/>
      <c r="AD36" s="550"/>
      <c r="AE36" s="551"/>
      <c r="AF36" s="665"/>
      <c r="AG36" s="550"/>
      <c r="AH36" s="551"/>
      <c r="AI36" s="665"/>
      <c r="AJ36" s="550"/>
      <c r="AK36" s="551"/>
      <c r="AL36" s="665"/>
      <c r="AM36" s="550"/>
      <c r="AN36" s="551"/>
      <c r="AO36" s="551"/>
      <c r="AP36" s="551"/>
      <c r="AQ36" s="551"/>
      <c r="AR36" s="556"/>
      <c r="AS36" s="557"/>
      <c r="AT36" s="558"/>
    </row>
    <row r="37" spans="1:46" s="560" customFormat="1" ht="18.75" customHeight="1" x14ac:dyDescent="0.3">
      <c r="A37" s="532" t="s">
        <v>317</v>
      </c>
      <c r="B37" s="666">
        <v>7.375</v>
      </c>
      <c r="C37" s="535">
        <v>21.33</v>
      </c>
      <c r="D37" s="534">
        <f t="shared" ref="D37:D43" si="28">IF(B37=0, "    ---- ", IF(ABS(ROUND(100/B37*C37-100,1))&lt;999,ROUND(100/B37*C37-100,1),IF(ROUND(100/B37*C37-100,1)&gt;999,999,-999)))</f>
        <v>189.2</v>
      </c>
      <c r="E37" s="666">
        <v>12.1</v>
      </c>
      <c r="F37" s="535">
        <v>11.7</v>
      </c>
      <c r="G37" s="534">
        <f t="shared" ref="G37:G44" si="29">IF(E37=0, "    ---- ", IF(ABS(ROUND(100/E37*F37-100,1))&lt;999,ROUND(100/E37*F37-100,1),IF(ROUND(100/E37*F37-100,1)&gt;999,999,-999)))</f>
        <v>-3.3</v>
      </c>
      <c r="H37" s="666">
        <v>727.57299999999998</v>
      </c>
      <c r="I37" s="535">
        <v>466.72699999999998</v>
      </c>
      <c r="J37" s="534">
        <f t="shared" ref="J37:J44" si="30">IF(H37=0, "    ---- ", IF(ABS(ROUND(100/H37*I37-100,1))&lt;999,ROUND(100/H37*I37-100,1),IF(ROUND(100/H37*I37-100,1)&gt;999,999,-999)))</f>
        <v>-35.9</v>
      </c>
      <c r="K37" s="535"/>
      <c r="L37" s="535">
        <v>20</v>
      </c>
      <c r="M37" s="534" t="str">
        <f t="shared" ref="M37:M43" si="31">IF(K37=0, "    ---- ", IF(ABS(ROUND(100/K37*L37-100,1))&lt;999,ROUND(100/K37*L37-100,1),IF(ROUND(100/K37*L37-100,1)&gt;999,999,-999)))</f>
        <v xml:space="preserve">    ---- </v>
      </c>
      <c r="N37" s="666">
        <v>11</v>
      </c>
      <c r="O37" s="535">
        <v>9.8469999999999995</v>
      </c>
      <c r="P37" s="534">
        <f t="shared" ref="P37:P43" si="32">IF(N37=0, "    ---- ", IF(ABS(ROUND(100/N37*O37-100,1))&lt;999,ROUND(100/N37*O37-100,1),IF(ROUND(100/N37*O37-100,1)&gt;999,999,-999)))</f>
        <v>-10.5</v>
      </c>
      <c r="Q37" s="666">
        <v>12.61</v>
      </c>
      <c r="R37" s="535">
        <v>13.49</v>
      </c>
      <c r="S37" s="534">
        <f t="shared" ref="S37:S44" si="33">IF(Q37=0, "    ---- ", IF(ABS(ROUND(100/Q37*R37-100,1))&lt;999,ROUND(100/Q37*R37-100,1),IF(ROUND(100/Q37*R37-100,1)&gt;999,999,-999)))</f>
        <v>7</v>
      </c>
      <c r="T37" s="666">
        <v>1.6278376000000001</v>
      </c>
      <c r="U37" s="535">
        <v>1.44263363</v>
      </c>
      <c r="V37" s="534">
        <f t="shared" ref="V37:V43" si="34">IF(T37=0, "    ---- ", IF(ABS(ROUND(100/T37*U37-100,1))&lt;999,ROUND(100/T37*U37-100,1),IF(ROUND(100/T37*U37-100,1)&gt;999,999,-999)))</f>
        <v>-11.4</v>
      </c>
      <c r="W37" s="666">
        <v>1269.9302698900001</v>
      </c>
      <c r="X37" s="535">
        <v>846.03066941999998</v>
      </c>
      <c r="Y37" s="534">
        <f t="shared" ref="Y37:Y44" si="35">IF(W37=0, "    ---- ", IF(ABS(ROUND(100/W37*X37-100,1))&lt;999,ROUND(100/W37*X37-100,1),IF(ROUND(100/W37*X37-100,1)&gt;999,999,-999)))</f>
        <v>-33.4</v>
      </c>
      <c r="Z37" s="666">
        <v>96.4</v>
      </c>
      <c r="AA37" s="535">
        <v>215</v>
      </c>
      <c r="AB37" s="534">
        <f t="shared" ref="AB37:AB44" si="36">IF(Z37=0, "    ---- ", IF(ABS(ROUND(100/Z37*AA37-100,1))&lt;999,ROUND(100/Z37*AA37-100,1),IF(ROUND(100/Z37*AA37-100,1)&gt;999,999,-999)))</f>
        <v>123</v>
      </c>
      <c r="AC37" s="666">
        <v>456</v>
      </c>
      <c r="AD37" s="535">
        <v>258</v>
      </c>
      <c r="AE37" s="534">
        <f t="shared" ref="AE37:AE43" si="37">IF(AC37=0, "    ---- ", IF(ABS(ROUND(100/AC37*AD37-100,1))&lt;999,ROUND(100/AC37*AD37-100,1),IF(ROUND(100/AC37*AD37-100,1)&gt;999,999,-999)))</f>
        <v>-43.4</v>
      </c>
      <c r="AF37" s="666">
        <v>0.74885729000000001</v>
      </c>
      <c r="AG37" s="535">
        <v>8.3802429999999997E-2</v>
      </c>
      <c r="AH37" s="534"/>
      <c r="AI37" s="666">
        <v>672.27400307000005</v>
      </c>
      <c r="AJ37" s="535">
        <v>131.80482156000002</v>
      </c>
      <c r="AK37" s="534">
        <f t="shared" ref="AK37:AK44" si="38">IF(AI37=0, "    ---- ", IF(ABS(ROUND(100/AI37*AJ37-100,1))&lt;999,ROUND(100/AI37*AJ37-100,1),IF(ROUND(100/AI37*AJ37-100,1)&gt;999,999,-999)))</f>
        <v>-80.400000000000006</v>
      </c>
      <c r="AL37" s="666">
        <v>1236</v>
      </c>
      <c r="AM37" s="535">
        <v>777</v>
      </c>
      <c r="AN37" s="534">
        <f t="shared" ref="AN37:AN44" si="39">IF(AL37=0, "    ---- ", IF(ABS(ROUND(100/AL37*AM37-100,1))&lt;999,ROUND(100/AL37*AM37-100,1),IF(ROUND(100/AL37*AM37-100,1)&gt;999,999,-999)))</f>
        <v>-37.1</v>
      </c>
      <c r="AO37" s="534">
        <f t="shared" ref="AO37:AO45" si="40">B37+H37+K37+N37+Q37+W37+E37+Z37+AC37+AI37+AL37</f>
        <v>4501.2622729600007</v>
      </c>
      <c r="AP37" s="534">
        <f t="shared" ref="AP37:AP45" si="41">C37+I37+L37+O37+R37+X37+F37+AA37+AD37+AJ37+AM37</f>
        <v>2770.9294909800001</v>
      </c>
      <c r="AQ37" s="534">
        <f t="shared" si="13"/>
        <v>-38.4</v>
      </c>
      <c r="AR37" s="536"/>
      <c r="AS37" s="559"/>
      <c r="AT37" s="538"/>
    </row>
    <row r="38" spans="1:46" s="560" customFormat="1" ht="18.75" customHeight="1" x14ac:dyDescent="0.3">
      <c r="A38" s="532" t="s">
        <v>318</v>
      </c>
      <c r="B38" s="666"/>
      <c r="C38" s="535"/>
      <c r="D38" s="534"/>
      <c r="E38" s="666">
        <v>3.8</v>
      </c>
      <c r="F38" s="535">
        <v>4.3</v>
      </c>
      <c r="G38" s="534">
        <f t="shared" si="29"/>
        <v>13.2</v>
      </c>
      <c r="H38" s="666">
        <v>8.8059999999999992</v>
      </c>
      <c r="I38" s="535">
        <v>1279.1500000000001</v>
      </c>
      <c r="J38" s="534">
        <f t="shared" si="30"/>
        <v>999</v>
      </c>
      <c r="K38" s="535"/>
      <c r="L38" s="535">
        <v>0</v>
      </c>
      <c r="M38" s="534" t="str">
        <f t="shared" si="31"/>
        <v xml:space="preserve">    ---- </v>
      </c>
      <c r="N38" s="666">
        <v>4.1000000000000002E-2</v>
      </c>
      <c r="O38" s="535">
        <v>3.5999999999999997E-2</v>
      </c>
      <c r="P38" s="534">
        <f t="shared" si="32"/>
        <v>-12.2</v>
      </c>
      <c r="Q38" s="666"/>
      <c r="R38" s="535"/>
      <c r="S38" s="534" t="str">
        <f t="shared" si="33"/>
        <v xml:space="preserve">    ---- </v>
      </c>
      <c r="T38" s="666"/>
      <c r="U38" s="535"/>
      <c r="V38" s="534"/>
      <c r="W38" s="666">
        <v>10.381905789999999</v>
      </c>
      <c r="X38" s="535">
        <v>-0.11769064</v>
      </c>
      <c r="Y38" s="534">
        <f t="shared" si="35"/>
        <v>-101.1</v>
      </c>
      <c r="Z38" s="666">
        <v>4</v>
      </c>
      <c r="AA38" s="535">
        <v>2</v>
      </c>
      <c r="AB38" s="534">
        <f t="shared" si="36"/>
        <v>-50</v>
      </c>
      <c r="AC38" s="666">
        <v>7</v>
      </c>
      <c r="AD38" s="535">
        <v>6</v>
      </c>
      <c r="AE38" s="534">
        <f t="shared" si="37"/>
        <v>-14.3</v>
      </c>
      <c r="AF38" s="666"/>
      <c r="AG38" s="535"/>
      <c r="AH38" s="534"/>
      <c r="AI38" s="666">
        <v>187.73514544000003</v>
      </c>
      <c r="AJ38" s="535">
        <v>3.0027850899999997</v>
      </c>
      <c r="AK38" s="534">
        <f t="shared" si="38"/>
        <v>-98.4</v>
      </c>
      <c r="AL38" s="666">
        <v>17</v>
      </c>
      <c r="AM38" s="535">
        <v>2</v>
      </c>
      <c r="AN38" s="534">
        <f t="shared" si="39"/>
        <v>-88.2</v>
      </c>
      <c r="AO38" s="534">
        <f t="shared" si="40"/>
        <v>238.76405123000001</v>
      </c>
      <c r="AP38" s="534">
        <f t="shared" si="41"/>
        <v>1296.3710944500001</v>
      </c>
      <c r="AQ38" s="534">
        <f t="shared" si="13"/>
        <v>443</v>
      </c>
      <c r="AR38" s="534"/>
      <c r="AS38" s="561"/>
      <c r="AT38" s="534"/>
    </row>
    <row r="39" spans="1:46" s="560" customFormat="1" ht="18.75" customHeight="1" x14ac:dyDescent="0.3">
      <c r="A39" s="532" t="s">
        <v>319</v>
      </c>
      <c r="B39" s="666"/>
      <c r="C39" s="535"/>
      <c r="D39" s="534"/>
      <c r="E39" s="666">
        <v>-0.4</v>
      </c>
      <c r="F39" s="535">
        <v>-7.5</v>
      </c>
      <c r="G39" s="534">
        <f t="shared" si="29"/>
        <v>999</v>
      </c>
      <c r="H39" s="666">
        <v>-240.87700000000001</v>
      </c>
      <c r="I39" s="535">
        <v>-285.60899999999998</v>
      </c>
      <c r="J39" s="534">
        <f t="shared" si="30"/>
        <v>18.600000000000001</v>
      </c>
      <c r="K39" s="535"/>
      <c r="L39" s="535">
        <v>-10</v>
      </c>
      <c r="M39" s="534" t="str">
        <f t="shared" si="31"/>
        <v xml:space="preserve">    ---- </v>
      </c>
      <c r="N39" s="666"/>
      <c r="O39" s="535"/>
      <c r="P39" s="534" t="str">
        <f t="shared" si="32"/>
        <v xml:space="preserve">    ---- </v>
      </c>
      <c r="Q39" s="666">
        <v>-9.9440000000000008</v>
      </c>
      <c r="R39" s="535">
        <v>-9.44</v>
      </c>
      <c r="S39" s="534">
        <f t="shared" si="33"/>
        <v>-5.0999999999999996</v>
      </c>
      <c r="T39" s="666"/>
      <c r="U39" s="535"/>
      <c r="V39" s="534"/>
      <c r="W39" s="666">
        <v>-277.42798442000003</v>
      </c>
      <c r="X39" s="535">
        <v>-626.80458233000002</v>
      </c>
      <c r="Y39" s="534">
        <f t="shared" si="35"/>
        <v>125.9</v>
      </c>
      <c r="Z39" s="666">
        <v>-78</v>
      </c>
      <c r="AA39" s="535">
        <v>-78</v>
      </c>
      <c r="AB39" s="534">
        <f t="shared" si="36"/>
        <v>0</v>
      </c>
      <c r="AC39" s="666">
        <v>-65</v>
      </c>
      <c r="AD39" s="535">
        <v>-74</v>
      </c>
      <c r="AE39" s="534">
        <f t="shared" si="37"/>
        <v>13.8</v>
      </c>
      <c r="AF39" s="666"/>
      <c r="AG39" s="535"/>
      <c r="AH39" s="534"/>
      <c r="AI39" s="666">
        <v>-216.7684747484</v>
      </c>
      <c r="AJ39" s="535">
        <v>-40.838523121599998</v>
      </c>
      <c r="AK39" s="534">
        <f t="shared" si="38"/>
        <v>-81.2</v>
      </c>
      <c r="AL39" s="666">
        <v>-316</v>
      </c>
      <c r="AM39" s="535">
        <v>-290</v>
      </c>
      <c r="AN39" s="534">
        <f t="shared" si="39"/>
        <v>-8.1999999999999993</v>
      </c>
      <c r="AO39" s="534">
        <f t="shared" si="40"/>
        <v>-1204.4174591684</v>
      </c>
      <c r="AP39" s="534">
        <f t="shared" si="41"/>
        <v>-1422.1921054515999</v>
      </c>
      <c r="AQ39" s="534">
        <f t="shared" si="13"/>
        <v>18.100000000000001</v>
      </c>
      <c r="AR39" s="534"/>
      <c r="AS39" s="561"/>
      <c r="AT39" s="534"/>
    </row>
    <row r="40" spans="1:46" s="563" customFormat="1" ht="18.75" customHeight="1" x14ac:dyDescent="0.3">
      <c r="A40" s="549" t="s">
        <v>320</v>
      </c>
      <c r="B40" s="665">
        <f>SUM(B37:B39)</f>
        <v>7.375</v>
      </c>
      <c r="C40" s="550">
        <f>SUM(C37:C39)</f>
        <v>21.33</v>
      </c>
      <c r="D40" s="551">
        <f t="shared" si="28"/>
        <v>189.2</v>
      </c>
      <c r="E40" s="665">
        <f>SUM(E37:E39)</f>
        <v>15.499999999999998</v>
      </c>
      <c r="F40" s="550">
        <f>SUM(F37:F39)</f>
        <v>8.5</v>
      </c>
      <c r="G40" s="551">
        <f t="shared" si="29"/>
        <v>-45.2</v>
      </c>
      <c r="H40" s="665">
        <f>SUM(H37:H39)</f>
        <v>495.50200000000001</v>
      </c>
      <c r="I40" s="550">
        <f>SUM(I37:I39)</f>
        <v>1460.268</v>
      </c>
      <c r="J40" s="551">
        <f t="shared" si="30"/>
        <v>194.7</v>
      </c>
      <c r="K40" s="550"/>
      <c r="L40" s="550">
        <f>SUM(L37:L39)</f>
        <v>10</v>
      </c>
      <c r="M40" s="551" t="str">
        <f t="shared" si="31"/>
        <v xml:space="preserve">    ---- </v>
      </c>
      <c r="N40" s="665">
        <f>SUM(N37:N39)</f>
        <v>11.041</v>
      </c>
      <c r="O40" s="550">
        <f>SUM(O37:O39)</f>
        <v>9.8829999999999991</v>
      </c>
      <c r="P40" s="551">
        <f t="shared" si="32"/>
        <v>-10.5</v>
      </c>
      <c r="Q40" s="665">
        <f>SUM(Q37:Q39)</f>
        <v>2.6659999999999986</v>
      </c>
      <c r="R40" s="550">
        <f>SUM(R37:R39)</f>
        <v>4.0500000000000007</v>
      </c>
      <c r="S40" s="551">
        <f t="shared" si="33"/>
        <v>51.9</v>
      </c>
      <c r="T40" s="665">
        <f>SUM(T37:T39)</f>
        <v>1.6278376000000001</v>
      </c>
      <c r="U40" s="550">
        <f>SUM(U37:U39)</f>
        <v>1.44263363</v>
      </c>
      <c r="V40" s="551">
        <f t="shared" si="34"/>
        <v>-11.4</v>
      </c>
      <c r="W40" s="665">
        <v>1002.8841912600001</v>
      </c>
      <c r="X40" s="550">
        <v>219.10839644999999</v>
      </c>
      <c r="Y40" s="551">
        <f t="shared" si="35"/>
        <v>-78.2</v>
      </c>
      <c r="Z40" s="665">
        <f>SUM(Z37:Z39)</f>
        <v>22.400000000000006</v>
      </c>
      <c r="AA40" s="550">
        <f>SUM(AA37:AA39)</f>
        <v>139</v>
      </c>
      <c r="AB40" s="551">
        <f t="shared" si="36"/>
        <v>520.5</v>
      </c>
      <c r="AC40" s="665">
        <f>SUM(AC37:AC39)</f>
        <v>398</v>
      </c>
      <c r="AD40" s="550">
        <f>SUM(AD37:AD39)</f>
        <v>190</v>
      </c>
      <c r="AE40" s="551">
        <f t="shared" si="37"/>
        <v>-52.3</v>
      </c>
      <c r="AF40" s="665">
        <f>SUM(AF37:AF39)</f>
        <v>0.74885729000000001</v>
      </c>
      <c r="AG40" s="550">
        <f>SUM(AG37:AG39)</f>
        <v>8.3802429999999997E-2</v>
      </c>
      <c r="AH40" s="551"/>
      <c r="AI40" s="665">
        <f>SUM(AI37:AI39)</f>
        <v>643.24067376160008</v>
      </c>
      <c r="AJ40" s="550">
        <f>SUM(AJ37:AJ39)</f>
        <v>93.969083528400034</v>
      </c>
      <c r="AK40" s="551">
        <f t="shared" si="38"/>
        <v>-85.4</v>
      </c>
      <c r="AL40" s="665">
        <f>SUM(AL37:AL39)</f>
        <v>937</v>
      </c>
      <c r="AM40" s="550">
        <f>SUM(AM37:AM39)</f>
        <v>489</v>
      </c>
      <c r="AN40" s="551">
        <f t="shared" si="39"/>
        <v>-47.8</v>
      </c>
      <c r="AO40" s="551">
        <f t="shared" si="40"/>
        <v>3535.6088650216002</v>
      </c>
      <c r="AP40" s="551">
        <f t="shared" si="41"/>
        <v>2645.1084799783998</v>
      </c>
      <c r="AQ40" s="551">
        <f t="shared" si="13"/>
        <v>-25.2</v>
      </c>
      <c r="AR40" s="551"/>
      <c r="AS40" s="562"/>
      <c r="AT40" s="551"/>
    </row>
    <row r="41" spans="1:46" s="563" customFormat="1" ht="18.75" customHeight="1" x14ac:dyDescent="0.3">
      <c r="A41" s="549" t="s">
        <v>321</v>
      </c>
      <c r="B41" s="665">
        <f>B34+B40</f>
        <v>157.86200000000045</v>
      </c>
      <c r="C41" s="550">
        <f>C34+C40</f>
        <v>101.08699999999986</v>
      </c>
      <c r="D41" s="551">
        <f t="shared" si="28"/>
        <v>-36</v>
      </c>
      <c r="E41" s="665">
        <f>E34+E40</f>
        <v>-7.7999999999998639</v>
      </c>
      <c r="F41" s="550">
        <f>F34+F40</f>
        <v>-51.700000000000138</v>
      </c>
      <c r="G41" s="551">
        <f t="shared" si="29"/>
        <v>562.79999999999995</v>
      </c>
      <c r="H41" s="665">
        <f>H34+H40</f>
        <v>1377.4770000000017</v>
      </c>
      <c r="I41" s="550">
        <f>I34+I40</f>
        <v>-236.00700000000143</v>
      </c>
      <c r="J41" s="551">
        <f t="shared" si="30"/>
        <v>-117.1</v>
      </c>
      <c r="K41" s="550"/>
      <c r="L41" s="550">
        <f>L34+L40</f>
        <v>59</v>
      </c>
      <c r="M41" s="551" t="str">
        <f t="shared" si="31"/>
        <v xml:space="preserve">    ---- </v>
      </c>
      <c r="N41" s="665">
        <f>N34+N40</f>
        <v>116.2409999999999</v>
      </c>
      <c r="O41" s="550">
        <f>O34+O40</f>
        <v>195.1149999999999</v>
      </c>
      <c r="P41" s="551">
        <f t="shared" si="32"/>
        <v>67.900000000000006</v>
      </c>
      <c r="Q41" s="665">
        <f>Q34+Q40</f>
        <v>135.77299999999951</v>
      </c>
      <c r="R41" s="550">
        <f>R34+R40</f>
        <v>110.53000000000002</v>
      </c>
      <c r="S41" s="551">
        <f t="shared" si="33"/>
        <v>-18.600000000000001</v>
      </c>
      <c r="T41" s="665">
        <f>T34+T40</f>
        <v>1.6779986999999987</v>
      </c>
      <c r="U41" s="550">
        <f>U34+U40</f>
        <v>9.9198252699999987</v>
      </c>
      <c r="V41" s="551">
        <f t="shared" si="34"/>
        <v>491.2</v>
      </c>
      <c r="W41" s="665">
        <v>2148.7391809499977</v>
      </c>
      <c r="X41" s="550">
        <v>1303.1920969000066</v>
      </c>
      <c r="Y41" s="551">
        <f t="shared" si="35"/>
        <v>-39.4</v>
      </c>
      <c r="Z41" s="665">
        <f>Z34+Z40</f>
        <v>481.56733905999999</v>
      </c>
      <c r="AA41" s="550">
        <f>AA34+AA40</f>
        <v>629.20559321999997</v>
      </c>
      <c r="AB41" s="551">
        <f t="shared" si="36"/>
        <v>30.7</v>
      </c>
      <c r="AC41" s="665">
        <f>AC34+AC40</f>
        <v>439</v>
      </c>
      <c r="AD41" s="550">
        <f>AD34+AD40</f>
        <v>556</v>
      </c>
      <c r="AE41" s="551">
        <f t="shared" si="37"/>
        <v>26.7</v>
      </c>
      <c r="AF41" s="665">
        <f>AF34+AF40</f>
        <v>11.035375330000043</v>
      </c>
      <c r="AG41" s="550">
        <f>AG34+AG40</f>
        <v>11.851163810000029</v>
      </c>
      <c r="AH41" s="551">
        <f>IF(AF41=0, "    ---- ", IF(ABS(ROUND(100/AF41*AG41-100,1))&lt;999,ROUND(100/AF41*AG41-100,1),IF(ROUND(100/AF41*AG41-100,1)&gt;999,999,-999)))</f>
        <v>7.4</v>
      </c>
      <c r="AI41" s="665">
        <f>AI34+AI40</f>
        <v>1120.6911821999975</v>
      </c>
      <c r="AJ41" s="550">
        <f>AJ34+AJ40</f>
        <v>126.97807533000015</v>
      </c>
      <c r="AK41" s="551">
        <f t="shared" si="38"/>
        <v>-88.7</v>
      </c>
      <c r="AL41" s="665">
        <f>AL34+AL40</f>
        <v>1697</v>
      </c>
      <c r="AM41" s="550">
        <f>AM34+AM40</f>
        <v>803</v>
      </c>
      <c r="AN41" s="551">
        <f t="shared" si="39"/>
        <v>-52.7</v>
      </c>
      <c r="AO41" s="551">
        <f t="shared" si="40"/>
        <v>7666.5507022099973</v>
      </c>
      <c r="AP41" s="551">
        <f t="shared" si="41"/>
        <v>3596.4007654500051</v>
      </c>
      <c r="AQ41" s="551">
        <f t="shared" si="13"/>
        <v>-53.1</v>
      </c>
      <c r="AR41" s="551"/>
      <c r="AS41" s="562"/>
      <c r="AT41" s="551"/>
    </row>
    <row r="42" spans="1:46" s="560" customFormat="1" ht="18.75" customHeight="1" x14ac:dyDescent="0.3">
      <c r="A42" s="532" t="s">
        <v>322</v>
      </c>
      <c r="B42" s="666">
        <v>-39.466000000000001</v>
      </c>
      <c r="C42" s="535">
        <v>-25.271000000000001</v>
      </c>
      <c r="D42" s="534">
        <f t="shared" si="28"/>
        <v>-36</v>
      </c>
      <c r="E42" s="666"/>
      <c r="F42" s="535">
        <v>65</v>
      </c>
      <c r="G42" s="534"/>
      <c r="H42" s="666">
        <v>-245.21700000000001</v>
      </c>
      <c r="I42" s="535">
        <v>393.38499999999999</v>
      </c>
      <c r="J42" s="534">
        <f t="shared" si="30"/>
        <v>-260.39999999999998</v>
      </c>
      <c r="K42" s="535"/>
      <c r="L42" s="535">
        <v>-14</v>
      </c>
      <c r="M42" s="534" t="str">
        <f t="shared" si="31"/>
        <v xml:space="preserve">    ---- </v>
      </c>
      <c r="N42" s="666">
        <v>-25.1</v>
      </c>
      <c r="O42" s="535">
        <v>-48.262999999999998</v>
      </c>
      <c r="P42" s="534">
        <f t="shared" si="32"/>
        <v>92.3</v>
      </c>
      <c r="Q42" s="666">
        <v>-33.944000000000003</v>
      </c>
      <c r="R42" s="535">
        <v>-27.65</v>
      </c>
      <c r="S42" s="534">
        <f t="shared" si="33"/>
        <v>-18.5</v>
      </c>
      <c r="T42" s="666">
        <v>-0.50770899999999997</v>
      </c>
      <c r="U42" s="535">
        <v>-2.5011290000000002</v>
      </c>
      <c r="V42" s="534">
        <f t="shared" si="34"/>
        <v>392.6</v>
      </c>
      <c r="W42" s="666">
        <v>-409.16190799999998</v>
      </c>
      <c r="X42" s="535">
        <v>-184.28933747500002</v>
      </c>
      <c r="Y42" s="534"/>
      <c r="Z42" s="666">
        <v>-239</v>
      </c>
      <c r="AA42" s="535">
        <v>-158</v>
      </c>
      <c r="AB42" s="534">
        <f t="shared" si="36"/>
        <v>-33.9</v>
      </c>
      <c r="AC42" s="666">
        <v>-49</v>
      </c>
      <c r="AD42" s="535">
        <v>-110</v>
      </c>
      <c r="AE42" s="534">
        <f t="shared" si="37"/>
        <v>124.5</v>
      </c>
      <c r="AF42" s="666">
        <v>-2.4246690000000002</v>
      </c>
      <c r="AG42" s="535">
        <v>-2.7151239999999999</v>
      </c>
      <c r="AH42" s="534"/>
      <c r="AI42" s="666">
        <v>-123.370636</v>
      </c>
      <c r="AJ42" s="535">
        <v>-41.116055950000003</v>
      </c>
      <c r="AK42" s="534">
        <f t="shared" si="38"/>
        <v>-66.7</v>
      </c>
      <c r="AL42" s="666">
        <v>-137</v>
      </c>
      <c r="AM42" s="535">
        <v>507</v>
      </c>
      <c r="AN42" s="534">
        <f t="shared" si="39"/>
        <v>-470.1</v>
      </c>
      <c r="AO42" s="534">
        <f t="shared" si="40"/>
        <v>-1301.259544</v>
      </c>
      <c r="AP42" s="534">
        <f t="shared" si="41"/>
        <v>356.79560657499997</v>
      </c>
      <c r="AQ42" s="534">
        <f t="shared" si="13"/>
        <v>-127.4</v>
      </c>
      <c r="AR42" s="534"/>
      <c r="AS42" s="561"/>
      <c r="AT42" s="534"/>
    </row>
    <row r="43" spans="1:46" s="563" customFormat="1" ht="18.75" customHeight="1" x14ac:dyDescent="0.3">
      <c r="A43" s="549" t="s">
        <v>323</v>
      </c>
      <c r="B43" s="665">
        <f>B41+B42</f>
        <v>118.39600000000044</v>
      </c>
      <c r="C43" s="550">
        <f>C41+C42</f>
        <v>75.81599999999986</v>
      </c>
      <c r="D43" s="551">
        <f t="shared" si="28"/>
        <v>-36</v>
      </c>
      <c r="E43" s="665">
        <f>E41+E42</f>
        <v>-7.7999999999998639</v>
      </c>
      <c r="F43" s="550">
        <f>F41+F42</f>
        <v>13.299999999999862</v>
      </c>
      <c r="G43" s="551">
        <f t="shared" si="29"/>
        <v>-270.5</v>
      </c>
      <c r="H43" s="665">
        <f>H41+H42</f>
        <v>1132.2600000000016</v>
      </c>
      <c r="I43" s="550">
        <f>I41+I42</f>
        <v>157.37799999999856</v>
      </c>
      <c r="J43" s="551">
        <f t="shared" si="30"/>
        <v>-86.1</v>
      </c>
      <c r="K43" s="550"/>
      <c r="L43" s="550">
        <f>L41+L42</f>
        <v>45</v>
      </c>
      <c r="M43" s="551" t="str">
        <f t="shared" si="31"/>
        <v xml:space="preserve">    ---- </v>
      </c>
      <c r="N43" s="665">
        <f>N41+N42</f>
        <v>91.140999999999906</v>
      </c>
      <c r="O43" s="550">
        <f>O41+O42</f>
        <v>146.85199999999989</v>
      </c>
      <c r="P43" s="551">
        <f t="shared" si="32"/>
        <v>61.1</v>
      </c>
      <c r="Q43" s="665">
        <f>Q41+Q42</f>
        <v>101.82899999999951</v>
      </c>
      <c r="R43" s="550">
        <f>R41+R42</f>
        <v>82.880000000000024</v>
      </c>
      <c r="S43" s="551">
        <f t="shared" si="33"/>
        <v>-18.600000000000001</v>
      </c>
      <c r="T43" s="665">
        <f>T41+T42</f>
        <v>1.1702896999999988</v>
      </c>
      <c r="U43" s="550">
        <f>U41+U42</f>
        <v>7.4186962699999981</v>
      </c>
      <c r="V43" s="551">
        <f t="shared" si="34"/>
        <v>533.9</v>
      </c>
      <c r="W43" s="665">
        <v>1739.5772729499977</v>
      </c>
      <c r="X43" s="550">
        <v>1118.9027594250065</v>
      </c>
      <c r="Y43" s="551">
        <f t="shared" si="35"/>
        <v>-35.700000000000003</v>
      </c>
      <c r="Z43" s="665">
        <f>Z41+Z42</f>
        <v>242.56733905999999</v>
      </c>
      <c r="AA43" s="550">
        <f>AA41+AA42</f>
        <v>471.20559321999997</v>
      </c>
      <c r="AB43" s="551">
        <f t="shared" si="36"/>
        <v>94.3</v>
      </c>
      <c r="AC43" s="665">
        <f>AC41+AC42</f>
        <v>390</v>
      </c>
      <c r="AD43" s="550">
        <f>AD41+AD42</f>
        <v>446</v>
      </c>
      <c r="AE43" s="551">
        <f t="shared" si="37"/>
        <v>14.4</v>
      </c>
      <c r="AF43" s="665">
        <f>AF41+AF42</f>
        <v>8.6107063300000437</v>
      </c>
      <c r="AG43" s="550">
        <f>AG41+AG42</f>
        <v>9.13603981000003</v>
      </c>
      <c r="AH43" s="551">
        <f>IF(AF43=0, "    ---- ", IF(ABS(ROUND(100/AF43*AG43-100,1))&lt;999,ROUND(100/AF43*AG43-100,1),IF(ROUND(100/AF43*AG43-100,1)&gt;999,999,-999)))</f>
        <v>6.1</v>
      </c>
      <c r="AI43" s="665">
        <f>AI41+AI42</f>
        <v>997.32054619999747</v>
      </c>
      <c r="AJ43" s="550">
        <f>AJ41+AJ42</f>
        <v>85.862019380000149</v>
      </c>
      <c r="AK43" s="551">
        <f t="shared" si="38"/>
        <v>-91.4</v>
      </c>
      <c r="AL43" s="665">
        <f>AL41+AL42</f>
        <v>1560</v>
      </c>
      <c r="AM43" s="550">
        <f>AM41+AM42</f>
        <v>1310</v>
      </c>
      <c r="AN43" s="551">
        <f t="shared" si="39"/>
        <v>-16</v>
      </c>
      <c r="AO43" s="551">
        <f t="shared" si="40"/>
        <v>6365.2911582099969</v>
      </c>
      <c r="AP43" s="551">
        <f t="shared" si="41"/>
        <v>3953.1963720250051</v>
      </c>
      <c r="AQ43" s="551">
        <f t="shared" si="13"/>
        <v>-37.9</v>
      </c>
      <c r="AR43" s="551"/>
      <c r="AS43" s="562"/>
      <c r="AT43" s="551"/>
    </row>
    <row r="44" spans="1:46" s="560" customFormat="1" ht="18.75" customHeight="1" x14ac:dyDescent="0.3">
      <c r="A44" s="532" t="s">
        <v>324</v>
      </c>
      <c r="B44" s="666"/>
      <c r="C44" s="535"/>
      <c r="D44" s="534"/>
      <c r="E44" s="666"/>
      <c r="F44" s="535">
        <v>-3.5</v>
      </c>
      <c r="G44" s="534" t="str">
        <f t="shared" si="29"/>
        <v xml:space="preserve">    ---- </v>
      </c>
      <c r="H44" s="666">
        <v>-7.6420000000000003</v>
      </c>
      <c r="I44" s="535">
        <v>-7.7249999999999996</v>
      </c>
      <c r="J44" s="534">
        <f t="shared" si="30"/>
        <v>1.1000000000000001</v>
      </c>
      <c r="K44" s="535"/>
      <c r="L44" s="535">
        <v>0</v>
      </c>
      <c r="M44" s="534"/>
      <c r="N44" s="666"/>
      <c r="O44" s="535"/>
      <c r="P44" s="534"/>
      <c r="Q44" s="666"/>
      <c r="R44" s="535"/>
      <c r="S44" s="534" t="str">
        <f t="shared" si="33"/>
        <v xml:space="preserve">    ---- </v>
      </c>
      <c r="T44" s="666"/>
      <c r="U44" s="535"/>
      <c r="V44" s="534"/>
      <c r="W44" s="666">
        <v>-44.824277899999998</v>
      </c>
      <c r="X44" s="535">
        <v>-213.17688207500001</v>
      </c>
      <c r="Y44" s="534">
        <f t="shared" si="35"/>
        <v>375.6</v>
      </c>
      <c r="Z44" s="666">
        <v>-20</v>
      </c>
      <c r="AA44" s="535">
        <v>-19</v>
      </c>
      <c r="AB44" s="534">
        <f t="shared" si="36"/>
        <v>-5</v>
      </c>
      <c r="AC44" s="666"/>
      <c r="AD44" s="535"/>
      <c r="AE44" s="534"/>
      <c r="AF44" s="666"/>
      <c r="AG44" s="535"/>
      <c r="AH44" s="534"/>
      <c r="AI44" s="666"/>
      <c r="AJ44" s="535"/>
      <c r="AK44" s="534" t="str">
        <f t="shared" si="38"/>
        <v xml:space="preserve">    ---- </v>
      </c>
      <c r="AL44" s="666">
        <v>-17</v>
      </c>
      <c r="AM44" s="535"/>
      <c r="AN44" s="534">
        <f t="shared" si="39"/>
        <v>-100</v>
      </c>
      <c r="AO44" s="534">
        <f t="shared" si="40"/>
        <v>-89.466277899999994</v>
      </c>
      <c r="AP44" s="534">
        <f t="shared" si="41"/>
        <v>-243.401882075</v>
      </c>
      <c r="AQ44" s="534">
        <f t="shared" si="13"/>
        <v>172.1</v>
      </c>
      <c r="AR44" s="534"/>
      <c r="AS44" s="561"/>
      <c r="AT44" s="534"/>
    </row>
    <row r="45" spans="1:46" s="563" customFormat="1" ht="18.75" customHeight="1" x14ac:dyDescent="0.3">
      <c r="A45" s="546" t="s">
        <v>325</v>
      </c>
      <c r="B45" s="667">
        <f>B43+B44</f>
        <v>118.39600000000044</v>
      </c>
      <c r="C45" s="564">
        <f>C43+C44</f>
        <v>75.81599999999986</v>
      </c>
      <c r="D45" s="547">
        <f>IF(B45=0, "    ---- ", IF(ABS(ROUND(100/B45*C45-100,1))&lt;999,ROUND(100/B45*C45-100,1),IF(ROUND(100/B45*C45-100,1)&gt;999,999,-999)))</f>
        <v>-36</v>
      </c>
      <c r="E45" s="667">
        <f>E43+E44</f>
        <v>-7.7999999999998639</v>
      </c>
      <c r="F45" s="564">
        <f>F43+F44</f>
        <v>9.7999999999998622</v>
      </c>
      <c r="G45" s="547">
        <f>IF(E45=0, "    ---- ", IF(ABS(ROUND(100/E45*F45-100,1))&lt;999,ROUND(100/E45*F45-100,1),IF(ROUND(100/E45*F45-100,1)&gt;999,999,-999)))</f>
        <v>-225.6</v>
      </c>
      <c r="H45" s="667">
        <f>H43+H44</f>
        <v>1124.6180000000015</v>
      </c>
      <c r="I45" s="564">
        <f>I43+I44</f>
        <v>149.65299999999857</v>
      </c>
      <c r="J45" s="547">
        <f>IF(H45=0, "    ---- ", IF(ABS(ROUND(100/H45*I45-100,1))&lt;999,ROUND(100/H45*I45-100,1),IF(ROUND(100/H45*I45-100,1)&gt;999,999,-999)))</f>
        <v>-86.7</v>
      </c>
      <c r="K45" s="564"/>
      <c r="L45" s="564">
        <f>L43+L44</f>
        <v>45</v>
      </c>
      <c r="M45" s="547" t="str">
        <f>IF(K45=0, "    ---- ", IF(ABS(ROUND(100/K45*L45-100,1))&lt;999,ROUND(100/K45*L45-100,1),IF(ROUND(100/K45*L45-100,1)&gt;999,999,-999)))</f>
        <v xml:space="preserve">    ---- </v>
      </c>
      <c r="N45" s="667">
        <f>N43+N44</f>
        <v>91.140999999999906</v>
      </c>
      <c r="O45" s="564">
        <f>O43+O44</f>
        <v>146.85199999999989</v>
      </c>
      <c r="P45" s="547">
        <f>IF(N45=0, "    ---- ", IF(ABS(ROUND(100/N45*O45-100,1))&lt;999,ROUND(100/N45*O45-100,1),IF(ROUND(100/N45*O45-100,1)&gt;999,999,-999)))</f>
        <v>61.1</v>
      </c>
      <c r="Q45" s="667">
        <f>Q43+Q44</f>
        <v>101.82899999999951</v>
      </c>
      <c r="R45" s="564">
        <f>R43+R44</f>
        <v>82.880000000000024</v>
      </c>
      <c r="S45" s="547">
        <f>IF(Q45=0, "    ---- ", IF(ABS(ROUND(100/Q45*R45-100,1))&lt;999,ROUND(100/Q45*R45-100,1),IF(ROUND(100/Q45*R45-100,1)&gt;999,999,-999)))</f>
        <v>-18.600000000000001</v>
      </c>
      <c r="T45" s="667">
        <f>T43+T44</f>
        <v>1.1702896999999988</v>
      </c>
      <c r="U45" s="564">
        <f>U43+U44</f>
        <v>7.4186962699999981</v>
      </c>
      <c r="V45" s="547">
        <f>IF(T45=0, "    ---- ", IF(ABS(ROUND(100/T45*U45-100,1))&lt;999,ROUND(100/T45*U45-100,1),IF(ROUND(100/T45*U45-100,1)&gt;999,999,-999)))</f>
        <v>533.9</v>
      </c>
      <c r="W45" s="667">
        <v>1694.7529950499977</v>
      </c>
      <c r="X45" s="564">
        <v>905.7258773500065</v>
      </c>
      <c r="Y45" s="547">
        <f>IF(W45=0, "    ---- ", IF(ABS(ROUND(100/W45*X45-100,1))&lt;999,ROUND(100/W45*X45-100,1),IF(ROUND(100/W45*X45-100,1)&gt;999,999,-999)))</f>
        <v>-46.6</v>
      </c>
      <c r="Z45" s="667">
        <f>Z43+Z44</f>
        <v>222.56733905999999</v>
      </c>
      <c r="AA45" s="564">
        <f>AA43+AA44</f>
        <v>452.20559321999997</v>
      </c>
      <c r="AB45" s="547">
        <f>IF(Z45=0, "    ---- ", IF(ABS(ROUND(100/Z45*AA45-100,1))&lt;999,ROUND(100/Z45*AA45-100,1),IF(ROUND(100/Z45*AA45-100,1)&gt;999,999,-999)))</f>
        <v>103.2</v>
      </c>
      <c r="AC45" s="667">
        <f>AC43+AC44</f>
        <v>390</v>
      </c>
      <c r="AD45" s="564">
        <f>AD43+AD44</f>
        <v>446</v>
      </c>
      <c r="AE45" s="547">
        <f>IF(AC45=0, "    ---- ", IF(ABS(ROUND(100/AC45*AD45-100,1))&lt;999,ROUND(100/AC45*AD45-100,1),IF(ROUND(100/AC45*AD45-100,1)&gt;999,999,-999)))</f>
        <v>14.4</v>
      </c>
      <c r="AF45" s="667">
        <f>AF43+AF44</f>
        <v>8.6107063300000437</v>
      </c>
      <c r="AG45" s="564">
        <f>AG43+AG44</f>
        <v>9.13603981000003</v>
      </c>
      <c r="AH45" s="547">
        <f>IF(AF45=0, "    ---- ", IF(ABS(ROUND(100/AF45*AG45-100,1))&lt;999,ROUND(100/AF45*AG45-100,1),IF(ROUND(100/AF45*AG45-100,1)&gt;999,999,-999)))</f>
        <v>6.1</v>
      </c>
      <c r="AI45" s="667">
        <f>AI43+AI44</f>
        <v>997.32054619999747</v>
      </c>
      <c r="AJ45" s="564">
        <f>AJ43+AJ44</f>
        <v>85.862019380000149</v>
      </c>
      <c r="AK45" s="547">
        <f>IF(AI45=0, "    ---- ", IF(ABS(ROUND(100/AI45*AJ45-100,1))&lt;999,ROUND(100/AI45*AJ45-100,1),IF(ROUND(100/AI45*AJ45-100,1)&gt;999,999,-999)))</f>
        <v>-91.4</v>
      </c>
      <c r="AL45" s="667">
        <f>AL43+AL44</f>
        <v>1543</v>
      </c>
      <c r="AM45" s="564">
        <f>AM43+AM44</f>
        <v>1310</v>
      </c>
      <c r="AN45" s="547">
        <f>IF(AL45=0, "    ---- ", IF(ABS(ROUND(100/AL45*AM45-100,1))&lt;999,ROUND(100/AL45*AM45-100,1),IF(ROUND(100/AL45*AM45-100,1)&gt;999,999,-999)))</f>
        <v>-15.1</v>
      </c>
      <c r="AO45" s="547">
        <f t="shared" si="40"/>
        <v>6275.8248803099968</v>
      </c>
      <c r="AP45" s="547">
        <f t="shared" si="41"/>
        <v>3709.7944899500048</v>
      </c>
      <c r="AQ45" s="547">
        <f t="shared" si="13"/>
        <v>-40.9</v>
      </c>
      <c r="AR45" s="565"/>
      <c r="AS45" s="566"/>
      <c r="AT45" s="567"/>
    </row>
    <row r="46" spans="1:46" s="563" customFormat="1" ht="18.75" customHeight="1" x14ac:dyDescent="0.3">
      <c r="A46" s="568"/>
      <c r="B46" s="668"/>
      <c r="C46" s="569"/>
      <c r="D46" s="570"/>
      <c r="E46" s="668"/>
      <c r="F46" s="569"/>
      <c r="G46" s="552"/>
      <c r="H46" s="668"/>
      <c r="I46" s="569"/>
      <c r="J46" s="552"/>
      <c r="K46" s="569"/>
      <c r="L46" s="569"/>
      <c r="M46" s="552"/>
      <c r="N46" s="668"/>
      <c r="O46" s="569"/>
      <c r="P46" s="552"/>
      <c r="Q46" s="668"/>
      <c r="R46" s="569"/>
      <c r="S46" s="570"/>
      <c r="T46" s="668"/>
      <c r="U46" s="569"/>
      <c r="V46" s="552"/>
      <c r="W46" s="668"/>
      <c r="X46" s="569"/>
      <c r="Y46" s="552"/>
      <c r="Z46" s="668"/>
      <c r="AA46" s="569"/>
      <c r="AB46" s="552"/>
      <c r="AC46" s="668"/>
      <c r="AD46" s="569"/>
      <c r="AE46" s="552"/>
      <c r="AF46" s="668"/>
      <c r="AG46" s="569"/>
      <c r="AH46" s="552"/>
      <c r="AI46" s="668"/>
      <c r="AJ46" s="569"/>
      <c r="AK46" s="552"/>
      <c r="AL46" s="668"/>
      <c r="AM46" s="569"/>
      <c r="AN46" s="552"/>
      <c r="AO46" s="570"/>
      <c r="AP46" s="570"/>
      <c r="AQ46" s="552"/>
      <c r="AR46" s="571"/>
      <c r="AS46" s="571"/>
      <c r="AT46" s="572"/>
    </row>
    <row r="47" spans="1:46" s="573" customFormat="1" ht="18.75" customHeight="1" x14ac:dyDescent="0.3">
      <c r="A47" s="589" t="s">
        <v>326</v>
      </c>
      <c r="B47" s="605"/>
      <c r="C47" s="605"/>
      <c r="D47" s="589"/>
      <c r="E47" s="605"/>
      <c r="F47" s="605"/>
      <c r="G47" s="589"/>
      <c r="H47" s="605"/>
      <c r="I47" s="605"/>
      <c r="J47" s="589"/>
      <c r="K47" s="605"/>
      <c r="L47" s="605"/>
      <c r="M47" s="589"/>
      <c r="N47" s="605"/>
      <c r="O47" s="605"/>
      <c r="P47" s="589"/>
      <c r="Q47" s="605"/>
      <c r="R47" s="605"/>
      <c r="S47" s="589"/>
      <c r="T47" s="605"/>
      <c r="U47" s="605"/>
      <c r="V47" s="589"/>
      <c r="W47" s="605"/>
      <c r="X47" s="605"/>
      <c r="Y47" s="589"/>
      <c r="Z47" s="605"/>
      <c r="AA47" s="605"/>
      <c r="AB47" s="589"/>
      <c r="AC47" s="605"/>
      <c r="AD47" s="605"/>
      <c r="AE47" s="589"/>
      <c r="AF47" s="605"/>
      <c r="AG47" s="605"/>
      <c r="AH47" s="589"/>
      <c r="AI47" s="589"/>
      <c r="AJ47" s="605"/>
      <c r="AK47" s="589"/>
      <c r="AL47" s="605"/>
      <c r="AM47" s="605"/>
      <c r="AN47" s="589"/>
      <c r="AO47" s="589"/>
      <c r="AP47" s="589"/>
      <c r="AQ47" s="589"/>
      <c r="AR47" s="589"/>
      <c r="AS47" s="589"/>
      <c r="AT47" s="589"/>
    </row>
    <row r="48" spans="1:46" s="574" customFormat="1" ht="18.75" customHeight="1" x14ac:dyDescent="0.3">
      <c r="A48" s="589" t="s">
        <v>327</v>
      </c>
      <c r="B48" s="605"/>
      <c r="C48" s="605"/>
      <c r="D48" s="589"/>
      <c r="E48" s="605"/>
      <c r="F48" s="605"/>
      <c r="G48" s="589"/>
      <c r="H48" s="605"/>
      <c r="I48" s="605"/>
      <c r="J48" s="589"/>
      <c r="K48" s="605"/>
      <c r="L48" s="605"/>
      <c r="M48" s="589"/>
      <c r="N48" s="605"/>
      <c r="O48" s="605"/>
      <c r="P48" s="589"/>
      <c r="Q48" s="605"/>
      <c r="R48" s="605"/>
      <c r="S48" s="589"/>
      <c r="T48" s="605"/>
      <c r="U48" s="605"/>
      <c r="V48" s="589"/>
      <c r="W48" s="605"/>
      <c r="X48" s="605"/>
      <c r="Y48" s="589"/>
      <c r="Z48" s="605"/>
      <c r="AA48" s="605"/>
      <c r="AB48" s="589"/>
      <c r="AC48" s="605"/>
      <c r="AD48" s="605"/>
      <c r="AE48" s="589"/>
      <c r="AF48" s="605"/>
      <c r="AG48" s="605"/>
      <c r="AH48" s="589"/>
      <c r="AI48" s="589"/>
      <c r="AJ48" s="605"/>
      <c r="AK48" s="589"/>
      <c r="AL48" s="605"/>
      <c r="AM48" s="605"/>
      <c r="AN48" s="589"/>
      <c r="AO48" s="589"/>
      <c r="AP48" s="589"/>
      <c r="AQ48" s="589"/>
      <c r="AR48" s="589"/>
      <c r="AS48" s="589"/>
      <c r="AT48" s="589"/>
    </row>
    <row r="49" spans="1:46" s="574" customFormat="1" ht="18.75" customHeight="1" x14ac:dyDescent="0.3">
      <c r="A49" s="589" t="s">
        <v>328</v>
      </c>
      <c r="B49" s="605"/>
      <c r="C49" s="605"/>
      <c r="D49" s="589"/>
      <c r="E49" s="605"/>
      <c r="F49" s="605"/>
      <c r="G49" s="589"/>
      <c r="H49" s="605"/>
      <c r="I49" s="605"/>
      <c r="J49" s="589"/>
      <c r="K49" s="605"/>
      <c r="L49" s="605"/>
      <c r="M49" s="589"/>
      <c r="N49" s="605"/>
      <c r="O49" s="605"/>
      <c r="P49" s="589"/>
      <c r="Q49" s="605"/>
      <c r="R49" s="605"/>
      <c r="S49" s="589"/>
      <c r="T49" s="605"/>
      <c r="U49" s="605"/>
      <c r="V49" s="589"/>
      <c r="W49" s="605"/>
      <c r="X49" s="605"/>
      <c r="Y49" s="589"/>
      <c r="Z49" s="605"/>
      <c r="AA49" s="605"/>
      <c r="AB49" s="589"/>
      <c r="AC49" s="605"/>
      <c r="AD49" s="605"/>
      <c r="AE49" s="589"/>
      <c r="AF49" s="605"/>
      <c r="AG49" s="605"/>
      <c r="AH49" s="589"/>
      <c r="AI49" s="589"/>
      <c r="AJ49" s="605"/>
      <c r="AK49" s="589"/>
      <c r="AL49" s="605"/>
      <c r="AM49" s="605"/>
      <c r="AN49" s="589"/>
      <c r="AO49" s="589"/>
      <c r="AP49" s="589"/>
      <c r="AQ49" s="589"/>
      <c r="AR49" s="589"/>
      <c r="AS49" s="589"/>
      <c r="AT49" s="589"/>
    </row>
    <row r="50" spans="1:46" s="574" customFormat="1" ht="18.75" customHeight="1" x14ac:dyDescent="0.3">
      <c r="A50" s="589" t="s">
        <v>329</v>
      </c>
      <c r="B50" s="605"/>
      <c r="C50" s="605"/>
      <c r="D50" s="589"/>
      <c r="E50" s="605"/>
      <c r="F50" s="605"/>
      <c r="G50" s="589"/>
      <c r="H50" s="605"/>
      <c r="I50" s="605"/>
      <c r="J50" s="589"/>
      <c r="K50" s="605"/>
      <c r="L50" s="605"/>
      <c r="M50" s="589"/>
      <c r="N50" s="605"/>
      <c r="O50" s="605"/>
      <c r="P50" s="589"/>
      <c r="Q50" s="605"/>
      <c r="R50" s="605"/>
      <c r="S50" s="589"/>
      <c r="T50" s="605"/>
      <c r="U50" s="605"/>
      <c r="V50" s="589"/>
      <c r="W50" s="605"/>
      <c r="X50" s="605"/>
      <c r="Y50" s="589"/>
      <c r="Z50" s="605"/>
      <c r="AA50" s="605"/>
      <c r="AB50" s="589"/>
      <c r="AC50" s="605"/>
      <c r="AD50" s="605"/>
      <c r="AE50" s="589"/>
      <c r="AF50" s="605"/>
      <c r="AG50" s="605"/>
      <c r="AH50" s="589"/>
      <c r="AI50" s="589"/>
      <c r="AJ50" s="605"/>
      <c r="AK50" s="589"/>
      <c r="AL50" s="605"/>
      <c r="AM50" s="605"/>
      <c r="AN50" s="589"/>
      <c r="AO50" s="589"/>
      <c r="AP50" s="589"/>
      <c r="AQ50" s="589"/>
      <c r="AR50" s="589"/>
      <c r="AS50" s="589"/>
      <c r="AT50" s="589"/>
    </row>
    <row r="51" spans="1:46" s="574" customFormat="1" ht="18.75" customHeight="1" x14ac:dyDescent="0.3">
      <c r="A51" s="589" t="s">
        <v>330</v>
      </c>
      <c r="B51" s="605"/>
      <c r="C51" s="605"/>
      <c r="D51" s="589"/>
      <c r="E51" s="605"/>
      <c r="F51" s="605"/>
      <c r="G51" s="589"/>
      <c r="H51" s="605"/>
      <c r="I51" s="605"/>
      <c r="J51" s="589"/>
      <c r="K51" s="605"/>
      <c r="L51" s="605"/>
      <c r="M51" s="589"/>
      <c r="N51" s="605"/>
      <c r="O51" s="605"/>
      <c r="P51" s="589"/>
      <c r="Q51" s="605"/>
      <c r="R51" s="605"/>
      <c r="S51" s="589"/>
      <c r="T51" s="605"/>
      <c r="U51" s="605"/>
      <c r="V51" s="589"/>
      <c r="W51" s="605"/>
      <c r="X51" s="605"/>
      <c r="Y51" s="589"/>
      <c r="Z51" s="605"/>
      <c r="AA51" s="605"/>
      <c r="AB51" s="589"/>
      <c r="AC51" s="605"/>
      <c r="AD51" s="605"/>
      <c r="AE51" s="589"/>
      <c r="AF51" s="605"/>
      <c r="AG51" s="605"/>
      <c r="AH51" s="589"/>
      <c r="AI51" s="589"/>
      <c r="AJ51" s="605"/>
      <c r="AK51" s="589"/>
      <c r="AL51" s="605"/>
      <c r="AM51" s="605"/>
      <c r="AN51" s="589"/>
      <c r="AO51" s="589"/>
      <c r="AP51" s="589"/>
      <c r="AQ51" s="589"/>
      <c r="AR51" s="589"/>
      <c r="AS51" s="589"/>
      <c r="AT51" s="589"/>
    </row>
    <row r="52" spans="1:46" s="574" customFormat="1" ht="18.75" customHeight="1" x14ac:dyDescent="0.3">
      <c r="A52" s="589" t="s">
        <v>331</v>
      </c>
      <c r="B52" s="605"/>
      <c r="C52" s="605"/>
      <c r="D52" s="589"/>
      <c r="E52" s="605"/>
      <c r="F52" s="605"/>
      <c r="G52" s="589"/>
      <c r="H52" s="605"/>
      <c r="I52" s="605"/>
      <c r="J52" s="589"/>
      <c r="K52" s="605"/>
      <c r="L52" s="605"/>
      <c r="M52" s="589"/>
      <c r="N52" s="605"/>
      <c r="O52" s="605"/>
      <c r="P52" s="589"/>
      <c r="Q52" s="605"/>
      <c r="R52" s="605"/>
      <c r="S52" s="589"/>
      <c r="T52" s="605"/>
      <c r="U52" s="605"/>
      <c r="V52" s="589"/>
      <c r="W52" s="605"/>
      <c r="X52" s="605"/>
      <c r="Y52" s="589"/>
      <c r="Z52" s="605"/>
      <c r="AA52" s="605"/>
      <c r="AB52" s="589"/>
      <c r="AC52" s="605"/>
      <c r="AD52" s="605"/>
      <c r="AE52" s="589"/>
      <c r="AF52" s="605"/>
      <c r="AG52" s="605"/>
      <c r="AH52" s="589"/>
      <c r="AI52" s="589"/>
      <c r="AJ52" s="605"/>
      <c r="AK52" s="589"/>
      <c r="AL52" s="605"/>
      <c r="AM52" s="605"/>
      <c r="AN52" s="589"/>
      <c r="AO52" s="589"/>
      <c r="AP52" s="589"/>
      <c r="AQ52" s="589"/>
      <c r="AR52" s="589"/>
      <c r="AS52" s="589"/>
      <c r="AT52" s="589"/>
    </row>
    <row r="53" spans="1:46" s="574" customFormat="1" ht="18.75" customHeight="1" x14ac:dyDescent="0.3">
      <c r="A53" s="589" t="s">
        <v>332</v>
      </c>
      <c r="B53" s="605"/>
      <c r="C53" s="605"/>
      <c r="D53" s="589"/>
      <c r="E53" s="605"/>
      <c r="F53" s="605"/>
      <c r="G53" s="589"/>
      <c r="H53" s="605"/>
      <c r="I53" s="605"/>
      <c r="J53" s="589"/>
      <c r="K53" s="605"/>
      <c r="L53" s="605"/>
      <c r="M53" s="589"/>
      <c r="N53" s="605"/>
      <c r="O53" s="605"/>
      <c r="P53" s="589"/>
      <c r="Q53" s="605"/>
      <c r="R53" s="605"/>
      <c r="S53" s="589"/>
      <c r="T53" s="605"/>
      <c r="U53" s="605"/>
      <c r="V53" s="589"/>
      <c r="W53" s="605"/>
      <c r="X53" s="605"/>
      <c r="Y53" s="589"/>
      <c r="Z53" s="605"/>
      <c r="AA53" s="605"/>
      <c r="AB53" s="589"/>
      <c r="AC53" s="605"/>
      <c r="AD53" s="605"/>
      <c r="AE53" s="589"/>
      <c r="AF53" s="605"/>
      <c r="AG53" s="605"/>
      <c r="AH53" s="589"/>
      <c r="AI53" s="589"/>
      <c r="AJ53" s="605"/>
      <c r="AK53" s="589"/>
      <c r="AL53" s="605"/>
      <c r="AM53" s="605"/>
      <c r="AN53" s="589"/>
      <c r="AO53" s="589"/>
      <c r="AP53" s="589"/>
      <c r="AQ53" s="589"/>
      <c r="AR53" s="589"/>
      <c r="AS53" s="589"/>
      <c r="AT53" s="589"/>
    </row>
    <row r="54" spans="1:46" s="574" customFormat="1" ht="18.75" customHeight="1" x14ac:dyDescent="0.3">
      <c r="A54" s="589" t="s">
        <v>333</v>
      </c>
      <c r="B54" s="605"/>
      <c r="C54" s="605"/>
      <c r="D54" s="589"/>
      <c r="E54" s="605"/>
      <c r="F54" s="605"/>
      <c r="G54" s="589"/>
      <c r="H54" s="605"/>
      <c r="I54" s="605"/>
      <c r="J54" s="589"/>
      <c r="K54" s="605"/>
      <c r="L54" s="605"/>
      <c r="M54" s="589"/>
      <c r="N54" s="605"/>
      <c r="O54" s="605"/>
      <c r="P54" s="589"/>
      <c r="Q54" s="605"/>
      <c r="R54" s="605"/>
      <c r="S54" s="589"/>
      <c r="T54" s="605"/>
      <c r="U54" s="605"/>
      <c r="V54" s="589"/>
      <c r="W54" s="605"/>
      <c r="X54" s="605"/>
      <c r="Y54" s="589"/>
      <c r="Z54" s="605"/>
      <c r="AA54" s="605"/>
      <c r="AB54" s="589"/>
      <c r="AC54" s="605"/>
      <c r="AD54" s="605"/>
      <c r="AE54" s="589"/>
      <c r="AF54" s="605"/>
      <c r="AG54" s="605"/>
      <c r="AH54" s="589"/>
      <c r="AI54" s="589"/>
      <c r="AJ54" s="605"/>
      <c r="AK54" s="589"/>
      <c r="AL54" s="605"/>
      <c r="AM54" s="605"/>
      <c r="AN54" s="589"/>
      <c r="AO54" s="589"/>
      <c r="AP54" s="589"/>
      <c r="AQ54" s="589"/>
      <c r="AR54" s="589"/>
      <c r="AS54" s="589"/>
      <c r="AT54" s="589"/>
    </row>
    <row r="55" spans="1:46" s="574" customFormat="1" ht="18.75" customHeight="1" x14ac:dyDescent="0.3">
      <c r="A55" s="589" t="s">
        <v>334</v>
      </c>
      <c r="B55" s="605"/>
      <c r="C55" s="605"/>
      <c r="D55" s="589"/>
      <c r="E55" s="605"/>
      <c r="F55" s="605"/>
      <c r="G55" s="589"/>
      <c r="H55" s="605"/>
      <c r="I55" s="605"/>
      <c r="J55" s="589"/>
      <c r="K55" s="605"/>
      <c r="L55" s="605"/>
      <c r="M55" s="589"/>
      <c r="N55" s="605"/>
      <c r="O55" s="605"/>
      <c r="P55" s="589"/>
      <c r="Q55" s="605"/>
      <c r="R55" s="605"/>
      <c r="S55" s="589"/>
      <c r="T55" s="605"/>
      <c r="U55" s="605"/>
      <c r="V55" s="589"/>
      <c r="W55" s="605"/>
      <c r="X55" s="605"/>
      <c r="Y55" s="589"/>
      <c r="Z55" s="605"/>
      <c r="AA55" s="605"/>
      <c r="AB55" s="589"/>
      <c r="AC55" s="605"/>
      <c r="AD55" s="605"/>
      <c r="AE55" s="589"/>
      <c r="AF55" s="605"/>
      <c r="AG55" s="605"/>
      <c r="AH55" s="589"/>
      <c r="AI55" s="589"/>
      <c r="AJ55" s="605"/>
      <c r="AK55" s="589"/>
      <c r="AL55" s="605"/>
      <c r="AM55" s="605"/>
      <c r="AN55" s="589"/>
      <c r="AO55" s="589"/>
      <c r="AP55" s="589"/>
      <c r="AQ55" s="589"/>
      <c r="AR55" s="589"/>
      <c r="AS55" s="589"/>
      <c r="AT55" s="589"/>
    </row>
    <row r="56" spans="1:46" s="574" customFormat="1" ht="18.75" customHeight="1" x14ac:dyDescent="0.3">
      <c r="A56" s="589" t="s">
        <v>335</v>
      </c>
      <c r="B56" s="605"/>
      <c r="C56" s="605"/>
      <c r="D56" s="589"/>
      <c r="E56" s="605"/>
      <c r="F56" s="605"/>
      <c r="G56" s="589"/>
      <c r="H56" s="605"/>
      <c r="I56" s="605"/>
      <c r="J56" s="589"/>
      <c r="K56" s="605"/>
      <c r="L56" s="605"/>
      <c r="M56" s="589"/>
      <c r="N56" s="605"/>
      <c r="O56" s="605"/>
      <c r="P56" s="589"/>
      <c r="Q56" s="605"/>
      <c r="R56" s="605"/>
      <c r="S56" s="589"/>
      <c r="T56" s="605"/>
      <c r="U56" s="605"/>
      <c r="V56" s="589"/>
      <c r="W56" s="605"/>
      <c r="X56" s="605"/>
      <c r="Y56" s="589"/>
      <c r="Z56" s="605"/>
      <c r="AA56" s="605"/>
      <c r="AB56" s="589"/>
      <c r="AC56" s="605"/>
      <c r="AD56" s="605"/>
      <c r="AE56" s="589"/>
      <c r="AF56" s="605"/>
      <c r="AG56" s="605"/>
      <c r="AH56" s="589"/>
      <c r="AI56" s="589"/>
      <c r="AJ56" s="605"/>
      <c r="AK56" s="589"/>
      <c r="AL56" s="605"/>
      <c r="AM56" s="605"/>
      <c r="AN56" s="589"/>
      <c r="AO56" s="589"/>
      <c r="AP56" s="589"/>
      <c r="AQ56" s="589"/>
      <c r="AR56" s="589"/>
      <c r="AS56" s="589"/>
      <c r="AT56" s="589"/>
    </row>
    <row r="57" spans="1:46" s="573" customFormat="1" ht="18.75" customHeight="1" x14ac:dyDescent="0.3">
      <c r="A57" s="590" t="s">
        <v>336</v>
      </c>
      <c r="B57" s="606"/>
      <c r="C57" s="606"/>
      <c r="D57" s="590"/>
      <c r="E57" s="606"/>
      <c r="F57" s="606"/>
      <c r="G57" s="590"/>
      <c r="H57" s="606"/>
      <c r="I57" s="606"/>
      <c r="J57" s="590"/>
      <c r="K57" s="606"/>
      <c r="L57" s="606"/>
      <c r="M57" s="590"/>
      <c r="N57" s="606"/>
      <c r="O57" s="606"/>
      <c r="P57" s="590"/>
      <c r="Q57" s="606"/>
      <c r="R57" s="606"/>
      <c r="S57" s="590"/>
      <c r="T57" s="606"/>
      <c r="U57" s="606"/>
      <c r="V57" s="590"/>
      <c r="W57" s="606"/>
      <c r="X57" s="606"/>
      <c r="Y57" s="590"/>
      <c r="Z57" s="606"/>
      <c r="AA57" s="606"/>
      <c r="AB57" s="590"/>
      <c r="AC57" s="606"/>
      <c r="AD57" s="606"/>
      <c r="AE57" s="590"/>
      <c r="AF57" s="606"/>
      <c r="AG57" s="606"/>
      <c r="AH57" s="590"/>
      <c r="AI57" s="590"/>
      <c r="AJ57" s="606"/>
      <c r="AK57" s="590"/>
      <c r="AL57" s="606"/>
      <c r="AM57" s="606"/>
      <c r="AN57" s="590"/>
      <c r="AO57" s="590"/>
      <c r="AP57" s="590"/>
      <c r="AQ57" s="590"/>
      <c r="AR57" s="590"/>
      <c r="AS57" s="590"/>
      <c r="AT57" s="590"/>
    </row>
    <row r="58" spans="1:46" s="576" customFormat="1" ht="18.75" customHeight="1" x14ac:dyDescent="0.3">
      <c r="A58" s="560" t="s">
        <v>252</v>
      </c>
      <c r="B58" s="560"/>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5"/>
      <c r="AL58" s="575"/>
      <c r="AM58" s="575"/>
      <c r="AN58" s="575"/>
      <c r="AO58" s="575"/>
      <c r="AP58" s="575"/>
      <c r="AQ58" s="575"/>
      <c r="AR58" s="575"/>
      <c r="AS58" s="575"/>
    </row>
    <row r="59" spans="1:46" s="576" customFormat="1" ht="18.75" customHeight="1" x14ac:dyDescent="0.3">
      <c r="A59" s="560" t="s">
        <v>253</v>
      </c>
    </row>
    <row r="60" spans="1:46" s="576" customFormat="1" ht="18.75" customHeight="1" x14ac:dyDescent="0.3">
      <c r="A60" s="560" t="s">
        <v>254</v>
      </c>
    </row>
    <row r="61" spans="1:46" s="576" customFormat="1" ht="18.75" x14ac:dyDescent="0.3"/>
  </sheetData>
  <mergeCells count="28">
    <mergeCell ref="K6:M6"/>
    <mergeCell ref="AF6:AH6"/>
    <mergeCell ref="AI6:AK6"/>
    <mergeCell ref="AL6:AN6"/>
    <mergeCell ref="AO6:AQ6"/>
    <mergeCell ref="AR6:AT6"/>
    <mergeCell ref="AR5:AT5"/>
    <mergeCell ref="B6:D6"/>
    <mergeCell ref="H6:J6"/>
    <mergeCell ref="N6:P6"/>
    <mergeCell ref="Q6:S6"/>
    <mergeCell ref="T6:V6"/>
    <mergeCell ref="W6:Y6"/>
    <mergeCell ref="E6:G6"/>
    <mergeCell ref="Z6:AB6"/>
    <mergeCell ref="AC6:AE6"/>
    <mergeCell ref="E5:G5"/>
    <mergeCell ref="AC5:AE5"/>
    <mergeCell ref="AI5:AK5"/>
    <mergeCell ref="AL5:AN5"/>
    <mergeCell ref="AO5:AQ5"/>
    <mergeCell ref="W5:Y5"/>
    <mergeCell ref="K5:M5"/>
    <mergeCell ref="B5:D5"/>
    <mergeCell ref="H5:J5"/>
    <mergeCell ref="N5:P5"/>
    <mergeCell ref="Q5:S5"/>
    <mergeCell ref="T5:V5"/>
  </mergeCells>
  <conditionalFormatting sqref="Q29">
    <cfRule type="expression" dxfId="220" priority="116">
      <formula>#REF! ="30≠24+25+26+27+28+29"</formula>
    </cfRule>
  </conditionalFormatting>
  <conditionalFormatting sqref="Q34">
    <cfRule type="expression" dxfId="219" priority="117">
      <formula>#REF! ="35≠14+15+16+17+22+30+31+32+33+34"</formula>
    </cfRule>
  </conditionalFormatting>
  <conditionalFormatting sqref="Q45">
    <cfRule type="expression" dxfId="218" priority="118">
      <formula>#REF! ="46≠35+38+39+40+43+45"</formula>
    </cfRule>
  </conditionalFormatting>
  <conditionalFormatting sqref="Q14">
    <cfRule type="expression" dxfId="217" priority="119">
      <formula>#REF! ="14≠11+12+13"</formula>
    </cfRule>
  </conditionalFormatting>
  <conditionalFormatting sqref="Q21">
    <cfRule type="expression" dxfId="216" priority="120">
      <formula>#REF! ="22≠19+20+21"</formula>
    </cfRule>
  </conditionalFormatting>
  <conditionalFormatting sqref="AF29">
    <cfRule type="expression" dxfId="215" priority="101">
      <formula>#REF! ="30≠24+25+26+27+28+29"</formula>
    </cfRule>
  </conditionalFormatting>
  <conditionalFormatting sqref="AF34">
    <cfRule type="expression" dxfId="214" priority="102">
      <formula>#REF! ="35≠14+15+16+17+22+30+31+32+33+34"</formula>
    </cfRule>
  </conditionalFormatting>
  <conditionalFormatting sqref="AF45">
    <cfRule type="expression" dxfId="213" priority="103">
      <formula>#REF! ="46≠35+38+39+40+43+45"</formula>
    </cfRule>
  </conditionalFormatting>
  <conditionalFormatting sqref="AF14">
    <cfRule type="expression" dxfId="212" priority="104">
      <formula>#REF! ="14≠11+12+13"</formula>
    </cfRule>
  </conditionalFormatting>
  <conditionalFormatting sqref="AF21">
    <cfRule type="expression" dxfId="211" priority="105">
      <formula>#REF! ="22≠19+20+21"</formula>
    </cfRule>
  </conditionalFormatting>
  <conditionalFormatting sqref="T29">
    <cfRule type="expression" dxfId="210" priority="91">
      <formula>#REF! ="30≠24+25+26+27+28+29"</formula>
    </cfRule>
  </conditionalFormatting>
  <conditionalFormatting sqref="T34">
    <cfRule type="expression" dxfId="209" priority="92">
      <formula>#REF! ="35≠14+15+16+17+22+30+31+32+33+34"</formula>
    </cfRule>
  </conditionalFormatting>
  <conditionalFormatting sqref="T45">
    <cfRule type="expression" dxfId="208" priority="93">
      <formula>#REF! ="46≠35+38+39+40+43+45"</formula>
    </cfRule>
  </conditionalFormatting>
  <conditionalFormatting sqref="T14">
    <cfRule type="expression" dxfId="207" priority="94">
      <formula>#REF! ="14≠11+12+13"</formula>
    </cfRule>
  </conditionalFormatting>
  <conditionalFormatting sqref="T21">
    <cfRule type="expression" dxfId="206" priority="95">
      <formula>#REF! ="22≠19+20+21"</formula>
    </cfRule>
  </conditionalFormatting>
  <conditionalFormatting sqref="Z29">
    <cfRule type="expression" dxfId="205" priority="81">
      <formula>#REF! ="30≠24+25+26+27+28+29"</formula>
    </cfRule>
  </conditionalFormatting>
  <conditionalFormatting sqref="Z34">
    <cfRule type="expression" dxfId="204" priority="82">
      <formula>#REF! ="35≠14+15+16+17+22+30+31+32+33+34"</formula>
    </cfRule>
  </conditionalFormatting>
  <conditionalFormatting sqref="Z45">
    <cfRule type="expression" dxfId="203" priority="83">
      <formula>#REF! ="46≠35+38+39+40+43+45"</formula>
    </cfRule>
  </conditionalFormatting>
  <conditionalFormatting sqref="Z14">
    <cfRule type="expression" dxfId="202" priority="84">
      <formula>#REF! ="14≠11+12+13"</formula>
    </cfRule>
  </conditionalFormatting>
  <conditionalFormatting sqref="Z21">
    <cfRule type="expression" dxfId="201" priority="85">
      <formula>#REF! ="22≠19+20+21"</formula>
    </cfRule>
  </conditionalFormatting>
  <conditionalFormatting sqref="AI29">
    <cfRule type="expression" dxfId="200" priority="71">
      <formula>#REF! ="30≠24+25+26+27+28+29"</formula>
    </cfRule>
  </conditionalFormatting>
  <conditionalFormatting sqref="AI34">
    <cfRule type="expression" dxfId="199" priority="72">
      <formula>#REF! ="35≠14+15+16+17+22+30+31+32+33+34"</formula>
    </cfRule>
  </conditionalFormatting>
  <conditionalFormatting sqref="AI45">
    <cfRule type="expression" dxfId="198" priority="73">
      <formula>#REF! ="46≠35+38+39+40+43+45"</formula>
    </cfRule>
  </conditionalFormatting>
  <conditionalFormatting sqref="AI14">
    <cfRule type="expression" dxfId="197" priority="74">
      <formula>#REF! ="14≠11+12+13"</formula>
    </cfRule>
  </conditionalFormatting>
  <conditionalFormatting sqref="AI21">
    <cfRule type="expression" dxfId="196" priority="75">
      <formula>#REF! ="22≠19+20+21"</formula>
    </cfRule>
  </conditionalFormatting>
  <conditionalFormatting sqref="AL29">
    <cfRule type="expression" dxfId="195" priority="61">
      <formula>#REF! ="30≠24+25+26+27+28+29"</formula>
    </cfRule>
  </conditionalFormatting>
  <conditionalFormatting sqref="AL34">
    <cfRule type="expression" dxfId="194" priority="62">
      <formula>#REF! ="35≠14+15+16+17+22+30+31+32+33+34"</formula>
    </cfRule>
  </conditionalFormatting>
  <conditionalFormatting sqref="AL45">
    <cfRule type="expression" dxfId="193" priority="63">
      <formula>#REF! ="46≠35+38+39+40+43+45"</formula>
    </cfRule>
  </conditionalFormatting>
  <conditionalFormatting sqref="AL14">
    <cfRule type="expression" dxfId="192" priority="64">
      <formula>#REF! ="14≠11+12+13"</formula>
    </cfRule>
  </conditionalFormatting>
  <conditionalFormatting sqref="AL21">
    <cfRule type="expression" dxfId="191" priority="65">
      <formula>#REF! ="22≠19+20+21"</formula>
    </cfRule>
  </conditionalFormatting>
  <conditionalFormatting sqref="N29">
    <cfRule type="expression" dxfId="190" priority="51">
      <formula>#REF! ="30≠24+25+26+27+28+29"</formula>
    </cfRule>
  </conditionalFormatting>
  <conditionalFormatting sqref="N34">
    <cfRule type="expression" dxfId="189" priority="52">
      <formula>#REF! ="35≠14+15+16+17+22+30+31+32+33+34"</formula>
    </cfRule>
  </conditionalFormatting>
  <conditionalFormatting sqref="N45">
    <cfRule type="expression" dxfId="188" priority="53">
      <formula>#REF! ="46≠35+38+39+40+43+45"</formula>
    </cfRule>
  </conditionalFormatting>
  <conditionalFormatting sqref="N14">
    <cfRule type="expression" dxfId="187" priority="54">
      <formula>#REF! ="14≠11+12+13"</formula>
    </cfRule>
  </conditionalFormatting>
  <conditionalFormatting sqref="N21">
    <cfRule type="expression" dxfId="186" priority="55">
      <formula>#REF! ="22≠19+20+21"</formula>
    </cfRule>
  </conditionalFormatting>
  <conditionalFormatting sqref="AC29">
    <cfRule type="expression" dxfId="185" priority="41">
      <formula>#REF! ="30≠24+25+26+27+28+29"</formula>
    </cfRule>
  </conditionalFormatting>
  <conditionalFormatting sqref="AC34">
    <cfRule type="expression" dxfId="184" priority="42">
      <formula>#REF! ="35≠14+15+16+17+22+30+31+32+33+34"</formula>
    </cfRule>
  </conditionalFormatting>
  <conditionalFormatting sqref="AC45">
    <cfRule type="expression" dxfId="183" priority="43">
      <formula>#REF! ="46≠35+38+39+40+43+45"</formula>
    </cfRule>
  </conditionalFormatting>
  <conditionalFormatting sqref="AC14">
    <cfRule type="expression" dxfId="182" priority="44">
      <formula>#REF! ="14≠11+12+13"</formula>
    </cfRule>
  </conditionalFormatting>
  <conditionalFormatting sqref="AC21">
    <cfRule type="expression" dxfId="181" priority="45">
      <formula>#REF! ="22≠19+20+21"</formula>
    </cfRule>
  </conditionalFormatting>
  <conditionalFormatting sqref="B29">
    <cfRule type="expression" dxfId="180" priority="31">
      <formula>#REF! ="30≠24+25+26+27+28+29"</formula>
    </cfRule>
  </conditionalFormatting>
  <conditionalFormatting sqref="B34">
    <cfRule type="expression" dxfId="179" priority="32">
      <formula>#REF! ="35≠14+15+16+17+22+30+31+32+33+34"</formula>
    </cfRule>
  </conditionalFormatting>
  <conditionalFormatting sqref="B45">
    <cfRule type="expression" dxfId="178" priority="33">
      <formula>#REF! ="46≠35+38+39+40+43+45"</formula>
    </cfRule>
  </conditionalFormatting>
  <conditionalFormatting sqref="B14">
    <cfRule type="expression" dxfId="177" priority="34">
      <formula>#REF! ="14≠11+12+13"</formula>
    </cfRule>
  </conditionalFormatting>
  <conditionalFormatting sqref="B21">
    <cfRule type="expression" dxfId="176" priority="35">
      <formula>#REF! ="22≠19+20+21"</formula>
    </cfRule>
  </conditionalFormatting>
  <conditionalFormatting sqref="H29">
    <cfRule type="expression" dxfId="175" priority="21">
      <formula>#REF! ="30≠24+25+26+27+28+29"</formula>
    </cfRule>
  </conditionalFormatting>
  <conditionalFormatting sqref="H34">
    <cfRule type="expression" dxfId="174" priority="22">
      <formula>#REF! ="35≠14+15+16+17+22+30+31+32+33+34"</formula>
    </cfRule>
  </conditionalFormatting>
  <conditionalFormatting sqref="H45">
    <cfRule type="expression" dxfId="173" priority="23">
      <formula>#REF! ="46≠35+38+39+40+43+45"</formula>
    </cfRule>
  </conditionalFormatting>
  <conditionalFormatting sqref="H14">
    <cfRule type="expression" dxfId="172" priority="24">
      <formula>#REF! ="14≠11+12+13"</formula>
    </cfRule>
  </conditionalFormatting>
  <conditionalFormatting sqref="H21">
    <cfRule type="expression" dxfId="171" priority="25">
      <formula>#REF! ="22≠19+20+21"</formula>
    </cfRule>
  </conditionalFormatting>
  <conditionalFormatting sqref="E29">
    <cfRule type="expression" dxfId="170" priority="11">
      <formula>#REF! ="30≠24+25+26+27+28+29"</formula>
    </cfRule>
  </conditionalFormatting>
  <conditionalFormatting sqref="E34">
    <cfRule type="expression" dxfId="169" priority="12">
      <formula>#REF! ="35≠14+15+16+17+22+30+31+32+33+34"</formula>
    </cfRule>
  </conditionalFormatting>
  <conditionalFormatting sqref="E45">
    <cfRule type="expression" dxfId="168" priority="13">
      <formula>#REF! ="46≠35+38+39+40+43+45"</formula>
    </cfRule>
  </conditionalFormatting>
  <conditionalFormatting sqref="E14">
    <cfRule type="expression" dxfId="167" priority="14">
      <formula>#REF! ="14≠11+12+13"</formula>
    </cfRule>
  </conditionalFormatting>
  <conditionalFormatting sqref="E21">
    <cfRule type="expression" dxfId="166" priority="15">
      <formula>#REF! ="22≠19+20+21"</formula>
    </cfRule>
  </conditionalFormatting>
  <conditionalFormatting sqref="W29">
    <cfRule type="expression" dxfId="165" priority="1">
      <formula>#REF! ="30≠24+25+26+27+28+29"</formula>
    </cfRule>
  </conditionalFormatting>
  <conditionalFormatting sqref="W34">
    <cfRule type="expression" dxfId="164" priority="2">
      <formula>#REF! ="35≠14+15+16+17+22+30+31+32+33+34"</formula>
    </cfRule>
  </conditionalFormatting>
  <conditionalFormatting sqref="W45">
    <cfRule type="expression" dxfId="163" priority="3">
      <formula>#REF! ="46≠35+38+39+40+43+45"</formula>
    </cfRule>
  </conditionalFormatting>
  <conditionalFormatting sqref="W14">
    <cfRule type="expression" dxfId="162" priority="4">
      <formula>#REF! ="14≠11+12+13"</formula>
    </cfRule>
  </conditionalFormatting>
  <conditionalFormatting sqref="W21">
    <cfRule type="expression" dxfId="161" priority="5">
      <formula>#REF! ="22≠19+20+21"</formula>
    </cfRule>
  </conditionalFormatting>
  <conditionalFormatting sqref="AR29:AS29 F29 R29 K29:L29 AG29 U29 AA29 AJ29 AM29 O29 AD29 C29 I29 X29">
    <cfRule type="expression" dxfId="160" priority="957">
      <formula>#REF! ="30≠24+25+26+27+28+29"</formula>
    </cfRule>
  </conditionalFormatting>
  <conditionalFormatting sqref="AR34:AS34 F34 AO34:AP34 AO45:AP45 R34 K34:L34 AG34 U34 AA34 AJ34 AM34 O34 AD34 C34 I34 X34">
    <cfRule type="expression" dxfId="159" priority="959">
      <formula>#REF! ="35≠14+15+16+17+22+30+31+32+33+34"</formula>
    </cfRule>
  </conditionalFormatting>
  <conditionalFormatting sqref="AR45:AS45 F45 R45 K45:L45 AG45 U45 AA45 AJ45 AM45 O45 AD45 C45 I45 X45">
    <cfRule type="expression" dxfId="158" priority="962">
      <formula>#REF! ="46≠35+38+39+40+43+45"</formula>
    </cfRule>
  </conditionalFormatting>
  <conditionalFormatting sqref="F14 R14 K14:L14 AG14 U14 AA14 AJ14 AM14 O14 AD14 C14 I14 X14">
    <cfRule type="expression" dxfId="157" priority="967">
      <formula>#REF! ="14≠11+12+13"</formula>
    </cfRule>
  </conditionalFormatting>
  <conditionalFormatting sqref="F21 R21 K21:L21 AG21 U21 AA21 AJ21 AM21 O21 AD21 C21 I21 X21">
    <cfRule type="expression" dxfId="156" priority="969">
      <formula>#REF! ="22≠19+20+21"</formula>
    </cfRule>
  </conditionalFormatting>
  <hyperlinks>
    <hyperlink ref="B1" location="Innhold!A1" display="Tilbake" xr:uid="{00000000-0004-0000-1E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Ark34"/>
  <dimension ref="A1:BK130"/>
  <sheetViews>
    <sheetView showGridLines="0" zoomScale="60" zoomScaleNormal="60" workbookViewId="0">
      <pane xSplit="1" ySplit="8" topLeftCell="B9" activePane="bottomRight" state="frozen"/>
      <selection activeCell="AU39" sqref="AU39"/>
      <selection pane="topRight" activeCell="AU39" sqref="AU39"/>
      <selection pane="bottomLeft" activeCell="AU39" sqref="AU39"/>
      <selection pane="bottomRight" activeCell="A4" sqref="A4"/>
    </sheetView>
  </sheetViews>
  <sheetFormatPr baseColWidth="10" defaultColWidth="11.42578125" defaultRowHeight="12.75" x14ac:dyDescent="0.2"/>
  <cols>
    <col min="1" max="1" width="106.7109375" style="467" customWidth="1"/>
    <col min="2" max="40" width="11.7109375" style="467" customWidth="1"/>
    <col min="41" max="41" width="15.140625" style="467" customWidth="1"/>
    <col min="42" max="42" width="13" style="467" customWidth="1"/>
    <col min="43" max="43" width="11.7109375" style="467" customWidth="1"/>
    <col min="44" max="45" width="13" style="467" customWidth="1"/>
    <col min="46" max="46" width="11.7109375" style="467" customWidth="1"/>
    <col min="47" max="16384" width="11.42578125" style="467"/>
  </cols>
  <sheetData>
    <row r="1" spans="1:63" ht="20.25" customHeight="1" x14ac:dyDescent="0.3">
      <c r="A1" s="472" t="s">
        <v>172</v>
      </c>
      <c r="B1" s="473" t="s">
        <v>52</v>
      </c>
      <c r="C1" s="474"/>
      <c r="D1" s="474"/>
      <c r="H1" s="474"/>
      <c r="I1" s="474"/>
      <c r="J1" s="474"/>
      <c r="K1" s="474"/>
      <c r="L1" s="474"/>
      <c r="M1" s="474"/>
      <c r="N1" s="474"/>
      <c r="O1" s="474"/>
      <c r="P1" s="474"/>
      <c r="AU1" s="475"/>
    </row>
    <row r="2" spans="1:63" ht="20.100000000000001" customHeight="1" x14ac:dyDescent="0.3">
      <c r="A2" s="472" t="s">
        <v>173</v>
      </c>
      <c r="AU2" s="475"/>
    </row>
    <row r="3" spans="1:63" ht="20.100000000000001" customHeight="1" x14ac:dyDescent="0.3">
      <c r="A3" s="476" t="s">
        <v>174</v>
      </c>
      <c r="B3" s="477"/>
      <c r="C3" s="477"/>
      <c r="D3" s="477"/>
      <c r="H3" s="477"/>
      <c r="I3" s="477"/>
      <c r="J3" s="477"/>
      <c r="K3" s="477"/>
      <c r="L3" s="477"/>
      <c r="M3" s="477"/>
      <c r="N3" s="477"/>
      <c r="O3" s="477"/>
      <c r="P3" s="477"/>
      <c r="AU3" s="478"/>
    </row>
    <row r="4" spans="1:63" ht="18.75" customHeight="1" x14ac:dyDescent="0.25">
      <c r="A4" s="479" t="s">
        <v>424</v>
      </c>
      <c r="B4" s="480"/>
      <c r="C4" s="480"/>
      <c r="D4" s="481"/>
      <c r="E4" s="484"/>
      <c r="F4" s="483"/>
      <c r="G4" s="485"/>
      <c r="H4" s="480"/>
      <c r="I4" s="480"/>
      <c r="J4" s="481"/>
      <c r="K4" s="482"/>
      <c r="L4" s="480"/>
      <c r="M4" s="481"/>
      <c r="N4" s="482"/>
      <c r="O4" s="480"/>
      <c r="P4" s="481"/>
      <c r="Q4" s="483"/>
      <c r="R4" s="483"/>
      <c r="S4" s="483"/>
      <c r="T4" s="484"/>
      <c r="U4" s="483"/>
      <c r="V4" s="485"/>
      <c r="W4" s="484"/>
      <c r="X4" s="483"/>
      <c r="Y4" s="485"/>
      <c r="Z4" s="484"/>
      <c r="AA4" s="483"/>
      <c r="AB4" s="485"/>
      <c r="AC4" s="484"/>
      <c r="AD4" s="483"/>
      <c r="AE4" s="485"/>
      <c r="AF4" s="484"/>
      <c r="AG4" s="483"/>
      <c r="AH4" s="485"/>
      <c r="AI4" s="484"/>
      <c r="AJ4" s="483"/>
      <c r="AK4" s="485"/>
      <c r="AL4" s="484"/>
      <c r="AM4" s="483"/>
      <c r="AN4" s="485"/>
      <c r="AO4" s="484"/>
      <c r="AP4" s="483"/>
      <c r="AQ4" s="485"/>
      <c r="AR4" s="484"/>
      <c r="AS4" s="483"/>
      <c r="AT4" s="485"/>
      <c r="AU4" s="486"/>
      <c r="AV4" s="487"/>
      <c r="AW4" s="487"/>
      <c r="AX4" s="487"/>
      <c r="AY4" s="487"/>
      <c r="AZ4" s="487"/>
      <c r="BA4" s="487"/>
      <c r="BB4" s="487"/>
      <c r="BC4" s="487"/>
      <c r="BD4" s="487"/>
      <c r="BE4" s="487"/>
      <c r="BF4" s="487"/>
      <c r="BG4" s="487"/>
      <c r="BH4" s="487"/>
      <c r="BI4" s="487"/>
      <c r="BJ4" s="487"/>
      <c r="BK4" s="487"/>
    </row>
    <row r="5" spans="1:63" ht="18.75" customHeight="1" x14ac:dyDescent="0.3">
      <c r="A5" s="488" t="s">
        <v>100</v>
      </c>
      <c r="B5" s="755" t="s">
        <v>175</v>
      </c>
      <c r="C5" s="756"/>
      <c r="D5" s="757"/>
      <c r="E5" s="755" t="s">
        <v>176</v>
      </c>
      <c r="F5" s="756"/>
      <c r="G5" s="757"/>
      <c r="H5" s="755" t="s">
        <v>176</v>
      </c>
      <c r="I5" s="756"/>
      <c r="J5" s="757"/>
      <c r="K5" s="755" t="s">
        <v>404</v>
      </c>
      <c r="L5" s="756"/>
      <c r="M5" s="757"/>
      <c r="N5" s="755" t="s">
        <v>177</v>
      </c>
      <c r="O5" s="756"/>
      <c r="P5" s="757"/>
      <c r="Q5" s="755" t="s">
        <v>178</v>
      </c>
      <c r="R5" s="756"/>
      <c r="S5" s="757"/>
      <c r="T5" s="755" t="s">
        <v>179</v>
      </c>
      <c r="U5" s="756"/>
      <c r="V5" s="757"/>
      <c r="W5" s="695" t="s">
        <v>179</v>
      </c>
      <c r="X5" s="696"/>
      <c r="Y5" s="697"/>
      <c r="Z5" s="685"/>
      <c r="AA5" s="686"/>
      <c r="AB5" s="687"/>
      <c r="AC5" s="755" t="s">
        <v>180</v>
      </c>
      <c r="AD5" s="756"/>
      <c r="AE5" s="757"/>
      <c r="AF5" s="692"/>
      <c r="AG5" s="693"/>
      <c r="AH5" s="694"/>
      <c r="AI5" s="755"/>
      <c r="AJ5" s="756"/>
      <c r="AK5" s="757"/>
      <c r="AL5" s="755" t="s">
        <v>72</v>
      </c>
      <c r="AM5" s="756"/>
      <c r="AN5" s="757"/>
      <c r="AO5" s="755" t="s">
        <v>2</v>
      </c>
      <c r="AP5" s="756"/>
      <c r="AQ5" s="757"/>
      <c r="AR5" s="755" t="s">
        <v>2</v>
      </c>
      <c r="AS5" s="756"/>
      <c r="AT5" s="757"/>
      <c r="AU5" s="489"/>
      <c r="AV5" s="490"/>
      <c r="AW5" s="754"/>
      <c r="AX5" s="754"/>
      <c r="AY5" s="754"/>
      <c r="AZ5" s="754"/>
      <c r="BA5" s="754"/>
      <c r="BB5" s="754"/>
      <c r="BC5" s="754"/>
      <c r="BD5" s="754"/>
      <c r="BE5" s="754"/>
      <c r="BF5" s="754"/>
      <c r="BG5" s="754"/>
      <c r="BH5" s="754"/>
      <c r="BI5" s="754"/>
      <c r="BJ5" s="754"/>
      <c r="BK5" s="754"/>
    </row>
    <row r="6" spans="1:63" ht="21" customHeight="1" x14ac:dyDescent="0.3">
      <c r="A6" s="491"/>
      <c r="B6" s="751" t="s">
        <v>181</v>
      </c>
      <c r="C6" s="752"/>
      <c r="D6" s="753"/>
      <c r="E6" s="751" t="s">
        <v>419</v>
      </c>
      <c r="F6" s="752"/>
      <c r="G6" s="753"/>
      <c r="H6" s="751" t="s">
        <v>182</v>
      </c>
      <c r="I6" s="752"/>
      <c r="J6" s="753"/>
      <c r="K6" s="751" t="s">
        <v>182</v>
      </c>
      <c r="L6" s="752"/>
      <c r="M6" s="753"/>
      <c r="N6" s="751" t="s">
        <v>182</v>
      </c>
      <c r="O6" s="752"/>
      <c r="P6" s="753"/>
      <c r="Q6" s="751" t="s">
        <v>183</v>
      </c>
      <c r="R6" s="752"/>
      <c r="S6" s="753"/>
      <c r="T6" s="751" t="s">
        <v>90</v>
      </c>
      <c r="U6" s="752"/>
      <c r="V6" s="753"/>
      <c r="W6" s="751" t="s">
        <v>63</v>
      </c>
      <c r="X6" s="752"/>
      <c r="Y6" s="753"/>
      <c r="Z6" s="751" t="s">
        <v>65</v>
      </c>
      <c r="AA6" s="752"/>
      <c r="AB6" s="753"/>
      <c r="AC6" s="751" t="s">
        <v>181</v>
      </c>
      <c r="AD6" s="752"/>
      <c r="AE6" s="753"/>
      <c r="AF6" s="751" t="s">
        <v>71</v>
      </c>
      <c r="AG6" s="752"/>
      <c r="AH6" s="753"/>
      <c r="AI6" s="751" t="s">
        <v>67</v>
      </c>
      <c r="AJ6" s="752"/>
      <c r="AK6" s="753"/>
      <c r="AL6" s="751" t="s">
        <v>182</v>
      </c>
      <c r="AM6" s="752"/>
      <c r="AN6" s="753"/>
      <c r="AO6" s="751" t="s">
        <v>184</v>
      </c>
      <c r="AP6" s="752"/>
      <c r="AQ6" s="753"/>
      <c r="AR6" s="751" t="s">
        <v>185</v>
      </c>
      <c r="AS6" s="752"/>
      <c r="AT6" s="753"/>
      <c r="AU6" s="489"/>
      <c r="AV6" s="490"/>
      <c r="AW6" s="754"/>
      <c r="AX6" s="754"/>
      <c r="AY6" s="754"/>
      <c r="AZ6" s="754"/>
      <c r="BA6" s="754"/>
      <c r="BB6" s="754"/>
      <c r="BC6" s="754"/>
      <c r="BD6" s="754"/>
      <c r="BE6" s="754"/>
      <c r="BF6" s="754"/>
      <c r="BG6" s="754"/>
      <c r="BH6" s="754"/>
      <c r="BI6" s="754"/>
      <c r="BJ6" s="754"/>
      <c r="BK6" s="754"/>
    </row>
    <row r="7" spans="1:63" ht="18.75" customHeight="1" x14ac:dyDescent="0.3">
      <c r="A7" s="491"/>
      <c r="B7" s="523"/>
      <c r="C7" s="523"/>
      <c r="D7" s="492" t="s">
        <v>80</v>
      </c>
      <c r="E7" s="523"/>
      <c r="F7" s="523"/>
      <c r="G7" s="492" t="s">
        <v>80</v>
      </c>
      <c r="H7" s="523"/>
      <c r="I7" s="523"/>
      <c r="J7" s="492" t="s">
        <v>80</v>
      </c>
      <c r="K7" s="523"/>
      <c r="L7" s="523"/>
      <c r="M7" s="492" t="s">
        <v>80</v>
      </c>
      <c r="N7" s="523"/>
      <c r="O7" s="523"/>
      <c r="P7" s="492" t="s">
        <v>80</v>
      </c>
      <c r="Q7" s="523"/>
      <c r="R7" s="523"/>
      <c r="S7" s="492" t="s">
        <v>80</v>
      </c>
      <c r="T7" s="523"/>
      <c r="U7" s="523"/>
      <c r="V7" s="492" t="s">
        <v>80</v>
      </c>
      <c r="W7" s="523"/>
      <c r="X7" s="523"/>
      <c r="Y7" s="492" t="s">
        <v>80</v>
      </c>
      <c r="Z7" s="523"/>
      <c r="AA7" s="523"/>
      <c r="AB7" s="492" t="s">
        <v>80</v>
      </c>
      <c r="AC7" s="523"/>
      <c r="AD7" s="523"/>
      <c r="AE7" s="492" t="s">
        <v>80</v>
      </c>
      <c r="AF7" s="523"/>
      <c r="AG7" s="523"/>
      <c r="AH7" s="492" t="s">
        <v>80</v>
      </c>
      <c r="AI7" s="523"/>
      <c r="AJ7" s="523"/>
      <c r="AK7" s="492" t="s">
        <v>80</v>
      </c>
      <c r="AL7" s="523"/>
      <c r="AM7" s="523"/>
      <c r="AN7" s="492" t="s">
        <v>80</v>
      </c>
      <c r="AO7" s="523"/>
      <c r="AP7" s="523"/>
      <c r="AQ7" s="492" t="s">
        <v>80</v>
      </c>
      <c r="AR7" s="523"/>
      <c r="AS7" s="523"/>
      <c r="AT7" s="492" t="s">
        <v>80</v>
      </c>
      <c r="AU7" s="489"/>
      <c r="AV7" s="490"/>
      <c r="AW7" s="490"/>
      <c r="AX7" s="490"/>
      <c r="AY7" s="490"/>
      <c r="AZ7" s="490"/>
      <c r="BA7" s="490"/>
      <c r="BB7" s="490"/>
      <c r="BC7" s="490"/>
      <c r="BD7" s="490"/>
      <c r="BE7" s="490"/>
      <c r="BF7" s="490"/>
      <c r="BG7" s="490"/>
      <c r="BH7" s="490"/>
      <c r="BI7" s="490"/>
      <c r="BJ7" s="490"/>
      <c r="BK7" s="490"/>
    </row>
    <row r="8" spans="1:63" ht="18.75" customHeight="1" x14ac:dyDescent="0.25">
      <c r="A8" s="457" t="s">
        <v>186</v>
      </c>
      <c r="B8" s="656">
        <v>2019</v>
      </c>
      <c r="C8" s="656">
        <v>2020</v>
      </c>
      <c r="D8" s="458" t="s">
        <v>82</v>
      </c>
      <c r="E8" s="656">
        <v>2019</v>
      </c>
      <c r="F8" s="656">
        <v>2020</v>
      </c>
      <c r="G8" s="458" t="s">
        <v>82</v>
      </c>
      <c r="H8" s="656">
        <v>2019</v>
      </c>
      <c r="I8" s="656">
        <v>2020</v>
      </c>
      <c r="J8" s="458" t="s">
        <v>82</v>
      </c>
      <c r="K8" s="656">
        <v>2019</v>
      </c>
      <c r="L8" s="656">
        <v>2020</v>
      </c>
      <c r="M8" s="458" t="s">
        <v>82</v>
      </c>
      <c r="N8" s="656">
        <v>2019</v>
      </c>
      <c r="O8" s="656">
        <v>2020</v>
      </c>
      <c r="P8" s="458" t="s">
        <v>82</v>
      </c>
      <c r="Q8" s="607">
        <v>2019</v>
      </c>
      <c r="R8" s="607">
        <v>2020</v>
      </c>
      <c r="S8" s="458" t="s">
        <v>82</v>
      </c>
      <c r="T8" s="656">
        <v>2019</v>
      </c>
      <c r="U8" s="656">
        <v>2020</v>
      </c>
      <c r="V8" s="458" t="s">
        <v>82</v>
      </c>
      <c r="W8" s="656">
        <v>2019</v>
      </c>
      <c r="X8" s="656">
        <v>2020</v>
      </c>
      <c r="Y8" s="458" t="s">
        <v>82</v>
      </c>
      <c r="Z8" s="658">
        <v>2019</v>
      </c>
      <c r="AA8" s="658">
        <v>2020</v>
      </c>
      <c r="AB8" s="458" t="s">
        <v>82</v>
      </c>
      <c r="AC8" s="656">
        <v>2019</v>
      </c>
      <c r="AD8" s="656">
        <v>2020</v>
      </c>
      <c r="AE8" s="458" t="s">
        <v>82</v>
      </c>
      <c r="AF8" s="656">
        <v>2019</v>
      </c>
      <c r="AG8" s="656">
        <v>2020</v>
      </c>
      <c r="AH8" s="458" t="s">
        <v>82</v>
      </c>
      <c r="AI8" s="607">
        <v>2019</v>
      </c>
      <c r="AJ8" s="607">
        <v>2020</v>
      </c>
      <c r="AK8" s="458" t="s">
        <v>82</v>
      </c>
      <c r="AL8" s="656">
        <v>2019</v>
      </c>
      <c r="AM8" s="656">
        <v>2020</v>
      </c>
      <c r="AN8" s="458" t="s">
        <v>82</v>
      </c>
      <c r="AO8" s="592" t="e">
        <f xml:space="preserve"> år-1</f>
        <v>#REF!</v>
      </c>
      <c r="AP8" s="592" t="e">
        <f xml:space="preserve"> år</f>
        <v>#REF!</v>
      </c>
      <c r="AQ8" s="458" t="s">
        <v>82</v>
      </c>
      <c r="AR8" s="592" t="e">
        <f xml:space="preserve"> år-1</f>
        <v>#REF!</v>
      </c>
      <c r="AS8" s="592" t="e">
        <f xml:space="preserve"> år</f>
        <v>#REF!</v>
      </c>
      <c r="AT8" s="458" t="s">
        <v>82</v>
      </c>
      <c r="AU8" s="489"/>
      <c r="AV8" s="493"/>
      <c r="AW8" s="494"/>
      <c r="AX8" s="494"/>
      <c r="AY8" s="493"/>
      <c r="AZ8" s="494"/>
      <c r="BA8" s="494"/>
      <c r="BB8" s="493"/>
      <c r="BC8" s="494"/>
      <c r="BD8" s="494"/>
      <c r="BE8" s="493"/>
      <c r="BF8" s="494"/>
      <c r="BG8" s="494"/>
      <c r="BH8" s="493"/>
      <c r="BI8" s="494"/>
      <c r="BJ8" s="494"/>
      <c r="BK8" s="493"/>
    </row>
    <row r="9" spans="1:63" ht="18.75" customHeight="1" x14ac:dyDescent="0.3">
      <c r="A9" s="459"/>
      <c r="B9" s="661"/>
      <c r="C9" s="436"/>
      <c r="D9" s="436"/>
      <c r="E9" s="618"/>
      <c r="F9" s="437"/>
      <c r="G9" s="338"/>
      <c r="H9" s="661"/>
      <c r="I9" s="436"/>
      <c r="J9" s="436"/>
      <c r="K9" s="436"/>
      <c r="L9" s="436"/>
      <c r="M9" s="436"/>
      <c r="N9" s="661"/>
      <c r="O9" s="436"/>
      <c r="P9" s="436"/>
      <c r="Q9" s="618"/>
      <c r="R9" s="437"/>
      <c r="S9" s="437"/>
      <c r="T9" s="677"/>
      <c r="U9" s="438"/>
      <c r="V9" s="338"/>
      <c r="W9" s="618"/>
      <c r="X9" s="437"/>
      <c r="Y9" s="338"/>
      <c r="Z9" s="618"/>
      <c r="AA9" s="437"/>
      <c r="AB9" s="338"/>
      <c r="AC9" s="618"/>
      <c r="AD9" s="437"/>
      <c r="AE9" s="338"/>
      <c r="AF9" s="618"/>
      <c r="AG9" s="618"/>
      <c r="AH9" s="338"/>
      <c r="AI9" s="618"/>
      <c r="AJ9" s="437"/>
      <c r="AK9" s="338"/>
      <c r="AL9" s="618"/>
      <c r="AM9" s="437"/>
      <c r="AN9" s="338"/>
      <c r="AO9" s="439"/>
      <c r="AP9" s="439"/>
      <c r="AQ9" s="338"/>
      <c r="AR9" s="439"/>
      <c r="AS9" s="439"/>
      <c r="AT9" s="338"/>
      <c r="AU9" s="489"/>
      <c r="AV9" s="489"/>
    </row>
    <row r="10" spans="1:63" s="468" customFormat="1" ht="18.75" customHeight="1" x14ac:dyDescent="0.3">
      <c r="A10" s="460" t="s">
        <v>187</v>
      </c>
      <c r="B10" s="662"/>
      <c r="C10" s="440"/>
      <c r="D10" s="440"/>
      <c r="E10" s="618"/>
      <c r="F10" s="437"/>
      <c r="G10" s="338"/>
      <c r="H10" s="662"/>
      <c r="I10" s="440"/>
      <c r="J10" s="440"/>
      <c r="K10" s="440"/>
      <c r="L10" s="440"/>
      <c r="M10" s="440"/>
      <c r="N10" s="662"/>
      <c r="O10" s="440"/>
      <c r="P10" s="440"/>
      <c r="Q10" s="618"/>
      <c r="R10" s="437"/>
      <c r="S10" s="437"/>
      <c r="T10" s="677"/>
      <c r="U10" s="438"/>
      <c r="V10" s="338"/>
      <c r="W10" s="618"/>
      <c r="X10" s="437"/>
      <c r="Y10" s="338"/>
      <c r="Z10" s="618"/>
      <c r="AA10" s="437"/>
      <c r="AB10" s="338"/>
      <c r="AC10" s="618"/>
      <c r="AD10" s="437"/>
      <c r="AE10" s="338"/>
      <c r="AF10" s="618"/>
      <c r="AG10" s="437"/>
      <c r="AH10" s="338"/>
      <c r="AI10" s="618"/>
      <c r="AJ10" s="437"/>
      <c r="AK10" s="338"/>
      <c r="AL10" s="618"/>
      <c r="AM10" s="437"/>
      <c r="AN10" s="338"/>
      <c r="AO10" s="439"/>
      <c r="AP10" s="439"/>
      <c r="AQ10" s="338"/>
      <c r="AR10" s="439"/>
      <c r="AS10" s="439"/>
      <c r="AT10" s="338"/>
      <c r="AU10" s="495"/>
      <c r="AV10" s="495"/>
    </row>
    <row r="11" spans="1:63" s="468" customFormat="1" ht="18.75" customHeight="1" x14ac:dyDescent="0.3">
      <c r="A11" s="461"/>
      <c r="B11" s="662"/>
      <c r="C11" s="440"/>
      <c r="D11" s="440"/>
      <c r="E11" s="618"/>
      <c r="F11" s="437"/>
      <c r="G11" s="338"/>
      <c r="H11" s="662"/>
      <c r="I11" s="440"/>
      <c r="J11" s="440"/>
      <c r="K11" s="440"/>
      <c r="L11" s="440"/>
      <c r="M11" s="440"/>
      <c r="N11" s="662"/>
      <c r="O11" s="440"/>
      <c r="P11" s="440"/>
      <c r="Q11" s="618"/>
      <c r="R11" s="437"/>
      <c r="S11" s="437"/>
      <c r="T11" s="677"/>
      <c r="U11" s="438"/>
      <c r="V11" s="338"/>
      <c r="W11" s="618"/>
      <c r="X11" s="437"/>
      <c r="Y11" s="338"/>
      <c r="Z11" s="618"/>
      <c r="AA11" s="437"/>
      <c r="AB11" s="338"/>
      <c r="AC11" s="618"/>
      <c r="AD11" s="437"/>
      <c r="AE11" s="338"/>
      <c r="AF11" s="618"/>
      <c r="AG11" s="437"/>
      <c r="AH11" s="338"/>
      <c r="AI11" s="618"/>
      <c r="AJ11" s="437"/>
      <c r="AK11" s="338"/>
      <c r="AL11" s="618"/>
      <c r="AM11" s="437"/>
      <c r="AN11" s="338"/>
      <c r="AO11" s="439"/>
      <c r="AP11" s="439"/>
      <c r="AQ11" s="338"/>
      <c r="AR11" s="439"/>
      <c r="AS11" s="439"/>
      <c r="AT11" s="338"/>
      <c r="AU11" s="495"/>
      <c r="AV11" s="495"/>
    </row>
    <row r="12" spans="1:63" s="468" customFormat="1" ht="20.100000000000001" customHeight="1" x14ac:dyDescent="0.3">
      <c r="A12" s="460" t="s">
        <v>188</v>
      </c>
      <c r="B12" s="198"/>
      <c r="C12" s="441"/>
      <c r="D12" s="441"/>
      <c r="E12" s="618"/>
      <c r="F12" s="437"/>
      <c r="G12" s="338"/>
      <c r="H12" s="198"/>
      <c r="I12" s="441"/>
      <c r="J12" s="441"/>
      <c r="K12" s="441"/>
      <c r="L12" s="441"/>
      <c r="M12" s="441"/>
      <c r="N12" s="198"/>
      <c r="O12" s="441"/>
      <c r="P12" s="441"/>
      <c r="Q12" s="618"/>
      <c r="R12" s="437"/>
      <c r="S12" s="437"/>
      <c r="T12" s="677"/>
      <c r="U12" s="438"/>
      <c r="V12" s="338"/>
      <c r="W12" s="618"/>
      <c r="X12" s="437"/>
      <c r="Y12" s="338"/>
      <c r="Z12" s="618"/>
      <c r="AA12" s="437"/>
      <c r="AB12" s="338"/>
      <c r="AC12" s="618"/>
      <c r="AD12" s="437"/>
      <c r="AE12" s="338"/>
      <c r="AF12" s="618"/>
      <c r="AG12" s="437"/>
      <c r="AH12" s="338"/>
      <c r="AI12" s="618"/>
      <c r="AJ12" s="437"/>
      <c r="AK12" s="338"/>
      <c r="AL12" s="618"/>
      <c r="AM12" s="437"/>
      <c r="AN12" s="338"/>
      <c r="AO12" s="439"/>
      <c r="AP12" s="439"/>
      <c r="AQ12" s="338"/>
      <c r="AR12" s="439"/>
      <c r="AS12" s="439"/>
      <c r="AT12" s="338"/>
      <c r="AU12" s="495"/>
      <c r="AV12" s="495"/>
    </row>
    <row r="13" spans="1:63" s="497" customFormat="1" ht="20.100000000000001" customHeight="1" x14ac:dyDescent="0.3">
      <c r="A13" s="460" t="s">
        <v>189</v>
      </c>
      <c r="B13" s="198"/>
      <c r="C13" s="441"/>
      <c r="D13" s="442"/>
      <c r="E13" s="104"/>
      <c r="F13" s="620"/>
      <c r="G13" s="445"/>
      <c r="H13" s="198"/>
      <c r="I13" s="441"/>
      <c r="J13" s="442"/>
      <c r="K13" s="441"/>
      <c r="L13" s="441"/>
      <c r="M13" s="442"/>
      <c r="N13" s="198"/>
      <c r="O13" s="441"/>
      <c r="P13" s="442"/>
      <c r="Q13" s="104"/>
      <c r="R13" s="620"/>
      <c r="S13" s="443"/>
      <c r="T13" s="444"/>
      <c r="U13" s="678"/>
      <c r="V13" s="445"/>
      <c r="W13" s="104"/>
      <c r="X13" s="620"/>
      <c r="Y13" s="445"/>
      <c r="Z13" s="104"/>
      <c r="AA13" s="620"/>
      <c r="AB13" s="445"/>
      <c r="AC13" s="104"/>
      <c r="AD13" s="620"/>
      <c r="AE13" s="445"/>
      <c r="AF13" s="104"/>
      <c r="AG13" s="620"/>
      <c r="AH13" s="445"/>
      <c r="AI13" s="104"/>
      <c r="AJ13" s="620"/>
      <c r="AK13" s="445"/>
      <c r="AL13" s="104"/>
      <c r="AM13" s="620"/>
      <c r="AN13" s="445"/>
      <c r="AO13" s="446"/>
      <c r="AP13" s="446"/>
      <c r="AQ13" s="445"/>
      <c r="AR13" s="446"/>
      <c r="AS13" s="446"/>
      <c r="AT13" s="445"/>
      <c r="AU13" s="496"/>
      <c r="AV13" s="496"/>
    </row>
    <row r="14" spans="1:63" s="497" customFormat="1" ht="20.100000000000001" customHeight="1" x14ac:dyDescent="0.3">
      <c r="A14" s="462" t="s">
        <v>190</v>
      </c>
      <c r="B14" s="196"/>
      <c r="C14" s="448"/>
      <c r="D14" s="445"/>
      <c r="E14" s="104"/>
      <c r="F14" s="620"/>
      <c r="G14" s="445"/>
      <c r="H14" s="196"/>
      <c r="I14" s="448"/>
      <c r="J14" s="445"/>
      <c r="K14" s="448"/>
      <c r="L14" s="448">
        <v>0</v>
      </c>
      <c r="M14" s="445"/>
      <c r="N14" s="196"/>
      <c r="O14" s="448"/>
      <c r="P14" s="445"/>
      <c r="Q14" s="104">
        <v>25.58</v>
      </c>
      <c r="R14" s="620">
        <v>8.2200000000000006</v>
      </c>
      <c r="S14" s="443"/>
      <c r="T14" s="444"/>
      <c r="U14" s="678"/>
      <c r="V14" s="445"/>
      <c r="W14" s="104">
        <v>949.46313574999999</v>
      </c>
      <c r="X14" s="620">
        <v>962.94018874999995</v>
      </c>
      <c r="Y14" s="445">
        <f t="shared" ref="Y14:Y28" si="0">IF(W14=0, "    ---- ", IF(ABS(ROUND(100/W14*X14-100,1))&lt;999,ROUND(100/W14*X14-100,1),IF(ROUND(100/W14*X14-100,1)&gt;999,999,-999)))</f>
        <v>1.4</v>
      </c>
      <c r="Z14" s="104"/>
      <c r="AA14" s="620"/>
      <c r="AB14" s="445"/>
      <c r="AC14" s="104"/>
      <c r="AD14" s="620"/>
      <c r="AE14" s="445"/>
      <c r="AF14" s="104"/>
      <c r="AG14" s="620"/>
      <c r="AH14" s="445"/>
      <c r="AI14" s="104"/>
      <c r="AJ14" s="620"/>
      <c r="AK14" s="445" t="str">
        <f t="shared" ref="AK14:AK28" si="1">IF(AI14=0, "    ---- ", IF(ABS(ROUND(100/AI14*AJ14-100,1))&lt;999,ROUND(100/AI14*AJ14-100,1),IF(ROUND(100/AI14*AJ14-100,1)&gt;999,999,-999)))</f>
        <v xml:space="preserve">    ---- </v>
      </c>
      <c r="AL14" s="104"/>
      <c r="AM14" s="620"/>
      <c r="AN14" s="445"/>
      <c r="AO14" s="446">
        <f t="shared" ref="AO14:AO29" si="2">B14+H14+K14+N14+Q14+W14+E14+Z14+AC14+AI14+AL14</f>
        <v>975.04313575000003</v>
      </c>
      <c r="AP14" s="446">
        <f t="shared" ref="AP14:AP29" si="3">C14+I14+L14+O14+R14+X14+F14+AA14+AD14+AJ14+AM14</f>
        <v>971.16018874999997</v>
      </c>
      <c r="AQ14" s="445">
        <f t="shared" ref="AQ14:AQ28" si="4">IF(AO14=0, "    ---- ", IF(ABS(ROUND(100/AO14*AP14-100,1))&lt;999,ROUND(100/AO14*AP14-100,1),IF(ROUND(100/AO14*AP14-100,1)&gt;999,999,-999)))</f>
        <v>-0.4</v>
      </c>
      <c r="AR14" s="446">
        <f t="shared" ref="AR14:AR29" si="5">B14+H14+K14+N14+Q14+T14+W14+E14+Z14+AC14+AF14+AI14+AL14</f>
        <v>975.04313575000003</v>
      </c>
      <c r="AS14" s="446">
        <f t="shared" ref="AS14:AS29" si="6">C14+I14+L14+O14+R14+U14+X14+F14+AA14+AD14+AG14+AJ14+AM14</f>
        <v>971.16018874999997</v>
      </c>
      <c r="AT14" s="445">
        <f t="shared" ref="AT14:AT29" si="7">IF(AR14=0, "    ---- ", IF(ABS(ROUND(100/AR14*AS14-100,1))&lt;999,ROUND(100/AR14*AS14-100,1),IF(ROUND(100/AR14*AS14-100,1)&gt;999,999,-999)))</f>
        <v>-0.4</v>
      </c>
      <c r="AU14" s="496"/>
      <c r="AV14" s="496"/>
    </row>
    <row r="15" spans="1:63" s="497" customFormat="1" ht="20.100000000000001" customHeight="1" x14ac:dyDescent="0.3">
      <c r="A15" s="462" t="s">
        <v>191</v>
      </c>
      <c r="B15" s="196"/>
      <c r="C15" s="448"/>
      <c r="D15" s="445"/>
      <c r="E15" s="104"/>
      <c r="F15" s="620"/>
      <c r="G15" s="445"/>
      <c r="H15" s="196">
        <v>704.83</v>
      </c>
      <c r="I15" s="448">
        <v>1696.5309999999999</v>
      </c>
      <c r="J15" s="445">
        <f t="shared" ref="J15:J28" si="8">IF(H15=0, "    ---- ", IF(ABS(ROUND(100/H15*I15-100,1))&lt;999,ROUND(100/H15*I15-100,1),IF(ROUND(100/H15*I15-100,1)&gt;999,999,-999)))</f>
        <v>140.69999999999999</v>
      </c>
      <c r="K15" s="448"/>
      <c r="L15" s="448">
        <v>0</v>
      </c>
      <c r="M15" s="445"/>
      <c r="N15" s="196"/>
      <c r="O15" s="448"/>
      <c r="P15" s="445"/>
      <c r="Q15" s="104"/>
      <c r="R15" s="620"/>
      <c r="S15" s="443"/>
      <c r="T15" s="444"/>
      <c r="U15" s="678"/>
      <c r="V15" s="445"/>
      <c r="W15" s="104">
        <v>7837.10247282</v>
      </c>
      <c r="X15" s="620">
        <v>7858.3347634799993</v>
      </c>
      <c r="Y15" s="445">
        <f t="shared" si="0"/>
        <v>0.3</v>
      </c>
      <c r="Z15" s="104"/>
      <c r="AA15" s="620"/>
      <c r="AB15" s="445"/>
      <c r="AC15" s="104">
        <v>906</v>
      </c>
      <c r="AD15" s="620">
        <f>710+320</f>
        <v>1030</v>
      </c>
      <c r="AE15" s="445">
        <f t="shared" ref="AE15:AE28" si="9">IF(AC15=0, "    ---- ", IF(ABS(ROUND(100/AC15*AD15-100,1))&lt;999,ROUND(100/AC15*AD15-100,1),IF(ROUND(100/AC15*AD15-100,1)&gt;999,999,-999)))</f>
        <v>13.7</v>
      </c>
      <c r="AF15" s="104"/>
      <c r="AG15" s="620"/>
      <c r="AH15" s="445"/>
      <c r="AI15" s="104">
        <v>2597.172</v>
      </c>
      <c r="AJ15" s="620">
        <v>1656.8530000000001</v>
      </c>
      <c r="AK15" s="445">
        <f t="shared" si="1"/>
        <v>-36.200000000000003</v>
      </c>
      <c r="AL15" s="104">
        <v>12692</v>
      </c>
      <c r="AM15" s="620">
        <v>13457</v>
      </c>
      <c r="AN15" s="445">
        <f t="shared" ref="AN15:AN28" si="10">IF(AL15=0, "    ---- ", IF(ABS(ROUND(100/AL15*AM15-100,1))&lt;999,ROUND(100/AL15*AM15-100,1),IF(ROUND(100/AL15*AM15-100,1)&gt;999,999,-999)))</f>
        <v>6</v>
      </c>
      <c r="AO15" s="446">
        <f t="shared" si="2"/>
        <v>24737.10447282</v>
      </c>
      <c r="AP15" s="446">
        <f t="shared" si="3"/>
        <v>25698.718763479999</v>
      </c>
      <c r="AQ15" s="445">
        <f t="shared" si="4"/>
        <v>3.9</v>
      </c>
      <c r="AR15" s="446">
        <f t="shared" si="5"/>
        <v>24737.10447282</v>
      </c>
      <c r="AS15" s="446">
        <f t="shared" si="6"/>
        <v>25698.718763479999</v>
      </c>
      <c r="AT15" s="445">
        <f t="shared" si="7"/>
        <v>3.9</v>
      </c>
      <c r="AU15" s="496"/>
      <c r="AV15" s="496"/>
    </row>
    <row r="16" spans="1:63" s="497" customFormat="1" ht="20.100000000000001" customHeight="1" x14ac:dyDescent="0.3">
      <c r="A16" s="462" t="s">
        <v>192</v>
      </c>
      <c r="B16" s="196"/>
      <c r="C16" s="448">
        <f>SUM(C17+C19)</f>
        <v>0</v>
      </c>
      <c r="D16" s="445"/>
      <c r="E16" s="104">
        <f>SUM(E17+E19)</f>
        <v>246.7</v>
      </c>
      <c r="F16" s="620">
        <f>SUM(F17+F19)</f>
        <v>297.60000000000002</v>
      </c>
      <c r="G16" s="445"/>
      <c r="H16" s="196">
        <f>SUM(H17+H19)</f>
        <v>5124.5329999999994</v>
      </c>
      <c r="I16" s="448">
        <f>SUM(I17+I19)</f>
        <v>8734.9759999999987</v>
      </c>
      <c r="J16" s="445"/>
      <c r="K16" s="448"/>
      <c r="L16" s="448">
        <f>SUM(L17+L19)</f>
        <v>0</v>
      </c>
      <c r="M16" s="445"/>
      <c r="N16" s="196">
        <f>SUM(N17+N19)</f>
        <v>50.2</v>
      </c>
      <c r="O16" s="448">
        <f>SUM(O17+O19)</f>
        <v>84.265000000000001</v>
      </c>
      <c r="P16" s="445"/>
      <c r="Q16" s="104">
        <f>SUM(Q17+Q19)</f>
        <v>234.26599999999999</v>
      </c>
      <c r="R16" s="620">
        <v>252.97</v>
      </c>
      <c r="S16" s="443"/>
      <c r="T16" s="444"/>
      <c r="U16" s="678">
        <f>SUM(U17+U19)</f>
        <v>0</v>
      </c>
      <c r="V16" s="445"/>
      <c r="W16" s="104">
        <v>18273.16146503</v>
      </c>
      <c r="X16" s="620">
        <v>19115.600070979999</v>
      </c>
      <c r="Y16" s="445">
        <f t="shared" si="0"/>
        <v>4.5999999999999996</v>
      </c>
      <c r="Z16" s="104"/>
      <c r="AA16" s="620">
        <f>SUM(AA17+AA19)</f>
        <v>0</v>
      </c>
      <c r="AB16" s="445"/>
      <c r="AC16" s="104">
        <f>SUM(AC17+AC19)</f>
        <v>4544</v>
      </c>
      <c r="AD16" s="620">
        <f>SUM(AD17+AD19)</f>
        <v>4458</v>
      </c>
      <c r="AE16" s="445">
        <f t="shared" si="9"/>
        <v>-1.9</v>
      </c>
      <c r="AF16" s="104"/>
      <c r="AG16" s="620">
        <f>SUM(AG17+AG19)</f>
        <v>0</v>
      </c>
      <c r="AH16" s="445"/>
      <c r="AI16" s="104">
        <f>SUM(AI17+AI19)</f>
        <v>1177.7549999999999</v>
      </c>
      <c r="AJ16" s="620">
        <f>SUM(AJ17+AJ19)</f>
        <v>1122.2260000000001</v>
      </c>
      <c r="AK16" s="445">
        <f t="shared" si="1"/>
        <v>-4.7</v>
      </c>
      <c r="AL16" s="104">
        <f>SUM(AL17+AL19)</f>
        <v>7932</v>
      </c>
      <c r="AM16" s="620">
        <f>SUM(AM17+AM19)</f>
        <v>8470</v>
      </c>
      <c r="AN16" s="445">
        <f t="shared" si="10"/>
        <v>6.8</v>
      </c>
      <c r="AO16" s="446">
        <f t="shared" si="2"/>
        <v>37582.615465030001</v>
      </c>
      <c r="AP16" s="446">
        <f t="shared" si="3"/>
        <v>42535.637070979996</v>
      </c>
      <c r="AQ16" s="445">
        <f t="shared" si="4"/>
        <v>13.2</v>
      </c>
      <c r="AR16" s="446">
        <f t="shared" si="5"/>
        <v>37582.615465030001</v>
      </c>
      <c r="AS16" s="446">
        <f t="shared" si="6"/>
        <v>42535.637070979996</v>
      </c>
      <c r="AT16" s="445">
        <f t="shared" si="7"/>
        <v>13.2</v>
      </c>
      <c r="AU16" s="496"/>
      <c r="AV16" s="496"/>
    </row>
    <row r="17" spans="1:49" s="497" customFormat="1" ht="20.100000000000001" customHeight="1" x14ac:dyDescent="0.3">
      <c r="A17" s="462" t="s">
        <v>193</v>
      </c>
      <c r="B17" s="196"/>
      <c r="C17" s="448"/>
      <c r="D17" s="445"/>
      <c r="E17" s="104"/>
      <c r="F17" s="620"/>
      <c r="G17" s="445"/>
      <c r="H17" s="196">
        <v>2695.107</v>
      </c>
      <c r="I17" s="448">
        <v>6269.9449999999997</v>
      </c>
      <c r="J17" s="445"/>
      <c r="K17" s="448"/>
      <c r="L17" s="448">
        <v>0</v>
      </c>
      <c r="M17" s="445"/>
      <c r="N17" s="196">
        <v>50.2</v>
      </c>
      <c r="O17" s="448">
        <v>84.265000000000001</v>
      </c>
      <c r="P17" s="445"/>
      <c r="Q17" s="104"/>
      <c r="R17" s="620"/>
      <c r="S17" s="443"/>
      <c r="T17" s="444"/>
      <c r="U17" s="678"/>
      <c r="V17" s="445"/>
      <c r="W17" s="104">
        <v>7384.1698718900006</v>
      </c>
      <c r="X17" s="620">
        <v>7422.3321139700001</v>
      </c>
      <c r="Y17" s="445">
        <f t="shared" si="0"/>
        <v>0.5</v>
      </c>
      <c r="Z17" s="104"/>
      <c r="AA17" s="620"/>
      <c r="AB17" s="445"/>
      <c r="AC17" s="104">
        <v>94</v>
      </c>
      <c r="AD17" s="620">
        <v>10</v>
      </c>
      <c r="AE17" s="445">
        <f t="shared" si="9"/>
        <v>-89.4</v>
      </c>
      <c r="AF17" s="104"/>
      <c r="AG17" s="620"/>
      <c r="AH17" s="445"/>
      <c r="AI17" s="104">
        <v>92.435000000000002</v>
      </c>
      <c r="AJ17" s="620">
        <v>75.641999999999996</v>
      </c>
      <c r="AK17" s="445">
        <f t="shared" si="1"/>
        <v>-18.2</v>
      </c>
      <c r="AL17" s="104"/>
      <c r="AM17" s="620"/>
      <c r="AN17" s="445" t="str">
        <f t="shared" si="10"/>
        <v xml:space="preserve">    ---- </v>
      </c>
      <c r="AO17" s="446">
        <f t="shared" si="2"/>
        <v>10315.911871890001</v>
      </c>
      <c r="AP17" s="446">
        <f t="shared" si="3"/>
        <v>13862.184113970001</v>
      </c>
      <c r="AQ17" s="445">
        <f t="shared" si="4"/>
        <v>34.4</v>
      </c>
      <c r="AR17" s="446">
        <f t="shared" si="5"/>
        <v>10315.911871890001</v>
      </c>
      <c r="AS17" s="446">
        <f t="shared" si="6"/>
        <v>13862.184113970001</v>
      </c>
      <c r="AT17" s="445">
        <f t="shared" si="7"/>
        <v>34.4</v>
      </c>
      <c r="AU17" s="496"/>
      <c r="AV17" s="496"/>
    </row>
    <row r="18" spans="1:49" s="497" customFormat="1" ht="20.100000000000001" customHeight="1" x14ac:dyDescent="0.3">
      <c r="A18" s="462" t="s">
        <v>194</v>
      </c>
      <c r="B18" s="196"/>
      <c r="C18" s="448"/>
      <c r="D18" s="445"/>
      <c r="E18" s="104"/>
      <c r="F18" s="620"/>
      <c r="G18" s="445"/>
      <c r="H18" s="196">
        <v>2695.107</v>
      </c>
      <c r="I18" s="448">
        <v>6269.9449999999997</v>
      </c>
      <c r="J18" s="445"/>
      <c r="K18" s="448"/>
      <c r="L18" s="448">
        <v>0</v>
      </c>
      <c r="M18" s="445"/>
      <c r="N18" s="196">
        <v>50.2</v>
      </c>
      <c r="O18" s="448">
        <v>84.265000000000001</v>
      </c>
      <c r="P18" s="445"/>
      <c r="Q18" s="104"/>
      <c r="R18" s="620"/>
      <c r="S18" s="443"/>
      <c r="T18" s="444"/>
      <c r="U18" s="678"/>
      <c r="V18" s="445"/>
      <c r="W18" s="104">
        <v>7384.1698718900006</v>
      </c>
      <c r="X18" s="620">
        <v>7422.3321139700001</v>
      </c>
      <c r="Y18" s="445">
        <f t="shared" si="0"/>
        <v>0.5</v>
      </c>
      <c r="Z18" s="104"/>
      <c r="AA18" s="620"/>
      <c r="AB18" s="445"/>
      <c r="AC18" s="104"/>
      <c r="AD18" s="620"/>
      <c r="AE18" s="445"/>
      <c r="AF18" s="104"/>
      <c r="AG18" s="620"/>
      <c r="AH18" s="445"/>
      <c r="AI18" s="104">
        <v>16.490183389999672</v>
      </c>
      <c r="AJ18" s="620">
        <v>7.4999999999996723</v>
      </c>
      <c r="AK18" s="445">
        <f t="shared" si="1"/>
        <v>-54.5</v>
      </c>
      <c r="AL18" s="104"/>
      <c r="AM18" s="620"/>
      <c r="AN18" s="445" t="str">
        <f t="shared" si="10"/>
        <v xml:space="preserve">    ---- </v>
      </c>
      <c r="AO18" s="446">
        <f t="shared" si="2"/>
        <v>10145.967055280002</v>
      </c>
      <c r="AP18" s="446">
        <f t="shared" si="3"/>
        <v>13784.042113970001</v>
      </c>
      <c r="AQ18" s="445">
        <f t="shared" si="4"/>
        <v>35.9</v>
      </c>
      <c r="AR18" s="446">
        <f t="shared" si="5"/>
        <v>10145.967055280002</v>
      </c>
      <c r="AS18" s="446">
        <f t="shared" si="6"/>
        <v>13784.042113970001</v>
      </c>
      <c r="AT18" s="445">
        <f t="shared" si="7"/>
        <v>35.9</v>
      </c>
      <c r="AU18" s="496"/>
      <c r="AV18" s="496"/>
    </row>
    <row r="19" spans="1:49" s="497" customFormat="1" ht="20.100000000000001" customHeight="1" x14ac:dyDescent="0.3">
      <c r="A19" s="462" t="s">
        <v>195</v>
      </c>
      <c r="B19" s="196"/>
      <c r="C19" s="448"/>
      <c r="D19" s="445"/>
      <c r="E19" s="104">
        <v>246.7</v>
      </c>
      <c r="F19" s="620">
        <v>297.60000000000002</v>
      </c>
      <c r="G19" s="445"/>
      <c r="H19" s="196">
        <v>2429.4259999999999</v>
      </c>
      <c r="I19" s="448">
        <v>2465.0309999999999</v>
      </c>
      <c r="J19" s="445"/>
      <c r="K19" s="448"/>
      <c r="L19" s="448">
        <v>0</v>
      </c>
      <c r="M19" s="445"/>
      <c r="N19" s="196"/>
      <c r="O19" s="448"/>
      <c r="P19" s="445"/>
      <c r="Q19" s="104">
        <v>234.26599999999999</v>
      </c>
      <c r="R19" s="620">
        <v>252.97</v>
      </c>
      <c r="S19" s="443"/>
      <c r="T19" s="444"/>
      <c r="U19" s="678"/>
      <c r="V19" s="445"/>
      <c r="W19" s="104">
        <v>10888.991593139999</v>
      </c>
      <c r="X19" s="620">
        <v>11693.267957010001</v>
      </c>
      <c r="Y19" s="445">
        <f t="shared" si="0"/>
        <v>7.4</v>
      </c>
      <c r="Z19" s="104"/>
      <c r="AA19" s="620"/>
      <c r="AB19" s="445"/>
      <c r="AC19" s="104">
        <v>4450</v>
      </c>
      <c r="AD19" s="620">
        <v>4448</v>
      </c>
      <c r="AE19" s="445">
        <f t="shared" si="9"/>
        <v>0</v>
      </c>
      <c r="AF19" s="104"/>
      <c r="AG19" s="620"/>
      <c r="AH19" s="445"/>
      <c r="AI19" s="104">
        <v>1085.32</v>
      </c>
      <c r="AJ19" s="620">
        <v>1046.5840000000001</v>
      </c>
      <c r="AK19" s="445">
        <f t="shared" si="1"/>
        <v>-3.6</v>
      </c>
      <c r="AL19" s="104">
        <f>1+7592+339</f>
        <v>7932</v>
      </c>
      <c r="AM19" s="620">
        <f>1+8120+349</f>
        <v>8470</v>
      </c>
      <c r="AN19" s="445">
        <f t="shared" si="10"/>
        <v>6.8</v>
      </c>
      <c r="AO19" s="446">
        <f t="shared" si="2"/>
        <v>27266.703593139999</v>
      </c>
      <c r="AP19" s="446">
        <f t="shared" si="3"/>
        <v>28673.452957010002</v>
      </c>
      <c r="AQ19" s="445">
        <f t="shared" si="4"/>
        <v>5.2</v>
      </c>
      <c r="AR19" s="446">
        <f t="shared" si="5"/>
        <v>27266.703593139999</v>
      </c>
      <c r="AS19" s="446">
        <f t="shared" si="6"/>
        <v>28673.452957010002</v>
      </c>
      <c r="AT19" s="445">
        <f t="shared" si="7"/>
        <v>5.2</v>
      </c>
      <c r="AU19" s="496"/>
      <c r="AV19" s="496"/>
    </row>
    <row r="20" spans="1:49" s="497" customFormat="1" ht="20.100000000000001" customHeight="1" x14ac:dyDescent="0.3">
      <c r="A20" s="462" t="s">
        <v>196</v>
      </c>
      <c r="B20" s="196">
        <f>SUM(B21:B25)</f>
        <v>250.92400000000001</v>
      </c>
      <c r="C20" s="448">
        <f>SUM(C21:C25)</f>
        <v>760.12099999999998</v>
      </c>
      <c r="D20" s="445">
        <f>IF(B20=0, "    ---- ", IF(ABS(ROUND(100/B20*C20-100,1))&lt;999,ROUND(100/B20*C20-100,1),IF(ROUND(100/B20*C20-100,1)&gt;999,999,-999)))</f>
        <v>202.9</v>
      </c>
      <c r="E20" s="104">
        <f>SUM(E21:E25)</f>
        <v>240.2</v>
      </c>
      <c r="F20" s="620">
        <f>SUM(F21:F25)</f>
        <v>263.39999999999998</v>
      </c>
      <c r="G20" s="445">
        <f t="shared" ref="G20:G28" si="11">IF(E20=0, "    ---- ", IF(ABS(ROUND(100/E20*F20-100,1))&lt;999,ROUND(100/E20*F20-100,1),IF(ROUND(100/E20*F20-100,1)&gt;999,999,-999)))</f>
        <v>9.6999999999999993</v>
      </c>
      <c r="H20" s="196">
        <f>SUM(H21:H25)</f>
        <v>25715.652000000002</v>
      </c>
      <c r="I20" s="448">
        <f>SUM(I21:I25)</f>
        <v>22454.759000000002</v>
      </c>
      <c r="J20" s="445">
        <f t="shared" si="8"/>
        <v>-12.7</v>
      </c>
      <c r="K20" s="448"/>
      <c r="L20" s="448">
        <f>SUM(L21:L25)</f>
        <v>1425.1268943800003</v>
      </c>
      <c r="M20" s="445" t="str">
        <f t="shared" ref="M20:M22" si="12">IF(K20=0, "    ---- ", IF(ABS(ROUND(100/K20*L20-100,1))&lt;999,ROUND(100/K20*L20-100,1),IF(ROUND(100/K20*L20-100,1)&gt;999,999,-999)))</f>
        <v xml:space="preserve">    ---- </v>
      </c>
      <c r="N20" s="196">
        <f>SUM(N21:N25)</f>
        <v>209</v>
      </c>
      <c r="O20" s="448">
        <f>SUM(O21:O25)</f>
        <v>412.66699999999997</v>
      </c>
      <c r="P20" s="445">
        <f t="shared" ref="P20:P28" si="13">IF(N20=0, "    ---- ", IF(ABS(ROUND(100/N20*O20-100,1))&lt;999,ROUND(100/N20*O20-100,1),IF(ROUND(100/N20*O20-100,1)&gt;999,999,-999)))</f>
        <v>97.4</v>
      </c>
      <c r="Q20" s="104">
        <f>SUM(Q21:Q25)</f>
        <v>736.67700000000002</v>
      </c>
      <c r="R20" s="620">
        <f>SUM(R21:R25)</f>
        <v>830.48</v>
      </c>
      <c r="S20" s="443">
        <f t="shared" ref="S20:S28" si="14">IF(Q20=0, "    ---- ", IF(ABS(ROUND(100/Q20*R20-100,1))&lt;999,ROUND(100/Q20*R20-100,1),IF(ROUND(100/Q20*R20-100,1)&gt;999,999,-999)))</f>
        <v>12.7</v>
      </c>
      <c r="T20" s="444"/>
      <c r="U20" s="678">
        <f>SUM(U21:U25)</f>
        <v>0</v>
      </c>
      <c r="V20" s="445" t="str">
        <f t="shared" ref="V20:V27" si="15">IF(T20=0, "    ---- ", IF(ABS(ROUND(100/T20*U20-100,1))&lt;999,ROUND(100/T20*U20-100,1),IF(ROUND(100/T20*U20-100,1)&gt;999,999,-999)))</f>
        <v xml:space="preserve">    ---- </v>
      </c>
      <c r="W20" s="104">
        <v>14555.415112459999</v>
      </c>
      <c r="X20" s="620">
        <v>16407.368000320002</v>
      </c>
      <c r="Y20" s="445">
        <f t="shared" si="0"/>
        <v>12.7</v>
      </c>
      <c r="Z20" s="104">
        <f>SUM(Z21:Z25)</f>
        <v>10626.09</v>
      </c>
      <c r="AA20" s="620">
        <f>SUM(AA21:AA25)</f>
        <v>10567.93</v>
      </c>
      <c r="AB20" s="445">
        <f t="shared" ref="AB20:AB28" si="16">IF(Z20=0, "    ---- ", IF(ABS(ROUND(100/Z20*AA20-100,1))&lt;999,ROUND(100/Z20*AA20-100,1),IF(ROUND(100/Z20*AA20-100,1)&gt;999,999,-999)))</f>
        <v>-0.5</v>
      </c>
      <c r="AC20" s="104">
        <f>SUM(AC21:AC25)</f>
        <v>3734</v>
      </c>
      <c r="AD20" s="620">
        <f>SUM(AD21:AD25)</f>
        <v>4572</v>
      </c>
      <c r="AE20" s="445">
        <f t="shared" si="9"/>
        <v>22.4</v>
      </c>
      <c r="AF20" s="104"/>
      <c r="AG20" s="620">
        <f>SUM(AG21:AG25)</f>
        <v>0</v>
      </c>
      <c r="AH20" s="338" t="str">
        <f>IF(AF20=0, "    ---- ", IF(ABS(ROUND(100/AF20*AG20-100,1))&lt;999,ROUND(100/AF20*AG20-100,1),IF(ROUND(100/AF20*AG20-100,1)&gt;999,999,-999)))</f>
        <v xml:space="preserve">    ---- </v>
      </c>
      <c r="AI20" s="104">
        <f>SUM(AI21:AI25)</f>
        <v>3501.8</v>
      </c>
      <c r="AJ20" s="620">
        <f>SUM(AJ21:AJ25)</f>
        <v>3736.3809999999999</v>
      </c>
      <c r="AK20" s="445">
        <f t="shared" si="1"/>
        <v>6.7</v>
      </c>
      <c r="AL20" s="104">
        <f>SUM(AL21:AL25)</f>
        <v>12283</v>
      </c>
      <c r="AM20" s="620">
        <f>SUM(AM21:AM25)</f>
        <v>12796</v>
      </c>
      <c r="AN20" s="445">
        <f t="shared" si="10"/>
        <v>4.2</v>
      </c>
      <c r="AO20" s="446">
        <f t="shared" si="2"/>
        <v>71852.758112459996</v>
      </c>
      <c r="AP20" s="446">
        <f t="shared" si="3"/>
        <v>74226.232894700006</v>
      </c>
      <c r="AQ20" s="445">
        <f t="shared" si="4"/>
        <v>3.3</v>
      </c>
      <c r="AR20" s="446">
        <f t="shared" si="5"/>
        <v>71852.758112459996</v>
      </c>
      <c r="AS20" s="446">
        <f t="shared" si="6"/>
        <v>74226.232894700006</v>
      </c>
      <c r="AT20" s="445">
        <f t="shared" si="7"/>
        <v>3.3</v>
      </c>
      <c r="AU20" s="496"/>
      <c r="AV20" s="496"/>
    </row>
    <row r="21" spans="1:49" s="497" customFormat="1" ht="20.100000000000001" customHeight="1" x14ac:dyDescent="0.3">
      <c r="A21" s="462" t="s">
        <v>197</v>
      </c>
      <c r="B21" s="196">
        <v>5.8570000000000002</v>
      </c>
      <c r="C21" s="448">
        <v>6.2839999999999998</v>
      </c>
      <c r="D21" s="445">
        <f>IF(B21=0, "    ---- ", IF(ABS(ROUND(100/B21*C21-100,1))&lt;999,ROUND(100/B21*C21-100,1),IF(ROUND(100/B21*C21-100,1)&gt;999,999,-999)))</f>
        <v>7.3</v>
      </c>
      <c r="E21" s="104">
        <v>217.1</v>
      </c>
      <c r="F21" s="620">
        <v>255.7</v>
      </c>
      <c r="G21" s="445">
        <f t="shared" si="11"/>
        <v>17.8</v>
      </c>
      <c r="H21" s="196">
        <v>134.523</v>
      </c>
      <c r="I21" s="448">
        <v>558.73699999999997</v>
      </c>
      <c r="J21" s="445">
        <f t="shared" si="8"/>
        <v>315.3</v>
      </c>
      <c r="K21" s="448"/>
      <c r="L21" s="448">
        <v>0</v>
      </c>
      <c r="M21" s="445" t="str">
        <f t="shared" si="12"/>
        <v xml:space="preserve">    ---- </v>
      </c>
      <c r="N21" s="196">
        <v>23.9</v>
      </c>
      <c r="O21" s="448">
        <v>58.100999999999999</v>
      </c>
      <c r="P21" s="445">
        <f t="shared" si="13"/>
        <v>143.1</v>
      </c>
      <c r="Q21" s="104">
        <v>18.550999999999998</v>
      </c>
      <c r="R21" s="620">
        <v>10.59</v>
      </c>
      <c r="S21" s="443">
        <f t="shared" si="14"/>
        <v>-42.9</v>
      </c>
      <c r="T21" s="444"/>
      <c r="U21" s="678"/>
      <c r="V21" s="445"/>
      <c r="W21" s="104">
        <v>5.2555584500000005</v>
      </c>
      <c r="X21" s="620">
        <v>5.2555584500000005</v>
      </c>
      <c r="Y21" s="445">
        <f t="shared" si="0"/>
        <v>0</v>
      </c>
      <c r="Z21" s="104">
        <v>0</v>
      </c>
      <c r="AA21" s="620">
        <v>0</v>
      </c>
      <c r="AB21" s="445" t="str">
        <f t="shared" si="16"/>
        <v xml:space="preserve">    ---- </v>
      </c>
      <c r="AC21" s="104">
        <v>1982</v>
      </c>
      <c r="AD21" s="620">
        <v>2242</v>
      </c>
      <c r="AE21" s="445"/>
      <c r="AF21" s="104"/>
      <c r="AG21" s="620"/>
      <c r="AH21" s="445"/>
      <c r="AI21" s="104">
        <v>0.48899999999999999</v>
      </c>
      <c r="AJ21" s="620">
        <v>1.2030000000000001</v>
      </c>
      <c r="AK21" s="445">
        <f t="shared" si="1"/>
        <v>146</v>
      </c>
      <c r="AL21" s="104">
        <v>15</v>
      </c>
      <c r="AM21" s="620">
        <v>55</v>
      </c>
      <c r="AN21" s="445">
        <f t="shared" si="10"/>
        <v>266.7</v>
      </c>
      <c r="AO21" s="446">
        <f t="shared" si="2"/>
        <v>2402.6755584500002</v>
      </c>
      <c r="AP21" s="446">
        <f t="shared" si="3"/>
        <v>3192.8705584499999</v>
      </c>
      <c r="AQ21" s="445">
        <f t="shared" si="4"/>
        <v>32.9</v>
      </c>
      <c r="AR21" s="446">
        <f t="shared" si="5"/>
        <v>2402.6755584500002</v>
      </c>
      <c r="AS21" s="446">
        <f t="shared" si="6"/>
        <v>3192.8705584499999</v>
      </c>
      <c r="AT21" s="445">
        <f t="shared" si="7"/>
        <v>32.9</v>
      </c>
      <c r="AU21" s="496"/>
      <c r="AV21" s="496"/>
    </row>
    <row r="22" spans="1:49" s="497" customFormat="1" ht="20.100000000000001" customHeight="1" x14ac:dyDescent="0.3">
      <c r="A22" s="462" t="s">
        <v>198</v>
      </c>
      <c r="B22" s="196">
        <v>245.06700000000001</v>
      </c>
      <c r="C22" s="448">
        <v>753.83699999999999</v>
      </c>
      <c r="D22" s="445">
        <f>IF(B22=0, "    ---- ", IF(ABS(ROUND(100/B22*C22-100,1))&lt;999,ROUND(100/B22*C22-100,1),IF(ROUND(100/B22*C22-100,1)&gt;999,999,-999)))</f>
        <v>207.6</v>
      </c>
      <c r="E22" s="104"/>
      <c r="F22" s="620"/>
      <c r="G22" s="445" t="str">
        <f t="shared" si="11"/>
        <v xml:space="preserve">    ---- </v>
      </c>
      <c r="H22" s="196">
        <v>25551.031999999999</v>
      </c>
      <c r="I22" s="448">
        <v>21552.663</v>
      </c>
      <c r="J22" s="445">
        <f t="shared" si="8"/>
        <v>-15.6</v>
      </c>
      <c r="K22" s="448"/>
      <c r="L22" s="448">
        <v>1606.9927431800002</v>
      </c>
      <c r="M22" s="445" t="str">
        <f t="shared" si="12"/>
        <v xml:space="preserve">    ---- </v>
      </c>
      <c r="N22" s="196">
        <v>153</v>
      </c>
      <c r="O22" s="448">
        <v>305.02199999999999</v>
      </c>
      <c r="P22" s="445">
        <f t="shared" si="13"/>
        <v>99.4</v>
      </c>
      <c r="Q22" s="104">
        <v>718.12599999999998</v>
      </c>
      <c r="R22" s="620">
        <v>819.89</v>
      </c>
      <c r="S22" s="443">
        <f t="shared" si="14"/>
        <v>14.2</v>
      </c>
      <c r="T22" s="444"/>
      <c r="U22" s="678"/>
      <c r="V22" s="445"/>
      <c r="W22" s="104">
        <v>11610.24066336</v>
      </c>
      <c r="X22" s="620">
        <v>9708.7033964000002</v>
      </c>
      <c r="Y22" s="445">
        <f t="shared" si="0"/>
        <v>-16.399999999999999</v>
      </c>
      <c r="Z22" s="104">
        <v>10625.82</v>
      </c>
      <c r="AA22" s="620">
        <v>10567.93</v>
      </c>
      <c r="AB22" s="445">
        <f t="shared" si="16"/>
        <v>-0.5</v>
      </c>
      <c r="AC22" s="104">
        <v>1773</v>
      </c>
      <c r="AD22" s="620">
        <v>2300</v>
      </c>
      <c r="AE22" s="445">
        <f t="shared" si="9"/>
        <v>29.7</v>
      </c>
      <c r="AF22" s="104"/>
      <c r="AG22" s="620"/>
      <c r="AH22" s="445"/>
      <c r="AI22" s="104">
        <v>3029.0509999999999</v>
      </c>
      <c r="AJ22" s="620">
        <v>2604.125</v>
      </c>
      <c r="AK22" s="445">
        <f t="shared" si="1"/>
        <v>-14</v>
      </c>
      <c r="AL22" s="104">
        <v>11174</v>
      </c>
      <c r="AM22" s="620">
        <v>11364</v>
      </c>
      <c r="AN22" s="445">
        <f t="shared" si="10"/>
        <v>1.7</v>
      </c>
      <c r="AO22" s="446">
        <f t="shared" si="2"/>
        <v>64879.336663359994</v>
      </c>
      <c r="AP22" s="446">
        <f t="shared" si="3"/>
        <v>61583.16313958</v>
      </c>
      <c r="AQ22" s="445">
        <f t="shared" si="4"/>
        <v>-5.0999999999999996</v>
      </c>
      <c r="AR22" s="446">
        <f t="shared" si="5"/>
        <v>64879.336663359994</v>
      </c>
      <c r="AS22" s="446">
        <f t="shared" si="6"/>
        <v>61583.16313958</v>
      </c>
      <c r="AT22" s="445">
        <f t="shared" si="7"/>
        <v>-5.0999999999999996</v>
      </c>
      <c r="AU22" s="496"/>
      <c r="AV22" s="496"/>
    </row>
    <row r="23" spans="1:49" s="497" customFormat="1" ht="20.100000000000001" customHeight="1" x14ac:dyDescent="0.3">
      <c r="A23" s="462" t="s">
        <v>199</v>
      </c>
      <c r="B23" s="196"/>
      <c r="C23" s="448"/>
      <c r="D23" s="445"/>
      <c r="E23" s="104">
        <v>23.1</v>
      </c>
      <c r="F23" s="620">
        <v>7.7</v>
      </c>
      <c r="G23" s="445">
        <f t="shared" si="11"/>
        <v>-66.7</v>
      </c>
      <c r="H23" s="196">
        <v>9.8940000000000001</v>
      </c>
      <c r="I23" s="448">
        <v>32.89</v>
      </c>
      <c r="J23" s="445">
        <f t="shared" si="8"/>
        <v>232.4</v>
      </c>
      <c r="K23" s="448"/>
      <c r="L23" s="448">
        <v>-182.94478226999999</v>
      </c>
      <c r="M23" s="445"/>
      <c r="N23" s="196"/>
      <c r="O23" s="448"/>
      <c r="P23" s="445"/>
      <c r="Q23" s="104"/>
      <c r="R23" s="620"/>
      <c r="S23" s="443" t="str">
        <f t="shared" si="14"/>
        <v xml:space="preserve">    ---- </v>
      </c>
      <c r="T23" s="444"/>
      <c r="U23" s="678"/>
      <c r="V23" s="445"/>
      <c r="W23" s="104">
        <v>2036.7156200899999</v>
      </c>
      <c r="X23" s="620">
        <v>1781.44696176</v>
      </c>
      <c r="Y23" s="445">
        <f t="shared" si="0"/>
        <v>-12.5</v>
      </c>
      <c r="Z23" s="104">
        <v>0.27</v>
      </c>
      <c r="AA23" s="620">
        <v>0</v>
      </c>
      <c r="AB23" s="445">
        <f t="shared" si="16"/>
        <v>-100</v>
      </c>
      <c r="AC23" s="104"/>
      <c r="AD23" s="620"/>
      <c r="AE23" s="445" t="str">
        <f t="shared" si="9"/>
        <v xml:space="preserve">    ---- </v>
      </c>
      <c r="AF23" s="104"/>
      <c r="AG23" s="620"/>
      <c r="AH23" s="445"/>
      <c r="AI23" s="104">
        <v>0</v>
      </c>
      <c r="AJ23" s="620">
        <v>0</v>
      </c>
      <c r="AK23" s="445" t="str">
        <f t="shared" si="1"/>
        <v xml:space="preserve">    ---- </v>
      </c>
      <c r="AL23" s="104"/>
      <c r="AM23" s="620"/>
      <c r="AN23" s="445" t="str">
        <f t="shared" si="10"/>
        <v xml:space="preserve">    ---- </v>
      </c>
      <c r="AO23" s="446">
        <f t="shared" si="2"/>
        <v>2069.97962009</v>
      </c>
      <c r="AP23" s="446">
        <f t="shared" si="3"/>
        <v>1639.09217949</v>
      </c>
      <c r="AQ23" s="445">
        <f t="shared" si="4"/>
        <v>-20.8</v>
      </c>
      <c r="AR23" s="446">
        <f t="shared" si="5"/>
        <v>2069.97962009</v>
      </c>
      <c r="AS23" s="446">
        <f t="shared" si="6"/>
        <v>1639.09217949</v>
      </c>
      <c r="AT23" s="445">
        <f t="shared" si="7"/>
        <v>-20.8</v>
      </c>
      <c r="AU23" s="496"/>
      <c r="AV23" s="496"/>
    </row>
    <row r="24" spans="1:49" s="497" customFormat="1" ht="20.100000000000001" customHeight="1" x14ac:dyDescent="0.3">
      <c r="A24" s="462" t="s">
        <v>200</v>
      </c>
      <c r="B24" s="196"/>
      <c r="C24" s="448"/>
      <c r="D24" s="445"/>
      <c r="E24" s="104"/>
      <c r="F24" s="620"/>
      <c r="G24" s="445"/>
      <c r="H24" s="196"/>
      <c r="I24" s="448">
        <v>0.57099999999999995</v>
      </c>
      <c r="J24" s="445" t="str">
        <f t="shared" si="8"/>
        <v xml:space="preserve">    ---- </v>
      </c>
      <c r="K24" s="448"/>
      <c r="L24" s="448">
        <v>0</v>
      </c>
      <c r="M24" s="445"/>
      <c r="N24" s="196"/>
      <c r="O24" s="448"/>
      <c r="P24" s="445"/>
      <c r="Q24" s="104"/>
      <c r="R24" s="620"/>
      <c r="S24" s="443"/>
      <c r="T24" s="444"/>
      <c r="U24" s="678"/>
      <c r="V24" s="445"/>
      <c r="W24" s="104">
        <v>902.94016791999991</v>
      </c>
      <c r="X24" s="620">
        <v>1012.17298548</v>
      </c>
      <c r="Y24" s="445">
        <f t="shared" si="0"/>
        <v>12.1</v>
      </c>
      <c r="Z24" s="104">
        <v>0</v>
      </c>
      <c r="AA24" s="620">
        <v>0</v>
      </c>
      <c r="AB24" s="445"/>
      <c r="AC24" s="104">
        <v>-21</v>
      </c>
      <c r="AD24" s="620">
        <v>30</v>
      </c>
      <c r="AE24" s="445">
        <f t="shared" si="9"/>
        <v>-242.9</v>
      </c>
      <c r="AF24" s="104"/>
      <c r="AG24" s="620"/>
      <c r="AH24" s="445"/>
      <c r="AI24" s="104">
        <v>0</v>
      </c>
      <c r="AJ24" s="620">
        <v>0.92300000000000004</v>
      </c>
      <c r="AK24" s="445"/>
      <c r="AL24" s="104">
        <v>1094</v>
      </c>
      <c r="AM24" s="620">
        <v>1377</v>
      </c>
      <c r="AN24" s="445">
        <f t="shared" si="10"/>
        <v>25.9</v>
      </c>
      <c r="AO24" s="446">
        <f t="shared" si="2"/>
        <v>1975.94016792</v>
      </c>
      <c r="AP24" s="446">
        <f t="shared" si="3"/>
        <v>2420.6669854800002</v>
      </c>
      <c r="AQ24" s="445">
        <f t="shared" si="4"/>
        <v>22.5</v>
      </c>
      <c r="AR24" s="446">
        <f t="shared" si="5"/>
        <v>1975.94016792</v>
      </c>
      <c r="AS24" s="446">
        <f t="shared" si="6"/>
        <v>2420.6669854800002</v>
      </c>
      <c r="AT24" s="445">
        <f t="shared" si="7"/>
        <v>22.5</v>
      </c>
      <c r="AU24" s="496"/>
      <c r="AV24" s="496"/>
    </row>
    <row r="25" spans="1:49" s="497" customFormat="1" ht="20.100000000000001" customHeight="1" x14ac:dyDescent="0.3">
      <c r="A25" s="462" t="s">
        <v>201</v>
      </c>
      <c r="B25" s="196"/>
      <c r="C25" s="448"/>
      <c r="D25" s="445"/>
      <c r="E25" s="104"/>
      <c r="F25" s="620"/>
      <c r="G25" s="445"/>
      <c r="H25" s="196">
        <v>20.202999999999999</v>
      </c>
      <c r="I25" s="448">
        <v>309.89800000000002</v>
      </c>
      <c r="J25" s="445">
        <f t="shared" si="8"/>
        <v>999</v>
      </c>
      <c r="K25" s="448"/>
      <c r="L25" s="448">
        <v>1.0789334700000022</v>
      </c>
      <c r="M25" s="445" t="str">
        <f t="shared" ref="M25" si="17">IF(K25=0, "    ---- ", IF(ABS(ROUND(100/K25*L25-100,1))&lt;999,ROUND(100/K25*L25-100,1),IF(ROUND(100/K25*L25-100,1)&gt;999,999,-999)))</f>
        <v xml:space="preserve">    ---- </v>
      </c>
      <c r="N25" s="196">
        <v>32.1</v>
      </c>
      <c r="O25" s="448">
        <v>49.543999999999997</v>
      </c>
      <c r="P25" s="445">
        <f t="shared" si="13"/>
        <v>54.3</v>
      </c>
      <c r="Q25" s="104"/>
      <c r="R25" s="620"/>
      <c r="S25" s="443"/>
      <c r="T25" s="444"/>
      <c r="U25" s="678"/>
      <c r="V25" s="445" t="str">
        <f t="shared" si="15"/>
        <v xml:space="preserve">    ---- </v>
      </c>
      <c r="W25" s="104">
        <v>0.26310264</v>
      </c>
      <c r="X25" s="620">
        <v>3899.78909823</v>
      </c>
      <c r="Y25" s="445">
        <f t="shared" si="0"/>
        <v>999</v>
      </c>
      <c r="Z25" s="104">
        <v>0</v>
      </c>
      <c r="AA25" s="620">
        <v>0</v>
      </c>
      <c r="AB25" s="445"/>
      <c r="AC25" s="104"/>
      <c r="AD25" s="620"/>
      <c r="AE25" s="445"/>
      <c r="AF25" s="104"/>
      <c r="AG25" s="620"/>
      <c r="AH25" s="338" t="str">
        <f>IF(AF25=0, "    ---- ", IF(ABS(ROUND(100/AF25*AG25-100,1))&lt;999,ROUND(100/AF25*AG25-100,1),IF(ROUND(100/AF25*AG25-100,1)&gt;999,999,-999)))</f>
        <v xml:space="preserve">    ---- </v>
      </c>
      <c r="AI25" s="104">
        <v>472.26</v>
      </c>
      <c r="AJ25" s="620">
        <v>1130.1300000000001</v>
      </c>
      <c r="AK25" s="445">
        <f t="shared" si="1"/>
        <v>139.30000000000001</v>
      </c>
      <c r="AL25" s="104"/>
      <c r="AM25" s="620"/>
      <c r="AN25" s="445" t="str">
        <f t="shared" si="10"/>
        <v xml:space="preserve">    ---- </v>
      </c>
      <c r="AO25" s="446">
        <f t="shared" si="2"/>
        <v>524.82610264000004</v>
      </c>
      <c r="AP25" s="446">
        <f t="shared" si="3"/>
        <v>5390.4400317</v>
      </c>
      <c r="AQ25" s="445">
        <f t="shared" si="4"/>
        <v>927.1</v>
      </c>
      <c r="AR25" s="446">
        <f t="shared" si="5"/>
        <v>524.82610264000004</v>
      </c>
      <c r="AS25" s="446">
        <f t="shared" si="6"/>
        <v>5390.4400317</v>
      </c>
      <c r="AT25" s="445">
        <f t="shared" si="7"/>
        <v>927.1</v>
      </c>
      <c r="AU25" s="496"/>
      <c r="AV25" s="496"/>
    </row>
    <row r="26" spans="1:49" s="497" customFormat="1" ht="20.100000000000001" customHeight="1" x14ac:dyDescent="0.3">
      <c r="A26" s="462" t="s">
        <v>202</v>
      </c>
      <c r="B26" s="196"/>
      <c r="C26" s="448"/>
      <c r="D26" s="445"/>
      <c r="E26" s="104"/>
      <c r="F26" s="620"/>
      <c r="G26" s="445"/>
      <c r="H26" s="196"/>
      <c r="I26" s="448"/>
      <c r="J26" s="445"/>
      <c r="K26" s="448"/>
      <c r="L26" s="448">
        <v>0</v>
      </c>
      <c r="M26" s="445"/>
      <c r="N26" s="196"/>
      <c r="O26" s="448"/>
      <c r="P26" s="445"/>
      <c r="Q26" s="104"/>
      <c r="R26" s="620"/>
      <c r="S26" s="443"/>
      <c r="T26" s="444"/>
      <c r="U26" s="678"/>
      <c r="V26" s="445"/>
      <c r="W26" s="104"/>
      <c r="X26" s="620"/>
      <c r="Y26" s="445"/>
      <c r="Z26" s="104">
        <v>0</v>
      </c>
      <c r="AA26" s="620"/>
      <c r="AB26" s="445"/>
      <c r="AC26" s="104"/>
      <c r="AD26" s="620"/>
      <c r="AE26" s="445"/>
      <c r="AF26" s="104"/>
      <c r="AG26" s="620"/>
      <c r="AH26" s="445"/>
      <c r="AI26" s="104"/>
      <c r="AJ26" s="620"/>
      <c r="AK26" s="445"/>
      <c r="AL26" s="104"/>
      <c r="AM26" s="620"/>
      <c r="AN26" s="445"/>
      <c r="AO26" s="446">
        <f t="shared" si="2"/>
        <v>0</v>
      </c>
      <c r="AP26" s="446">
        <f t="shared" si="3"/>
        <v>0</v>
      </c>
      <c r="AQ26" s="445" t="str">
        <f t="shared" si="4"/>
        <v xml:space="preserve">    ---- </v>
      </c>
      <c r="AR26" s="446">
        <f t="shared" si="5"/>
        <v>0</v>
      </c>
      <c r="AS26" s="446">
        <f t="shared" si="6"/>
        <v>0</v>
      </c>
      <c r="AT26" s="445" t="str">
        <f t="shared" si="7"/>
        <v xml:space="preserve">    ---- </v>
      </c>
      <c r="AU26" s="496"/>
      <c r="AV26" s="496"/>
    </row>
    <row r="27" spans="1:49" s="497" customFormat="1" ht="20.100000000000001" customHeight="1" x14ac:dyDescent="0.3">
      <c r="A27" s="463" t="s">
        <v>203</v>
      </c>
      <c r="B27" s="196">
        <f>SUM(B14+B15+B16+B20+B26)</f>
        <v>250.92400000000001</v>
      </c>
      <c r="C27" s="448">
        <f>SUM(C14+C15+C16+C20+C26)</f>
        <v>760.12099999999998</v>
      </c>
      <c r="D27" s="445">
        <f>IF(B27=0, "    ---- ", IF(ABS(ROUND(100/B27*C27-100,1))&lt;999,ROUND(100/B27*C27-100,1),IF(ROUND(100/B27*C27-100,1)&gt;999,999,-999)))</f>
        <v>202.9</v>
      </c>
      <c r="E27" s="104">
        <f>SUM(E14+E15+E16+E20+E26)</f>
        <v>486.9</v>
      </c>
      <c r="F27" s="620">
        <f>SUM(F14+F15+F16+F20+F26)</f>
        <v>561</v>
      </c>
      <c r="G27" s="445">
        <f t="shared" si="11"/>
        <v>15.2</v>
      </c>
      <c r="H27" s="196">
        <f>SUM(H14+H15+H16+H20+H26)</f>
        <v>31545.014999999999</v>
      </c>
      <c r="I27" s="448">
        <f>SUM(I14+I15+I16+I20+I26)</f>
        <v>32886.266000000003</v>
      </c>
      <c r="J27" s="445">
        <f t="shared" si="8"/>
        <v>4.3</v>
      </c>
      <c r="K27" s="448"/>
      <c r="L27" s="448">
        <f>SUM(L14+L15+L16+L20+L26)</f>
        <v>1425.1268943800003</v>
      </c>
      <c r="M27" s="445" t="str">
        <f t="shared" ref="M27:M28" si="18">IF(K27=0, "    ---- ", IF(ABS(ROUND(100/K27*L27-100,1))&lt;999,ROUND(100/K27*L27-100,1),IF(ROUND(100/K27*L27-100,1)&gt;999,999,-999)))</f>
        <v xml:space="preserve">    ---- </v>
      </c>
      <c r="N27" s="196">
        <f>SUM(N14+N15+N16+N20+N26)</f>
        <v>259.2</v>
      </c>
      <c r="O27" s="448">
        <f>SUM(O14+O15+O16+O20+O26)</f>
        <v>496.93199999999996</v>
      </c>
      <c r="P27" s="445">
        <f t="shared" si="13"/>
        <v>91.7</v>
      </c>
      <c r="Q27" s="104">
        <f>SUM(Q14+Q15+Q16+Q20+Q26)</f>
        <v>996.52300000000002</v>
      </c>
      <c r="R27" s="620">
        <f>SUM(R14+R15+R16+R20+R26)</f>
        <v>1091.67</v>
      </c>
      <c r="S27" s="443">
        <f t="shared" si="14"/>
        <v>9.5</v>
      </c>
      <c r="T27" s="444"/>
      <c r="U27" s="678">
        <f>SUM(U14+U15+U16+U20+U26)</f>
        <v>0</v>
      </c>
      <c r="V27" s="445" t="str">
        <f t="shared" si="15"/>
        <v xml:space="preserve">    ---- </v>
      </c>
      <c r="W27" s="104">
        <v>41615.142186059995</v>
      </c>
      <c r="X27" s="620">
        <v>44344.243023529998</v>
      </c>
      <c r="Y27" s="445">
        <f t="shared" si="0"/>
        <v>6.6</v>
      </c>
      <c r="Z27" s="104">
        <f>SUM(Z14+Z15+Z16+Z20+Z26)</f>
        <v>10626.09</v>
      </c>
      <c r="AA27" s="620">
        <f>SUM(AA14+AA15+AA16+AA20+AA26)</f>
        <v>10567.93</v>
      </c>
      <c r="AB27" s="445">
        <f t="shared" si="16"/>
        <v>-0.5</v>
      </c>
      <c r="AC27" s="104">
        <f>SUM(AC14+AC15+AC16+AC20+AC26)</f>
        <v>9184</v>
      </c>
      <c r="AD27" s="620">
        <f>SUM(AD14+AD15+AD16+AD20+AD26)</f>
        <v>10060</v>
      </c>
      <c r="AE27" s="445">
        <f t="shared" si="9"/>
        <v>9.5</v>
      </c>
      <c r="AF27" s="104"/>
      <c r="AG27" s="620">
        <f>SUM(AG14+AG15+AG16+AG20+AG26)</f>
        <v>0</v>
      </c>
      <c r="AH27" s="338" t="str">
        <f>IF(AF27=0, "    ---- ", IF(ABS(ROUND(100/AF27*AG27-100,1))&lt;999,ROUND(100/AF27*AG27-100,1),IF(ROUND(100/AF27*AG27-100,1)&gt;999,999,-999)))</f>
        <v xml:space="preserve">    ---- </v>
      </c>
      <c r="AI27" s="104">
        <f>SUM(AI14+AI15+AI16+AI20+AI26)</f>
        <v>7276.7269999999999</v>
      </c>
      <c r="AJ27" s="620">
        <f>SUM(AJ14+AJ15+AJ16+AJ20+AJ26)</f>
        <v>6515.46</v>
      </c>
      <c r="AK27" s="445">
        <f t="shared" si="1"/>
        <v>-10.5</v>
      </c>
      <c r="AL27" s="104">
        <f>SUM(AL14+AL15+AL16+AL20+AL26)</f>
        <v>32907</v>
      </c>
      <c r="AM27" s="620">
        <f>SUM(AM14+AM15+AM16+AM20+AM26)</f>
        <v>34723</v>
      </c>
      <c r="AN27" s="445">
        <f t="shared" si="10"/>
        <v>5.5</v>
      </c>
      <c r="AO27" s="446">
        <f t="shared" si="2"/>
        <v>135147.52118605998</v>
      </c>
      <c r="AP27" s="446">
        <f t="shared" si="3"/>
        <v>143431.74891790998</v>
      </c>
      <c r="AQ27" s="445">
        <f t="shared" si="4"/>
        <v>6.1</v>
      </c>
      <c r="AR27" s="446">
        <f t="shared" si="5"/>
        <v>135147.52118605998</v>
      </c>
      <c r="AS27" s="446">
        <f t="shared" si="6"/>
        <v>143431.74891790998</v>
      </c>
      <c r="AT27" s="445">
        <f t="shared" si="7"/>
        <v>6.1</v>
      </c>
      <c r="AU27" s="496"/>
      <c r="AV27" s="496"/>
    </row>
    <row r="28" spans="1:49" s="497" customFormat="1" ht="20.100000000000001" customHeight="1" x14ac:dyDescent="0.3">
      <c r="A28" s="462" t="s">
        <v>204</v>
      </c>
      <c r="B28" s="196">
        <f>46.174+334.966+3.554</f>
        <v>384.69399999999996</v>
      </c>
      <c r="C28" s="448">
        <f>53.406+152.864+4.516</f>
        <v>210.786</v>
      </c>
      <c r="D28" s="445">
        <f>IF(B28=0, "    ---- ", IF(ABS(ROUND(100/B28*C28-100,1))&lt;999,ROUND(100/B28*C28-100,1),IF(ROUND(100/B28*C28-100,1)&gt;999,999,-999)))</f>
        <v>-45.2</v>
      </c>
      <c r="E28" s="104">
        <v>21.2</v>
      </c>
      <c r="F28" s="620">
        <v>85.3</v>
      </c>
      <c r="G28" s="445">
        <f t="shared" si="11"/>
        <v>302.39999999999998</v>
      </c>
      <c r="H28" s="196">
        <v>1019.573</v>
      </c>
      <c r="I28" s="448">
        <v>904.98299999999995</v>
      </c>
      <c r="J28" s="445">
        <f t="shared" si="8"/>
        <v>-11.2</v>
      </c>
      <c r="K28" s="448"/>
      <c r="L28" s="448">
        <v>1569.62461596</v>
      </c>
      <c r="M28" s="445" t="str">
        <f t="shared" si="18"/>
        <v xml:space="preserve">    ---- </v>
      </c>
      <c r="N28" s="196">
        <v>263.10000000000002</v>
      </c>
      <c r="O28" s="448">
        <v>297.298</v>
      </c>
      <c r="P28" s="445">
        <f t="shared" si="13"/>
        <v>13</v>
      </c>
      <c r="Q28" s="104">
        <f>63.6+100+177.8+7.9</f>
        <v>349.29999999999995</v>
      </c>
      <c r="R28" s="620">
        <f>26.55+142.4+274.17+2.1</f>
        <v>445.22</v>
      </c>
      <c r="S28" s="443">
        <f t="shared" si="14"/>
        <v>27.5</v>
      </c>
      <c r="T28" s="444">
        <v>146.71234183000001</v>
      </c>
      <c r="U28" s="678">
        <v>151.22838720999999</v>
      </c>
      <c r="V28" s="445"/>
      <c r="W28" s="104">
        <v>14670.784805430001</v>
      </c>
      <c r="X28" s="620">
        <v>7413.8467211200004</v>
      </c>
      <c r="Y28" s="445">
        <f t="shared" si="0"/>
        <v>-49.5</v>
      </c>
      <c r="Z28" s="104">
        <v>645</v>
      </c>
      <c r="AA28" s="620">
        <v>999</v>
      </c>
      <c r="AB28" s="445">
        <f t="shared" si="16"/>
        <v>54.9</v>
      </c>
      <c r="AC28" s="104">
        <f>27+987+220+13+1</f>
        <v>1248</v>
      </c>
      <c r="AD28" s="620">
        <v>1451</v>
      </c>
      <c r="AE28" s="445">
        <f t="shared" si="9"/>
        <v>16.3</v>
      </c>
      <c r="AF28" s="104">
        <v>74.284536689999996</v>
      </c>
      <c r="AG28" s="620">
        <v>82.175164449999997</v>
      </c>
      <c r="AH28" s="445"/>
      <c r="AI28" s="104">
        <v>669.41099999999994</v>
      </c>
      <c r="AJ28" s="620">
        <v>629.44299999999998</v>
      </c>
      <c r="AK28" s="445">
        <f t="shared" si="1"/>
        <v>-6</v>
      </c>
      <c r="AL28" s="104">
        <f>337+1194+2450+71</f>
        <v>4052</v>
      </c>
      <c r="AM28" s="620">
        <f>2483+2746+22+396</f>
        <v>5647</v>
      </c>
      <c r="AN28" s="445">
        <f t="shared" si="10"/>
        <v>39.4</v>
      </c>
      <c r="AO28" s="446">
        <f t="shared" si="2"/>
        <v>23323.062805430003</v>
      </c>
      <c r="AP28" s="446">
        <f t="shared" si="3"/>
        <v>19653.501337080001</v>
      </c>
      <c r="AQ28" s="445">
        <f t="shared" si="4"/>
        <v>-15.7</v>
      </c>
      <c r="AR28" s="446">
        <f t="shared" si="5"/>
        <v>23544.059683950003</v>
      </c>
      <c r="AS28" s="446">
        <f t="shared" si="6"/>
        <v>19886.904888739999</v>
      </c>
      <c r="AT28" s="445">
        <f t="shared" si="7"/>
        <v>-15.5</v>
      </c>
      <c r="AU28" s="496"/>
      <c r="AV28" s="496"/>
    </row>
    <row r="29" spans="1:49" s="497" customFormat="1" ht="20.100000000000001" customHeight="1" x14ac:dyDescent="0.3">
      <c r="A29" s="462" t="s">
        <v>205</v>
      </c>
      <c r="B29" s="196">
        <f>SUM(B27+B28)</f>
        <v>635.61799999999994</v>
      </c>
      <c r="C29" s="448">
        <f>SUM(C27+C28)</f>
        <v>970.90699999999993</v>
      </c>
      <c r="D29" s="445">
        <f>IF(B29=0, "    ---- ", IF(ABS(ROUND(100/B29*C29-100,1))&lt;999,ROUND(100/B29*C29-100,1),IF(ROUND(100/B29*C29-100,1)&gt;999,999,-999)))</f>
        <v>52.8</v>
      </c>
      <c r="E29" s="196">
        <f>SUM(E27+E28)</f>
        <v>508.09999999999997</v>
      </c>
      <c r="F29" s="448">
        <f>SUM(F27+F28)</f>
        <v>646.29999999999995</v>
      </c>
      <c r="G29" s="445">
        <f>IF(E29=0, "    ---- ", IF(ABS(ROUND(100/E29*F29-100,1))&lt;999,ROUND(100/E29*F29-100,1),IF(ROUND(100/E29*F29-100,1)&gt;999,999,-999)))</f>
        <v>27.2</v>
      </c>
      <c r="H29" s="196">
        <f>SUM(H27+H28)</f>
        <v>32564.588</v>
      </c>
      <c r="I29" s="448">
        <f>SUM(I27+I28)</f>
        <v>33791.249000000003</v>
      </c>
      <c r="J29" s="445">
        <f>IF(H29=0, "    ---- ", IF(ABS(ROUND(100/H29*I29-100,1))&lt;999,ROUND(100/H29*I29-100,1),IF(ROUND(100/H29*I29-100,1)&gt;999,999,-999)))</f>
        <v>3.8</v>
      </c>
      <c r="K29" s="448"/>
      <c r="L29" s="448">
        <v>2994.7515103400006</v>
      </c>
      <c r="M29" s="445" t="str">
        <f>IF(K29=0, "    ---- ", IF(ABS(ROUND(100/K29*L29-100,1))&lt;999,ROUND(100/K29*L29-100,1),IF(ROUND(100/K29*L29-100,1)&gt;999,999,-999)))</f>
        <v xml:space="preserve">    ---- </v>
      </c>
      <c r="N29" s="196">
        <f>SUM(N27+N28)</f>
        <v>522.29999999999995</v>
      </c>
      <c r="O29" s="448">
        <f>SUM(O27+O28)</f>
        <v>794.23</v>
      </c>
      <c r="P29" s="445">
        <f>IF(N29=0, "    ---- ", IF(ABS(ROUND(100/N29*O29-100,1))&lt;999,ROUND(100/N29*O29-100,1),IF(ROUND(100/N29*O29-100,1)&gt;999,999,-999)))</f>
        <v>52.1</v>
      </c>
      <c r="Q29" s="196">
        <f>SUM(Q27+Q28)</f>
        <v>1345.8229999999999</v>
      </c>
      <c r="R29" s="448">
        <f>SUM(R27+R28)</f>
        <v>1536.89</v>
      </c>
      <c r="S29" s="445">
        <f>IF(Q29=0, "    ---- ", IF(ABS(ROUND(100/Q29*R29-100,1))&lt;999,ROUND(100/Q29*R29-100,1),IF(ROUND(100/Q29*R29-100,1)&gt;999,999,-999)))</f>
        <v>14.2</v>
      </c>
      <c r="T29" s="196">
        <f>SUM(T27+T28)</f>
        <v>146.71234183000001</v>
      </c>
      <c r="U29" s="448">
        <f>SUM(U27+U28)</f>
        <v>151.22838720999999</v>
      </c>
      <c r="V29" s="445">
        <f>IF(T29=0, "    ---- ", IF(ABS(ROUND(100/T29*U29-100,1))&lt;999,ROUND(100/T29*U29-100,1),IF(ROUND(100/T29*U29-100,1)&gt;999,999,-999)))</f>
        <v>3.1</v>
      </c>
      <c r="W29" s="196">
        <v>56285.926991489992</v>
      </c>
      <c r="X29" s="448">
        <v>51758.089744650002</v>
      </c>
      <c r="Y29" s="445">
        <f>IF(W29=0, "    ---- ", IF(ABS(ROUND(100/W29*X29-100,1))&lt;999,ROUND(100/W29*X29-100,1),IF(ROUND(100/W29*X29-100,1)&gt;999,999,-999)))</f>
        <v>-8</v>
      </c>
      <c r="Z29" s="196">
        <f>SUM(Z27+Z28)</f>
        <v>11271.09</v>
      </c>
      <c r="AA29" s="448">
        <f>SUM(AA27+AA28)</f>
        <v>11566.93</v>
      </c>
      <c r="AB29" s="445">
        <f>IF(Z29=0, "    ---- ", IF(ABS(ROUND(100/Z29*AA29-100,1))&lt;999,ROUND(100/Z29*AA29-100,1),IF(ROUND(100/Z29*AA29-100,1)&gt;999,999,-999)))</f>
        <v>2.6</v>
      </c>
      <c r="AC29" s="196">
        <f>SUM(AC27+AC28)</f>
        <v>10432</v>
      </c>
      <c r="AD29" s="448">
        <f>SUM(AD27+AD28)</f>
        <v>11511</v>
      </c>
      <c r="AE29" s="445">
        <f>IF(AC29=0, "    ---- ", IF(ABS(ROUND(100/AC29*AD29-100,1))&lt;999,ROUND(100/AC29*AD29-100,1),IF(ROUND(100/AC29*AD29-100,1)&gt;999,999,-999)))</f>
        <v>10.3</v>
      </c>
      <c r="AF29" s="196">
        <f>SUM(AF27+AF28)</f>
        <v>74.284536689999996</v>
      </c>
      <c r="AG29" s="448">
        <f>SUM(AG27+AG28)</f>
        <v>82.175164449999997</v>
      </c>
      <c r="AH29" s="445">
        <f>IF(AF29=0, "    ---- ", IF(ABS(ROUND(100/AF29*AG29-100,1))&lt;999,ROUND(100/AF29*AG29-100,1),IF(ROUND(100/AF29*AG29-100,1)&gt;999,999,-999)))</f>
        <v>10.6</v>
      </c>
      <c r="AI29" s="196">
        <f>SUM(AI27+AI28)</f>
        <v>7946.1379999999999</v>
      </c>
      <c r="AJ29" s="448">
        <f>SUM(AJ27+AJ28)</f>
        <v>7144.9030000000002</v>
      </c>
      <c r="AK29" s="445">
        <f>IF(AI29=0, "    ---- ", IF(ABS(ROUND(100/AI29*AJ29-100,1))&lt;999,ROUND(100/AI29*AJ29-100,1),IF(ROUND(100/AI29*AJ29-100,1)&gt;999,999,-999)))</f>
        <v>-10.1</v>
      </c>
      <c r="AL29" s="196">
        <f>SUM(AL27+AL28)</f>
        <v>36959</v>
      </c>
      <c r="AM29" s="448">
        <f>SUM(AM27+AM28)</f>
        <v>40370</v>
      </c>
      <c r="AN29" s="445">
        <f>IF(AL29=0, "    ---- ", IF(ABS(ROUND(100/AL29*AM29-100,1))&lt;999,ROUND(100/AL29*AM29-100,1),IF(ROUND(100/AL29*AM29-100,1)&gt;999,999,-999)))</f>
        <v>9.1999999999999993</v>
      </c>
      <c r="AO29" s="446">
        <f t="shared" si="2"/>
        <v>158470.58399149001</v>
      </c>
      <c r="AP29" s="446">
        <f t="shared" si="3"/>
        <v>163085.25025499001</v>
      </c>
      <c r="AQ29" s="445">
        <f>IF(AO29=0, "    ---- ", IF(ABS(ROUND(100/AO29*AP29-100,1))&lt;999,ROUND(100/AO29*AP29-100,1),IF(ROUND(100/AO29*AP29-100,1)&gt;999,999,-999)))</f>
        <v>2.9</v>
      </c>
      <c r="AR29" s="446">
        <f t="shared" si="5"/>
        <v>158691.58087001002</v>
      </c>
      <c r="AS29" s="446">
        <f t="shared" si="6"/>
        <v>163318.65380665002</v>
      </c>
      <c r="AT29" s="447">
        <f t="shared" si="7"/>
        <v>2.9</v>
      </c>
      <c r="AU29" s="496"/>
      <c r="AV29" s="496"/>
      <c r="AW29" s="498"/>
    </row>
    <row r="30" spans="1:49" s="468" customFormat="1" ht="20.100000000000001" customHeight="1" x14ac:dyDescent="0.3">
      <c r="A30" s="462"/>
      <c r="B30" s="618"/>
      <c r="C30" s="437"/>
      <c r="D30" s="448"/>
      <c r="E30" s="618"/>
      <c r="F30" s="437"/>
      <c r="G30" s="338"/>
      <c r="H30" s="618"/>
      <c r="I30" s="437"/>
      <c r="J30" s="448"/>
      <c r="K30" s="437"/>
      <c r="L30" s="437"/>
      <c r="M30" s="448"/>
      <c r="N30" s="618"/>
      <c r="O30" s="437"/>
      <c r="P30" s="448"/>
      <c r="Q30" s="196"/>
      <c r="R30" s="448"/>
      <c r="S30" s="437"/>
      <c r="T30" s="618"/>
      <c r="U30" s="437"/>
      <c r="V30" s="338"/>
      <c r="W30" s="618"/>
      <c r="X30" s="437"/>
      <c r="Y30" s="338"/>
      <c r="Z30" s="618"/>
      <c r="AA30" s="437"/>
      <c r="AB30" s="338"/>
      <c r="AC30" s="618"/>
      <c r="AD30" s="437"/>
      <c r="AE30" s="338"/>
      <c r="AF30" s="618"/>
      <c r="AG30" s="437"/>
      <c r="AH30" s="338"/>
      <c r="AI30" s="618"/>
      <c r="AJ30" s="437"/>
      <c r="AK30" s="338"/>
      <c r="AL30" s="618"/>
      <c r="AM30" s="437"/>
      <c r="AN30" s="338"/>
      <c r="AO30" s="439"/>
      <c r="AP30" s="439"/>
      <c r="AQ30" s="338"/>
      <c r="AR30" s="439"/>
      <c r="AS30" s="439"/>
      <c r="AT30" s="449"/>
      <c r="AU30" s="495"/>
      <c r="AV30" s="495"/>
    </row>
    <row r="31" spans="1:49" s="468" customFormat="1" ht="20.100000000000001" customHeight="1" x14ac:dyDescent="0.3">
      <c r="A31" s="460" t="s">
        <v>206</v>
      </c>
      <c r="B31" s="196"/>
      <c r="C31" s="448"/>
      <c r="D31" s="448"/>
      <c r="E31" s="196"/>
      <c r="F31" s="448"/>
      <c r="G31" s="338"/>
      <c r="H31" s="196"/>
      <c r="I31" s="448"/>
      <c r="J31" s="448"/>
      <c r="K31" s="448"/>
      <c r="L31" s="448"/>
      <c r="M31" s="448"/>
      <c r="N31" s="196"/>
      <c r="O31" s="448"/>
      <c r="P31" s="448"/>
      <c r="Q31" s="196"/>
      <c r="R31" s="448"/>
      <c r="S31" s="437"/>
      <c r="T31" s="196"/>
      <c r="U31" s="448"/>
      <c r="V31" s="338"/>
      <c r="W31" s="196"/>
      <c r="X31" s="448"/>
      <c r="Y31" s="338"/>
      <c r="Z31" s="196"/>
      <c r="AA31" s="448"/>
      <c r="AB31" s="338"/>
      <c r="AC31" s="196"/>
      <c r="AD31" s="448"/>
      <c r="AE31" s="338"/>
      <c r="AF31" s="196"/>
      <c r="AG31" s="448"/>
      <c r="AH31" s="338"/>
      <c r="AI31" s="196"/>
      <c r="AJ31" s="448"/>
      <c r="AK31" s="338"/>
      <c r="AL31" s="196"/>
      <c r="AM31" s="448"/>
      <c r="AN31" s="338"/>
      <c r="AO31" s="439"/>
      <c r="AP31" s="439"/>
      <c r="AQ31" s="338"/>
      <c r="AR31" s="439"/>
      <c r="AS31" s="439"/>
      <c r="AT31" s="449"/>
      <c r="AU31" s="495"/>
      <c r="AV31" s="495"/>
    </row>
    <row r="32" spans="1:49" s="468" customFormat="1" ht="20.100000000000001" customHeight="1" x14ac:dyDescent="0.3">
      <c r="A32" s="460" t="s">
        <v>207</v>
      </c>
      <c r="B32" s="196"/>
      <c r="C32" s="448"/>
      <c r="D32" s="338"/>
      <c r="E32" s="196"/>
      <c r="F32" s="448"/>
      <c r="G32" s="338"/>
      <c r="H32" s="196"/>
      <c r="I32" s="448"/>
      <c r="J32" s="338"/>
      <c r="K32" s="448"/>
      <c r="L32" s="448"/>
      <c r="M32" s="338"/>
      <c r="N32" s="196"/>
      <c r="O32" s="448"/>
      <c r="P32" s="338"/>
      <c r="Q32" s="196"/>
      <c r="R32" s="448"/>
      <c r="S32" s="437"/>
      <c r="T32" s="196"/>
      <c r="U32" s="448"/>
      <c r="V32" s="338"/>
      <c r="W32" s="196"/>
      <c r="X32" s="448"/>
      <c r="Y32" s="338"/>
      <c r="Z32" s="196"/>
      <c r="AA32" s="448"/>
      <c r="AB32" s="338"/>
      <c r="AC32" s="196"/>
      <c r="AD32" s="448"/>
      <c r="AE32" s="338"/>
      <c r="AF32" s="196"/>
      <c r="AG32" s="448"/>
      <c r="AH32" s="338"/>
      <c r="AI32" s="196"/>
      <c r="AJ32" s="448"/>
      <c r="AK32" s="338"/>
      <c r="AL32" s="196"/>
      <c r="AM32" s="448"/>
      <c r="AN32" s="338"/>
      <c r="AO32" s="439"/>
      <c r="AP32" s="439"/>
      <c r="AQ32" s="338"/>
      <c r="AR32" s="439"/>
      <c r="AS32" s="439"/>
      <c r="AT32" s="449"/>
      <c r="AU32" s="495"/>
      <c r="AV32" s="495"/>
    </row>
    <row r="33" spans="1:49" s="468" customFormat="1" ht="20.100000000000001" customHeight="1" x14ac:dyDescent="0.3">
      <c r="A33" s="462" t="s">
        <v>208</v>
      </c>
      <c r="B33" s="196"/>
      <c r="C33" s="448"/>
      <c r="D33" s="448"/>
      <c r="E33" s="196"/>
      <c r="F33" s="448"/>
      <c r="G33" s="338"/>
      <c r="H33" s="196">
        <v>26.206</v>
      </c>
      <c r="I33" s="448">
        <v>22.242999999999999</v>
      </c>
      <c r="J33" s="448">
        <f t="shared" ref="J33:J91" si="19">IF(H33=0, "    ---- ", IF(ABS(ROUND(100/H33*I33-100,1))&lt;999,ROUND(100/H33*I33-100,1),IF(ROUND(100/H33*I33-100,1)&gt;999,999,-999)))</f>
        <v>-15.1</v>
      </c>
      <c r="K33" s="448"/>
      <c r="L33" s="448">
        <v>0</v>
      </c>
      <c r="M33" s="448"/>
      <c r="N33" s="196"/>
      <c r="O33" s="448"/>
      <c r="P33" s="448"/>
      <c r="Q33" s="196"/>
      <c r="R33" s="448"/>
      <c r="S33" s="437"/>
      <c r="T33" s="196"/>
      <c r="U33" s="448"/>
      <c r="V33" s="338"/>
      <c r="W33" s="196"/>
      <c r="X33" s="448"/>
      <c r="Y33" s="338"/>
      <c r="Z33" s="196">
        <v>1.9699999999999998E-6</v>
      </c>
      <c r="AA33" s="448">
        <v>0</v>
      </c>
      <c r="AB33" s="338"/>
      <c r="AC33" s="196"/>
      <c r="AD33" s="448"/>
      <c r="AE33" s="338" t="str">
        <f t="shared" ref="AE33:AE42" si="20">IF(AC33=0, "    ---- ", IF(ABS(ROUND(100/AC33*AD33-100,1))&lt;999,ROUND(100/AC33*AD33-100,1),IF(ROUND(100/AC33*AD33-100,1)&gt;999,999,-999)))</f>
        <v xml:space="preserve">    ---- </v>
      </c>
      <c r="AF33" s="196"/>
      <c r="AG33" s="448"/>
      <c r="AH33" s="338"/>
      <c r="AI33" s="196"/>
      <c r="AJ33" s="448"/>
      <c r="AK33" s="338" t="str">
        <f t="shared" ref="AK33:AK91" si="21">IF(AI33=0, "    ---- ", IF(ABS(ROUND(100/AI33*AJ33-100,1))&lt;999,ROUND(100/AI33*AJ33-100,1),IF(ROUND(100/AI33*AJ33-100,1)&gt;999,999,-999)))</f>
        <v xml:space="preserve">    ---- </v>
      </c>
      <c r="AL33" s="196"/>
      <c r="AM33" s="448"/>
      <c r="AN33" s="338"/>
      <c r="AO33" s="446">
        <f t="shared" ref="AO33:AO46" si="22">B33+H33+K33+N33+Q33+W33+E33+Z33+AC33+AI33+AL33</f>
        <v>26.206001969999999</v>
      </c>
      <c r="AP33" s="446">
        <f t="shared" ref="AP33:AP46" si="23">C33+I33+L33+O33+R33+X33+F33+AA33+AD33+AJ33+AM33</f>
        <v>22.242999999999999</v>
      </c>
      <c r="AQ33" s="338">
        <f t="shared" ref="AQ33:AQ91" si="24">IF(AO33=0, "    ---- ", IF(ABS(ROUND(100/AO33*AP33-100,1))&lt;999,ROUND(100/AO33*AP33-100,1),IF(ROUND(100/AO33*AP33-100,1)&gt;999,999,-999)))</f>
        <v>-15.1</v>
      </c>
      <c r="AR33" s="446">
        <f t="shared" ref="AR33:AR46" si="25">B33+H33+K33+N33+Q33+T33+W33+E33+Z33+AC33+AF33+AI33+AL33</f>
        <v>26.206001969999999</v>
      </c>
      <c r="AS33" s="446">
        <f t="shared" ref="AS33:AS46" si="26">C33+I33+L33+O33+R33+U33+X33+F33+AA33+AD33+AG33+AJ33+AM33</f>
        <v>22.242999999999999</v>
      </c>
      <c r="AT33" s="449">
        <f t="shared" ref="AT33:AT91" si="27">IF(AR33=0, "    ---- ", IF(ABS(ROUND(100/AR33*AS33-100,1))&lt;999,ROUND(100/AR33*AS33-100,1),IF(ROUND(100/AR33*AS33-100,1)&gt;999,999,-999)))</f>
        <v>-15.1</v>
      </c>
      <c r="AU33" s="495"/>
      <c r="AV33" s="495"/>
      <c r="AW33" s="499"/>
    </row>
    <row r="34" spans="1:49" s="468" customFormat="1" ht="20.100000000000001" customHeight="1" x14ac:dyDescent="0.3">
      <c r="A34" s="462" t="s">
        <v>209</v>
      </c>
      <c r="B34" s="196"/>
      <c r="C34" s="448"/>
      <c r="D34" s="448"/>
      <c r="E34" s="196">
        <v>207.8</v>
      </c>
      <c r="F34" s="448">
        <v>0</v>
      </c>
      <c r="G34" s="338">
        <f>IF(E34=0, "    ---- ", IF(ABS(ROUND(100/E34*F34-100,1))&lt;999,ROUND(100/E34*F34-100,1),IF(ROUND(100/E34*F34-100,1)&gt;999,999,-999)))</f>
        <v>-100</v>
      </c>
      <c r="H34" s="196">
        <v>26750.416000000001</v>
      </c>
      <c r="I34" s="448">
        <v>27320.503000000001</v>
      </c>
      <c r="J34" s="448">
        <f t="shared" si="19"/>
        <v>2.1</v>
      </c>
      <c r="K34" s="448"/>
      <c r="L34" s="448">
        <v>0</v>
      </c>
      <c r="M34" s="448"/>
      <c r="N34" s="196"/>
      <c r="O34" s="448"/>
      <c r="P34" s="448"/>
      <c r="Q34" s="196">
        <v>936.88400000000001</v>
      </c>
      <c r="R34" s="448">
        <v>978.62</v>
      </c>
      <c r="S34" s="437"/>
      <c r="T34" s="196"/>
      <c r="U34" s="448"/>
      <c r="V34" s="338"/>
      <c r="W34" s="196">
        <v>67178.434559750007</v>
      </c>
      <c r="X34" s="448">
        <v>75916.486854329996</v>
      </c>
      <c r="Y34" s="338">
        <f>IF(W34=0, "    ---- ", IF(ABS(ROUND(100/W34*X34-100,1))&lt;999,ROUND(100/W34*X34-100,1),IF(ROUND(100/W34*X34-100,1)&gt;999,999,-999)))</f>
        <v>13</v>
      </c>
      <c r="Z34" s="196">
        <v>7234.3569595700001</v>
      </c>
      <c r="AA34" s="448">
        <v>7994</v>
      </c>
      <c r="AB34" s="338">
        <f t="shared" ref="AB34:AB91" si="28">IF(Z34=0, "    ---- ", IF(ABS(ROUND(100/Z34*AA34-100,1))&lt;999,ROUND(100/Z34*AA34-100,1),IF(ROUND(100/Z34*AA34-100,1)&gt;999,999,-999)))</f>
        <v>10.5</v>
      </c>
      <c r="AC34" s="196">
        <v>14140</v>
      </c>
      <c r="AD34" s="448">
        <f>10797+5965</f>
        <v>16762</v>
      </c>
      <c r="AE34" s="338">
        <f t="shared" si="20"/>
        <v>18.5</v>
      </c>
      <c r="AF34" s="196"/>
      <c r="AG34" s="448"/>
      <c r="AH34" s="338"/>
      <c r="AI34" s="196">
        <v>4889.6310000000003</v>
      </c>
      <c r="AJ34" s="448">
        <v>4848.4359999999997</v>
      </c>
      <c r="AK34" s="338">
        <f t="shared" si="21"/>
        <v>-0.8</v>
      </c>
      <c r="AL34" s="196">
        <v>27836</v>
      </c>
      <c r="AM34" s="448">
        <v>19993</v>
      </c>
      <c r="AN34" s="338">
        <f t="shared" ref="AN34:AN91" si="29">IF(AL34=0, "    ---- ", IF(ABS(ROUND(100/AL34*AM34-100,1))&lt;999,ROUND(100/AL34*AM34-100,1),IF(ROUND(100/AL34*AM34-100,1)&gt;999,999,-999)))</f>
        <v>-28.2</v>
      </c>
      <c r="AO34" s="446">
        <f t="shared" si="22"/>
        <v>149173.52251932002</v>
      </c>
      <c r="AP34" s="446">
        <f t="shared" si="23"/>
        <v>153813.04585432998</v>
      </c>
      <c r="AQ34" s="338">
        <f t="shared" si="24"/>
        <v>3.1</v>
      </c>
      <c r="AR34" s="446">
        <f t="shared" si="25"/>
        <v>149173.52251932002</v>
      </c>
      <c r="AS34" s="446">
        <f t="shared" si="26"/>
        <v>153813.04585432998</v>
      </c>
      <c r="AT34" s="449">
        <f t="shared" si="27"/>
        <v>3.1</v>
      </c>
      <c r="AU34" s="495"/>
      <c r="AV34" s="495"/>
      <c r="AW34" s="499"/>
    </row>
    <row r="35" spans="1:49" s="468" customFormat="1" ht="20.100000000000001" customHeight="1" x14ac:dyDescent="0.3">
      <c r="A35" s="462" t="s">
        <v>210</v>
      </c>
      <c r="B35" s="196"/>
      <c r="C35" s="448">
        <f>SUM(C36+C38)</f>
        <v>0</v>
      </c>
      <c r="D35" s="448"/>
      <c r="E35" s="196">
        <f>SUM(E36+E38)</f>
        <v>1425.7</v>
      </c>
      <c r="F35" s="448">
        <f>SUM(F36+F38)</f>
        <v>1451.7</v>
      </c>
      <c r="G35" s="338">
        <f>IF(E35=0, "    ---- ", IF(ABS(ROUND(100/E35*F35-100,1))&lt;999,ROUND(100/E35*F35-100,1),IF(ROUND(100/E35*F35-100,1)&gt;999,999,-999)))</f>
        <v>1.8</v>
      </c>
      <c r="H35" s="196">
        <f>SUM(H36+H38)</f>
        <v>101794.69</v>
      </c>
      <c r="I35" s="448">
        <f>SUM(I36+I38)</f>
        <v>99236.447000000015</v>
      </c>
      <c r="J35" s="448">
        <f t="shared" si="19"/>
        <v>-2.5</v>
      </c>
      <c r="K35" s="448"/>
      <c r="L35" s="448">
        <f>SUM(L36+L38)</f>
        <v>36.852952610000003</v>
      </c>
      <c r="M35" s="448"/>
      <c r="N35" s="196">
        <f>SUM(N36+N38)</f>
        <v>209.8</v>
      </c>
      <c r="O35" s="448">
        <f>SUM(O36+O38)</f>
        <v>202.68100000000001</v>
      </c>
      <c r="P35" s="448"/>
      <c r="Q35" s="196">
        <f>SUM(Q36+Q38)</f>
        <v>5102.37</v>
      </c>
      <c r="R35" s="448">
        <f>SUM(R36+R38)</f>
        <v>5404.65</v>
      </c>
      <c r="S35" s="437">
        <f>IF(Q35=0, "    ---- ", IF(ABS(ROUND(100/Q35*R35-100,1))&lt;999,ROUND(100/Q35*R35-100,1),IF(ROUND(100/Q35*R35-100,1)&gt;999,999,-999)))</f>
        <v>5.9</v>
      </c>
      <c r="T35" s="196"/>
      <c r="U35" s="448">
        <f>SUM(U36+U38)</f>
        <v>0</v>
      </c>
      <c r="V35" s="338"/>
      <c r="W35" s="196">
        <v>221269.07232829</v>
      </c>
      <c r="X35" s="448">
        <v>248884.22748722997</v>
      </c>
      <c r="Y35" s="338">
        <f>IF(W35=0, "    ---- ", IF(ABS(ROUND(100/W35*X35-100,1))&lt;999,ROUND(100/W35*X35-100,1),IF(ROUND(100/W35*X35-100,1)&gt;999,999,-999)))</f>
        <v>12.5</v>
      </c>
      <c r="Z35" s="196">
        <f>SUM(Z36+Z38)</f>
        <v>31973.696426890005</v>
      </c>
      <c r="AA35" s="448">
        <f>SUM(AA36+AA38)</f>
        <v>31807.794908870001</v>
      </c>
      <c r="AB35" s="338">
        <f t="shared" si="28"/>
        <v>-0.5</v>
      </c>
      <c r="AC35" s="196">
        <f>SUM(AC36+AC38)</f>
        <v>22913</v>
      </c>
      <c r="AD35" s="448">
        <f>SUM(AD36+AD38)</f>
        <v>20803</v>
      </c>
      <c r="AE35" s="338">
        <f t="shared" si="20"/>
        <v>-9.1999999999999993</v>
      </c>
      <c r="AF35" s="196"/>
      <c r="AG35" s="448">
        <f>SUM(AG36+AG38)</f>
        <v>0</v>
      </c>
      <c r="AH35" s="338"/>
      <c r="AI35" s="196">
        <f>SUM(AI36+AI38)</f>
        <v>8155.134</v>
      </c>
      <c r="AJ35" s="448">
        <f>SUM(AJ36+AJ38)</f>
        <v>7783.0459999999994</v>
      </c>
      <c r="AK35" s="338">
        <f t="shared" si="21"/>
        <v>-4.5999999999999996</v>
      </c>
      <c r="AL35" s="196">
        <f>SUM(AL36+AL38)</f>
        <v>130544</v>
      </c>
      <c r="AM35" s="448">
        <f>SUM(AM36+AM38)</f>
        <v>133698</v>
      </c>
      <c r="AN35" s="338">
        <f t="shared" si="29"/>
        <v>2.4</v>
      </c>
      <c r="AO35" s="446">
        <f t="shared" si="22"/>
        <v>523387.46275518002</v>
      </c>
      <c r="AP35" s="446">
        <f t="shared" si="23"/>
        <v>549308.39934870997</v>
      </c>
      <c r="AQ35" s="338">
        <f t="shared" si="24"/>
        <v>5</v>
      </c>
      <c r="AR35" s="446">
        <f t="shared" si="25"/>
        <v>523387.46275518002</v>
      </c>
      <c r="AS35" s="446">
        <f t="shared" si="26"/>
        <v>549308.39934870997</v>
      </c>
      <c r="AT35" s="449">
        <f t="shared" si="27"/>
        <v>5</v>
      </c>
      <c r="AU35" s="495"/>
      <c r="AV35" s="495"/>
      <c r="AW35" s="499"/>
    </row>
    <row r="36" spans="1:49" s="468" customFormat="1" ht="20.100000000000001" customHeight="1" x14ac:dyDescent="0.3">
      <c r="A36" s="462" t="s">
        <v>211</v>
      </c>
      <c r="B36" s="196"/>
      <c r="C36" s="448"/>
      <c r="D36" s="338"/>
      <c r="E36" s="196">
        <v>127.4</v>
      </c>
      <c r="F36" s="448">
        <v>95.5</v>
      </c>
      <c r="G36" s="338">
        <f>IF(E36=0, "    ---- ", IF(ABS(ROUND(100/E36*F36-100,1))&lt;999,ROUND(100/E36*F36-100,1),IF(ROUND(100/E36*F36-100,1)&gt;999,999,-999)))</f>
        <v>-25</v>
      </c>
      <c r="H36" s="196">
        <v>72255.214000000007</v>
      </c>
      <c r="I36" s="448">
        <v>71798.460000000006</v>
      </c>
      <c r="J36" s="338">
        <f t="shared" si="19"/>
        <v>-0.6</v>
      </c>
      <c r="K36" s="448"/>
      <c r="L36" s="448">
        <v>0</v>
      </c>
      <c r="M36" s="338"/>
      <c r="N36" s="196">
        <v>209.8</v>
      </c>
      <c r="O36" s="448">
        <v>202.68100000000001</v>
      </c>
      <c r="P36" s="338"/>
      <c r="Q36" s="196">
        <v>0</v>
      </c>
      <c r="R36" s="448"/>
      <c r="S36" s="437" t="str">
        <f>IF(Q36=0, "    ---- ", IF(ABS(ROUND(100/Q36*R36-100,1))&lt;999,ROUND(100/Q36*R36-100,1),IF(ROUND(100/Q36*R36-100,1)&gt;999,999,-999)))</f>
        <v xml:space="preserve">    ---- </v>
      </c>
      <c r="T36" s="196"/>
      <c r="U36" s="448"/>
      <c r="V36" s="338"/>
      <c r="W36" s="196">
        <v>22579.573130389999</v>
      </c>
      <c r="X36" s="448">
        <v>23373.706253080003</v>
      </c>
      <c r="Y36" s="338">
        <f>IF(W36=0, "    ---- ", IF(ABS(ROUND(100/W36*X36-100,1))&lt;999,ROUND(100/W36*X36-100,1),IF(ROUND(100/W36*X36-100,1)&gt;999,999,-999)))</f>
        <v>3.5</v>
      </c>
      <c r="Z36" s="196">
        <v>505.29335799</v>
      </c>
      <c r="AA36" s="448">
        <v>505.34588832999998</v>
      </c>
      <c r="AB36" s="338">
        <f t="shared" si="28"/>
        <v>0</v>
      </c>
      <c r="AC36" s="196">
        <v>476</v>
      </c>
      <c r="AD36" s="448">
        <v>0</v>
      </c>
      <c r="AE36" s="338">
        <f t="shared" si="20"/>
        <v>-100</v>
      </c>
      <c r="AF36" s="196"/>
      <c r="AG36" s="448"/>
      <c r="AH36" s="338"/>
      <c r="AI36" s="196">
        <v>820.75900000000001</v>
      </c>
      <c r="AJ36" s="448">
        <v>585.75800000000004</v>
      </c>
      <c r="AK36" s="338">
        <f t="shared" si="21"/>
        <v>-28.6</v>
      </c>
      <c r="AL36" s="196">
        <v>13455</v>
      </c>
      <c r="AM36" s="448">
        <v>13473</v>
      </c>
      <c r="AN36" s="338">
        <f t="shared" si="29"/>
        <v>0.1</v>
      </c>
      <c r="AO36" s="446">
        <f t="shared" si="22"/>
        <v>110429.03948838</v>
      </c>
      <c r="AP36" s="446">
        <f t="shared" si="23"/>
        <v>110034.45114141001</v>
      </c>
      <c r="AQ36" s="338">
        <f t="shared" si="24"/>
        <v>-0.4</v>
      </c>
      <c r="AR36" s="446">
        <f t="shared" si="25"/>
        <v>110429.03948838</v>
      </c>
      <c r="AS36" s="446">
        <f t="shared" si="26"/>
        <v>110034.45114141001</v>
      </c>
      <c r="AT36" s="449">
        <f t="shared" si="27"/>
        <v>-0.4</v>
      </c>
      <c r="AU36" s="495"/>
      <c r="AV36" s="495"/>
      <c r="AW36" s="499"/>
    </row>
    <row r="37" spans="1:49" s="468" customFormat="1" ht="20.100000000000001" customHeight="1" x14ac:dyDescent="0.3">
      <c r="A37" s="462" t="s">
        <v>194</v>
      </c>
      <c r="B37" s="196"/>
      <c r="C37" s="448"/>
      <c r="D37" s="448"/>
      <c r="E37" s="196"/>
      <c r="F37" s="448"/>
      <c r="G37" s="338"/>
      <c r="H37" s="196">
        <v>72255.214000000007</v>
      </c>
      <c r="I37" s="448">
        <v>71798.460000000006</v>
      </c>
      <c r="J37" s="448">
        <f t="shared" si="19"/>
        <v>-0.6</v>
      </c>
      <c r="K37" s="448"/>
      <c r="L37" s="448">
        <v>0</v>
      </c>
      <c r="M37" s="448"/>
      <c r="N37" s="196">
        <v>209.8</v>
      </c>
      <c r="O37" s="448">
        <v>202.68100000000001</v>
      </c>
      <c r="P37" s="448"/>
      <c r="Q37" s="196">
        <v>0</v>
      </c>
      <c r="R37" s="448"/>
      <c r="S37" s="437" t="str">
        <f>IF(Q37=0, "    ---- ", IF(ABS(ROUND(100/Q37*R37-100,1))&lt;999,ROUND(100/Q37*R37-100,1),IF(ROUND(100/Q37*R37-100,1)&gt;999,999,-999)))</f>
        <v xml:space="preserve">    ---- </v>
      </c>
      <c r="T37" s="196"/>
      <c r="U37" s="448"/>
      <c r="V37" s="338"/>
      <c r="W37" s="196">
        <v>22579.573130389999</v>
      </c>
      <c r="X37" s="448">
        <v>23373.706253080003</v>
      </c>
      <c r="Y37" s="338">
        <f>IF(W37=0, "    ---- ", IF(ABS(ROUND(100/W37*X37-100,1))&lt;999,ROUND(100/W37*X37-100,1),IF(ROUND(100/W37*X37-100,1)&gt;999,999,-999)))</f>
        <v>3.5</v>
      </c>
      <c r="Z37" s="196">
        <v>505.29335799</v>
      </c>
      <c r="AA37" s="448">
        <v>505.34588832999998</v>
      </c>
      <c r="AB37" s="338">
        <f t="shared" si="28"/>
        <v>0</v>
      </c>
      <c r="AC37" s="196"/>
      <c r="AD37" s="448"/>
      <c r="AE37" s="338" t="str">
        <f t="shared" si="20"/>
        <v xml:space="preserve">    ---- </v>
      </c>
      <c r="AF37" s="196"/>
      <c r="AG37" s="448"/>
      <c r="AH37" s="338"/>
      <c r="AI37" s="196">
        <v>127.45364377999962</v>
      </c>
      <c r="AJ37" s="448">
        <v>34.499999999999318</v>
      </c>
      <c r="AK37" s="338">
        <f t="shared" si="21"/>
        <v>-72.900000000000006</v>
      </c>
      <c r="AL37" s="196">
        <v>13455</v>
      </c>
      <c r="AM37" s="448">
        <v>13473</v>
      </c>
      <c r="AN37" s="338">
        <f t="shared" si="29"/>
        <v>0.1</v>
      </c>
      <c r="AO37" s="446">
        <f t="shared" si="22"/>
        <v>109132.33413216</v>
      </c>
      <c r="AP37" s="446">
        <f t="shared" si="23"/>
        <v>109387.69314141001</v>
      </c>
      <c r="AQ37" s="338">
        <f t="shared" si="24"/>
        <v>0.2</v>
      </c>
      <c r="AR37" s="446">
        <f t="shared" si="25"/>
        <v>109132.33413216</v>
      </c>
      <c r="AS37" s="446">
        <f t="shared" si="26"/>
        <v>109387.69314141001</v>
      </c>
      <c r="AT37" s="449">
        <f t="shared" si="27"/>
        <v>0.2</v>
      </c>
      <c r="AU37" s="495"/>
      <c r="AV37" s="495"/>
      <c r="AW37" s="499"/>
    </row>
    <row r="38" spans="1:49" s="468" customFormat="1" ht="20.100000000000001" customHeight="1" x14ac:dyDescent="0.3">
      <c r="A38" s="462" t="s">
        <v>212</v>
      </c>
      <c r="B38" s="196"/>
      <c r="C38" s="448"/>
      <c r="D38" s="448"/>
      <c r="E38" s="196">
        <v>1298.3</v>
      </c>
      <c r="F38" s="448">
        <v>1356.2</v>
      </c>
      <c r="G38" s="338">
        <f>IF(E38=0, "    ---- ", IF(ABS(ROUND(100/E38*F38-100,1))&lt;999,ROUND(100/E38*F38-100,1),IF(ROUND(100/E38*F38-100,1)&gt;999,999,-999)))</f>
        <v>4.5</v>
      </c>
      <c r="H38" s="196">
        <v>29539.475999999999</v>
      </c>
      <c r="I38" s="448">
        <v>27437.987000000001</v>
      </c>
      <c r="J38" s="448"/>
      <c r="K38" s="448"/>
      <c r="L38" s="448">
        <v>36.852952610000003</v>
      </c>
      <c r="M38" s="448"/>
      <c r="N38" s="196"/>
      <c r="O38" s="448"/>
      <c r="P38" s="448"/>
      <c r="Q38" s="196">
        <v>5102.37</v>
      </c>
      <c r="R38" s="448">
        <v>5404.65</v>
      </c>
      <c r="S38" s="437">
        <f t="shared" ref="S38:S57" si="30">IF(Q38=0, "    ---- ", IF(ABS(ROUND(100/Q38*R38-100,1))&lt;999,ROUND(100/Q38*R38-100,1),IF(ROUND(100/Q38*R38-100,1)&gt;999,999,-999)))</f>
        <v>5.9</v>
      </c>
      <c r="T38" s="196"/>
      <c r="U38" s="448"/>
      <c r="V38" s="338"/>
      <c r="W38" s="196">
        <v>198689.4991979</v>
      </c>
      <c r="X38" s="448">
        <v>225510.52123414999</v>
      </c>
      <c r="Y38" s="338">
        <f t="shared" ref="Y38:Y45" si="31">IF(W38=0, "    ---- ", IF(ABS(ROUND(100/W38*X38-100,1))&lt;999,ROUND(100/W38*X38-100,1),IF(ROUND(100/W38*X38-100,1)&gt;999,999,-999)))</f>
        <v>13.5</v>
      </c>
      <c r="Z38" s="196">
        <v>31468.403068900003</v>
      </c>
      <c r="AA38" s="448">
        <v>31302.44902054</v>
      </c>
      <c r="AB38" s="338">
        <f t="shared" si="28"/>
        <v>-0.5</v>
      </c>
      <c r="AC38" s="196">
        <v>22437</v>
      </c>
      <c r="AD38" s="448">
        <v>20803</v>
      </c>
      <c r="AE38" s="338">
        <f t="shared" si="20"/>
        <v>-7.3</v>
      </c>
      <c r="AF38" s="196"/>
      <c r="AG38" s="448"/>
      <c r="AH38" s="338"/>
      <c r="AI38" s="196">
        <v>7334.375</v>
      </c>
      <c r="AJ38" s="448">
        <v>7197.2879999999996</v>
      </c>
      <c r="AK38" s="338">
        <f t="shared" si="21"/>
        <v>-1.9</v>
      </c>
      <c r="AL38" s="196">
        <f>90180+24416+2493</f>
        <v>117089</v>
      </c>
      <c r="AM38" s="448">
        <f>91914+22330+5981</f>
        <v>120225</v>
      </c>
      <c r="AN38" s="338">
        <f t="shared" si="29"/>
        <v>2.7</v>
      </c>
      <c r="AO38" s="446">
        <f t="shared" si="22"/>
        <v>412958.4232668</v>
      </c>
      <c r="AP38" s="446">
        <f t="shared" si="23"/>
        <v>439273.94820729998</v>
      </c>
      <c r="AQ38" s="338">
        <f t="shared" si="24"/>
        <v>6.4</v>
      </c>
      <c r="AR38" s="446">
        <f t="shared" si="25"/>
        <v>412958.4232668</v>
      </c>
      <c r="AS38" s="446">
        <f t="shared" si="26"/>
        <v>439273.94820729998</v>
      </c>
      <c r="AT38" s="449">
        <f t="shared" si="27"/>
        <v>6.4</v>
      </c>
      <c r="AU38" s="495"/>
      <c r="AV38" s="495"/>
      <c r="AW38" s="499"/>
    </row>
    <row r="39" spans="1:49" s="468" customFormat="1" ht="20.100000000000001" customHeight="1" x14ac:dyDescent="0.3">
      <c r="A39" s="462" t="s">
        <v>213</v>
      </c>
      <c r="B39" s="196">
        <f>SUM(B40:B44)</f>
        <v>1147.8980000000001</v>
      </c>
      <c r="C39" s="448">
        <f>SUM(C40:C44)</f>
        <v>1286.3579999999999</v>
      </c>
      <c r="D39" s="448">
        <f>IF(B39=0, "    ---- ", IF(ABS(ROUND(100/B39*C39-100,1))&lt;999,ROUND(100/B39*C39-100,1),IF(ROUND(100/B39*C39-100,1)&gt;999,999,-999)))</f>
        <v>12.1</v>
      </c>
      <c r="E39" s="196">
        <f>SUM(E40:E44)</f>
        <v>116.9</v>
      </c>
      <c r="F39" s="448">
        <f>SUM(F40:F44)</f>
        <v>338.6</v>
      </c>
      <c r="G39" s="338">
        <f>IF(E39=0, "    ---- ", IF(ABS(ROUND(100/E39*F39-100,1))&lt;999,ROUND(100/E39*F39-100,1),IF(ROUND(100/E39*F39-100,1)&gt;999,999,-999)))</f>
        <v>189.6</v>
      </c>
      <c r="H39" s="196">
        <f>SUM(H40:H44)</f>
        <v>77994.595000000001</v>
      </c>
      <c r="I39" s="448">
        <f>SUM(I40:I44)</f>
        <v>71457.122999999992</v>
      </c>
      <c r="J39" s="448">
        <f t="shared" si="19"/>
        <v>-8.4</v>
      </c>
      <c r="K39" s="448"/>
      <c r="L39" s="448">
        <f>SUM(L40:L44)</f>
        <v>6711.9017534599998</v>
      </c>
      <c r="M39" s="448" t="str">
        <f t="shared" ref="M39:M40" si="32">IF(K39=0, "    ---- ", IF(ABS(ROUND(100/K39*L39-100,1))&lt;999,ROUND(100/K39*L39-100,1),IF(ROUND(100/K39*L39-100,1)&gt;999,999,-999)))</f>
        <v xml:space="preserve">    ---- </v>
      </c>
      <c r="N39" s="196">
        <f>SUM(N40:N44)</f>
        <v>873.19999999999993</v>
      </c>
      <c r="O39" s="448">
        <f>SUM(O40:O44)</f>
        <v>992.57600000000002</v>
      </c>
      <c r="P39" s="448">
        <f t="shared" ref="P39:P46" si="33">IF(N39=0, "    ---- ", IF(ABS(ROUND(100/N39*O39-100,1))&lt;999,ROUND(100/N39*O39-100,1),IF(ROUND(100/N39*O39-100,1)&gt;999,999,-999)))</f>
        <v>13.7</v>
      </c>
      <c r="Q39" s="196">
        <f>SUM(Q40:Q44)</f>
        <v>634.99900000000002</v>
      </c>
      <c r="R39" s="448">
        <f>SUM(R40:R44)</f>
        <v>655.05999999999995</v>
      </c>
      <c r="S39" s="437">
        <f t="shared" si="30"/>
        <v>3.2</v>
      </c>
      <c r="T39" s="196"/>
      <c r="U39" s="448">
        <f>SUM(U40:U44)</f>
        <v>0</v>
      </c>
      <c r="V39" s="338"/>
      <c r="W39" s="196">
        <v>263248.17518871999</v>
      </c>
      <c r="X39" s="448">
        <v>257307.40388426004</v>
      </c>
      <c r="Y39" s="338">
        <f t="shared" si="31"/>
        <v>-2.2999999999999998</v>
      </c>
      <c r="Z39" s="196">
        <f>SUM(Z40:Z44)</f>
        <v>12598.97835929</v>
      </c>
      <c r="AA39" s="448">
        <f>SUM(AA40:AA44)</f>
        <v>13334.31656936</v>
      </c>
      <c r="AB39" s="338">
        <f t="shared" si="28"/>
        <v>5.8</v>
      </c>
      <c r="AC39" s="196">
        <f>SUM(AC40:AC44)</f>
        <v>54312</v>
      </c>
      <c r="AD39" s="448">
        <f>SUM(AD40:AD44)</f>
        <v>59161</v>
      </c>
      <c r="AE39" s="338">
        <f t="shared" si="20"/>
        <v>8.9</v>
      </c>
      <c r="AF39" s="196"/>
      <c r="AG39" s="448">
        <f>SUM(AG40:AG44)</f>
        <v>0</v>
      </c>
      <c r="AH39" s="338"/>
      <c r="AI39" s="196">
        <f>SUM(AI40:AI44)</f>
        <v>12068.187</v>
      </c>
      <c r="AJ39" s="448">
        <f>SUM(AJ40:AJ44)</f>
        <v>9291.0519999999997</v>
      </c>
      <c r="AK39" s="338">
        <f t="shared" si="21"/>
        <v>-23</v>
      </c>
      <c r="AL39" s="196">
        <f>SUM(AL40:AL44)</f>
        <v>32646</v>
      </c>
      <c r="AM39" s="448">
        <f>SUM(AM40:AM44)</f>
        <v>43717</v>
      </c>
      <c r="AN39" s="338">
        <f t="shared" si="29"/>
        <v>33.9</v>
      </c>
      <c r="AO39" s="446">
        <f t="shared" si="22"/>
        <v>455640.93254800997</v>
      </c>
      <c r="AP39" s="446">
        <f t="shared" si="23"/>
        <v>464252.39120707999</v>
      </c>
      <c r="AQ39" s="338">
        <f t="shared" si="24"/>
        <v>1.9</v>
      </c>
      <c r="AR39" s="446">
        <f t="shared" si="25"/>
        <v>455640.93254800997</v>
      </c>
      <c r="AS39" s="446">
        <f t="shared" si="26"/>
        <v>464252.39120707999</v>
      </c>
      <c r="AT39" s="449">
        <f t="shared" si="27"/>
        <v>1.9</v>
      </c>
      <c r="AU39" s="495"/>
      <c r="AV39" s="495"/>
      <c r="AW39" s="499"/>
    </row>
    <row r="40" spans="1:49" s="468" customFormat="1" ht="20.100000000000001" customHeight="1" x14ac:dyDescent="0.3">
      <c r="A40" s="462" t="s">
        <v>214</v>
      </c>
      <c r="B40" s="196">
        <v>33.536999999999999</v>
      </c>
      <c r="C40" s="448">
        <v>38.436999999999998</v>
      </c>
      <c r="D40" s="338">
        <f>IF(B40=0, "    ---- ", IF(ABS(ROUND(100/B40*C40-100,1))&lt;999,ROUND(100/B40*C40-100,1),IF(ROUND(100/B40*C40-100,1)&gt;999,999,-999)))</f>
        <v>14.6</v>
      </c>
      <c r="E40" s="196">
        <v>53.9</v>
      </c>
      <c r="F40" s="448">
        <v>237.7</v>
      </c>
      <c r="G40" s="338">
        <f>IF(E40=0, "    ---- ", IF(ABS(ROUND(100/E40*F40-100,1))&lt;999,ROUND(100/E40*F40-100,1),IF(ROUND(100/E40*F40-100,1)&gt;999,999,-999)))</f>
        <v>341</v>
      </c>
      <c r="H40" s="196">
        <v>18632.566999999999</v>
      </c>
      <c r="I40" s="448">
        <v>6199.9129999999996</v>
      </c>
      <c r="J40" s="338">
        <f t="shared" si="19"/>
        <v>-66.7</v>
      </c>
      <c r="K40" s="448"/>
      <c r="L40" s="448">
        <v>0</v>
      </c>
      <c r="M40" s="338" t="str">
        <f t="shared" si="32"/>
        <v xml:space="preserve">    ---- </v>
      </c>
      <c r="N40" s="196">
        <v>99.8</v>
      </c>
      <c r="O40" s="448">
        <v>139.749</v>
      </c>
      <c r="P40" s="338">
        <f t="shared" si="33"/>
        <v>40</v>
      </c>
      <c r="Q40" s="196"/>
      <c r="R40" s="448"/>
      <c r="S40" s="437"/>
      <c r="T40" s="196"/>
      <c r="U40" s="448"/>
      <c r="V40" s="338"/>
      <c r="W40" s="196">
        <v>133355.45361647001</v>
      </c>
      <c r="X40" s="448">
        <v>125694.97537378999</v>
      </c>
      <c r="Y40" s="338">
        <f t="shared" si="31"/>
        <v>-5.7</v>
      </c>
      <c r="Z40" s="196">
        <v>5379.4873280100001</v>
      </c>
      <c r="AA40" s="448">
        <v>5493.6507392600006</v>
      </c>
      <c r="AB40" s="338">
        <f t="shared" si="28"/>
        <v>2.1</v>
      </c>
      <c r="AC40" s="196">
        <v>34757</v>
      </c>
      <c r="AD40" s="448">
        <v>36133</v>
      </c>
      <c r="AE40" s="338">
        <f t="shared" si="20"/>
        <v>4</v>
      </c>
      <c r="AF40" s="196"/>
      <c r="AG40" s="448"/>
      <c r="AH40" s="338"/>
      <c r="AI40" s="196">
        <v>2972.944</v>
      </c>
      <c r="AJ40" s="448">
        <v>3115.7779999999998</v>
      </c>
      <c r="AK40" s="338">
        <f t="shared" si="21"/>
        <v>4.8</v>
      </c>
      <c r="AL40" s="196">
        <v>7688</v>
      </c>
      <c r="AM40" s="448">
        <v>10650</v>
      </c>
      <c r="AN40" s="338">
        <f t="shared" si="29"/>
        <v>38.5</v>
      </c>
      <c r="AO40" s="446">
        <f t="shared" si="22"/>
        <v>202972.68894448</v>
      </c>
      <c r="AP40" s="446">
        <f t="shared" si="23"/>
        <v>187703.20311304997</v>
      </c>
      <c r="AQ40" s="338">
        <f t="shared" si="24"/>
        <v>-7.5</v>
      </c>
      <c r="AR40" s="446">
        <f t="shared" si="25"/>
        <v>202972.68894448</v>
      </c>
      <c r="AS40" s="446">
        <f t="shared" si="26"/>
        <v>187703.20311304997</v>
      </c>
      <c r="AT40" s="449">
        <f t="shared" si="27"/>
        <v>-7.5</v>
      </c>
      <c r="AU40" s="495"/>
      <c r="AV40" s="495"/>
      <c r="AW40" s="499"/>
    </row>
    <row r="41" spans="1:49" s="468" customFormat="1" ht="20.100000000000001" customHeight="1" x14ac:dyDescent="0.3">
      <c r="A41" s="462" t="s">
        <v>215</v>
      </c>
      <c r="B41" s="196">
        <v>1078.42</v>
      </c>
      <c r="C41" s="448">
        <v>1196.4860000000001</v>
      </c>
      <c r="D41" s="448">
        <f>IF(B41=0, "    ---- ", IF(ABS(ROUND(100/B41*C41-100,1))&lt;999,ROUND(100/B41*C41-100,1),IF(ROUND(100/B41*C41-100,1)&gt;999,999,-999)))</f>
        <v>10.9</v>
      </c>
      <c r="E41" s="196">
        <v>35.5</v>
      </c>
      <c r="F41" s="448">
        <v>71.8</v>
      </c>
      <c r="G41" s="338">
        <f>IF(E41=0, "    ---- ", IF(ABS(ROUND(100/E41*F41-100,1))&lt;999,ROUND(100/E41*F41-100,1),IF(ROUND(100/E41*F41-100,1)&gt;999,999,-999)))</f>
        <v>102.3</v>
      </c>
      <c r="H41" s="196">
        <v>55445.966</v>
      </c>
      <c r="I41" s="448">
        <v>62872.3</v>
      </c>
      <c r="J41" s="448">
        <f t="shared" si="19"/>
        <v>13.4</v>
      </c>
      <c r="K41" s="448"/>
      <c r="L41" s="448">
        <v>6308.0884822399994</v>
      </c>
      <c r="M41" s="448" t="str">
        <f>IF(K41=0, "    ---- ", IF(ABS(ROUND(100/K41*L41-100,1))&lt;999,ROUND(100/K41*L41-100,1),IF(ROUND(100/K41*L41-100,1)&gt;999,999,-999)))</f>
        <v xml:space="preserve">    ---- </v>
      </c>
      <c r="N41" s="196">
        <v>639.4</v>
      </c>
      <c r="O41" s="448">
        <v>733.66099999999994</v>
      </c>
      <c r="P41" s="448">
        <f>IF(N41=0, "    ---- ", IF(ABS(ROUND(100/N41*O41-100,1))&lt;999,ROUND(100/N41*O41-100,1),IF(ROUND(100/N41*O41-100,1)&gt;999,999,-999)))</f>
        <v>14.7</v>
      </c>
      <c r="Q41" s="196">
        <v>617.40300000000002</v>
      </c>
      <c r="R41" s="448">
        <v>632.05999999999995</v>
      </c>
      <c r="S41" s="437">
        <f t="shared" si="30"/>
        <v>2.4</v>
      </c>
      <c r="T41" s="196"/>
      <c r="U41" s="448"/>
      <c r="V41" s="338"/>
      <c r="W41" s="196">
        <v>121345.24082404</v>
      </c>
      <c r="X41" s="448">
        <v>116786.39193657001</v>
      </c>
      <c r="Y41" s="338">
        <f t="shared" si="31"/>
        <v>-3.8</v>
      </c>
      <c r="Z41" s="196">
        <v>6455.60148888</v>
      </c>
      <c r="AA41" s="448">
        <v>7664.7865277199999</v>
      </c>
      <c r="AB41" s="338">
        <f t="shared" si="28"/>
        <v>18.7</v>
      </c>
      <c r="AC41" s="196">
        <v>18797</v>
      </c>
      <c r="AD41" s="448">
        <v>19821</v>
      </c>
      <c r="AE41" s="338">
        <f t="shared" si="20"/>
        <v>5.4</v>
      </c>
      <c r="AF41" s="196"/>
      <c r="AG41" s="448"/>
      <c r="AH41" s="338"/>
      <c r="AI41" s="196">
        <v>8720.73</v>
      </c>
      <c r="AJ41" s="448">
        <v>6030.0889999999999</v>
      </c>
      <c r="AK41" s="338">
        <f t="shared" si="21"/>
        <v>-30.9</v>
      </c>
      <c r="AL41" s="196">
        <v>23330</v>
      </c>
      <c r="AM41" s="448">
        <v>27474</v>
      </c>
      <c r="AN41" s="338">
        <f t="shared" si="29"/>
        <v>17.8</v>
      </c>
      <c r="AO41" s="446">
        <f t="shared" si="22"/>
        <v>236465.26131291999</v>
      </c>
      <c r="AP41" s="446">
        <f t="shared" si="23"/>
        <v>249590.66294653001</v>
      </c>
      <c r="AQ41" s="338">
        <f t="shared" si="24"/>
        <v>5.6</v>
      </c>
      <c r="AR41" s="446">
        <f t="shared" si="25"/>
        <v>236465.26131291999</v>
      </c>
      <c r="AS41" s="446">
        <f t="shared" si="26"/>
        <v>249590.66294653001</v>
      </c>
      <c r="AT41" s="449">
        <f t="shared" si="27"/>
        <v>5.6</v>
      </c>
      <c r="AU41" s="495"/>
      <c r="AV41" s="495"/>
      <c r="AW41" s="499"/>
    </row>
    <row r="42" spans="1:49" s="468" customFormat="1" ht="20.100000000000001" customHeight="1" x14ac:dyDescent="0.3">
      <c r="A42" s="462" t="s">
        <v>216</v>
      </c>
      <c r="B42" s="196"/>
      <c r="C42" s="448"/>
      <c r="D42" s="448"/>
      <c r="E42" s="196">
        <v>27.4</v>
      </c>
      <c r="F42" s="448">
        <v>29</v>
      </c>
      <c r="G42" s="338">
        <f>IF(E42=0, "    ---- ", IF(ABS(ROUND(100/E42*F42-100,1))&lt;999,ROUND(100/E42*F42-100,1),IF(ROUND(100/E42*F42-100,1)&gt;999,999,-999)))</f>
        <v>5.8</v>
      </c>
      <c r="H42" s="196">
        <v>2792.326</v>
      </c>
      <c r="I42" s="448">
        <v>1956.056</v>
      </c>
      <c r="J42" s="448">
        <f t="shared" si="19"/>
        <v>-29.9</v>
      </c>
      <c r="K42" s="448"/>
      <c r="L42" s="448">
        <v>182.94478226999999</v>
      </c>
      <c r="M42" s="448"/>
      <c r="N42" s="196"/>
      <c r="O42" s="448"/>
      <c r="P42" s="448"/>
      <c r="Q42" s="196"/>
      <c r="R42" s="448"/>
      <c r="S42" s="437" t="str">
        <f t="shared" si="30"/>
        <v xml:space="preserve">    ---- </v>
      </c>
      <c r="T42" s="196"/>
      <c r="U42" s="448"/>
      <c r="V42" s="338"/>
      <c r="W42" s="196">
        <v>5147.8118741099997</v>
      </c>
      <c r="X42" s="448">
        <v>11972.119568239999</v>
      </c>
      <c r="Y42" s="338">
        <f t="shared" si="31"/>
        <v>132.6</v>
      </c>
      <c r="Z42" s="196">
        <v>0</v>
      </c>
      <c r="AA42" s="448">
        <v>0</v>
      </c>
      <c r="AB42" s="338"/>
      <c r="AC42" s="196">
        <v>0</v>
      </c>
      <c r="AD42" s="448"/>
      <c r="AE42" s="338" t="str">
        <f t="shared" si="20"/>
        <v xml:space="preserve">    ---- </v>
      </c>
      <c r="AF42" s="196"/>
      <c r="AG42" s="448"/>
      <c r="AH42" s="338"/>
      <c r="AI42" s="196">
        <v>0</v>
      </c>
      <c r="AJ42" s="448">
        <v>0</v>
      </c>
      <c r="AK42" s="338"/>
      <c r="AL42" s="196"/>
      <c r="AM42" s="448"/>
      <c r="AN42" s="338" t="str">
        <f t="shared" si="29"/>
        <v xml:space="preserve">    ---- </v>
      </c>
      <c r="AO42" s="446">
        <f t="shared" si="22"/>
        <v>7967.5378741099994</v>
      </c>
      <c r="AP42" s="446">
        <f t="shared" si="23"/>
        <v>14140.120350509998</v>
      </c>
      <c r="AQ42" s="338">
        <f t="shared" si="24"/>
        <v>77.5</v>
      </c>
      <c r="AR42" s="446">
        <f t="shared" si="25"/>
        <v>7967.5378741099994</v>
      </c>
      <c r="AS42" s="446">
        <f t="shared" si="26"/>
        <v>14140.120350509998</v>
      </c>
      <c r="AT42" s="449">
        <f t="shared" si="27"/>
        <v>77.5</v>
      </c>
      <c r="AU42" s="495"/>
      <c r="AV42" s="495"/>
      <c r="AW42" s="499"/>
    </row>
    <row r="43" spans="1:49" s="468" customFormat="1" ht="20.100000000000001" customHeight="1" x14ac:dyDescent="0.3">
      <c r="A43" s="462" t="s">
        <v>217</v>
      </c>
      <c r="B43" s="196">
        <v>0.10299999999999999</v>
      </c>
      <c r="C43" s="448">
        <v>0</v>
      </c>
      <c r="D43" s="448">
        <f>IF(B43=0, "    ---- ", IF(ABS(ROUND(100/B43*C43-100,1))&lt;999,ROUND(100/B43*C43-100,1),IF(ROUND(100/B43*C43-100,1)&gt;999,999,-999)))</f>
        <v>-100</v>
      </c>
      <c r="E43" s="196"/>
      <c r="F43" s="448">
        <v>0</v>
      </c>
      <c r="G43" s="338"/>
      <c r="H43" s="196">
        <v>41.655999999999999</v>
      </c>
      <c r="I43" s="448">
        <v>95.298000000000002</v>
      </c>
      <c r="J43" s="448">
        <f t="shared" si="19"/>
        <v>128.80000000000001</v>
      </c>
      <c r="K43" s="448"/>
      <c r="L43" s="448">
        <v>0</v>
      </c>
      <c r="M43" s="448"/>
      <c r="N43" s="196"/>
      <c r="O43" s="448"/>
      <c r="P43" s="448"/>
      <c r="Q43" s="196"/>
      <c r="R43" s="448"/>
      <c r="S43" s="437"/>
      <c r="T43" s="196"/>
      <c r="U43" s="448"/>
      <c r="V43" s="338"/>
      <c r="W43" s="196">
        <v>250.22227652999999</v>
      </c>
      <c r="X43" s="448">
        <v>138.25156588999999</v>
      </c>
      <c r="Y43" s="338">
        <f t="shared" si="31"/>
        <v>-44.7</v>
      </c>
      <c r="Z43" s="196">
        <v>8.3679494000000005</v>
      </c>
      <c r="AA43" s="448">
        <v>6.6585953799999995</v>
      </c>
      <c r="AB43" s="338">
        <f t="shared" si="28"/>
        <v>-20.399999999999999</v>
      </c>
      <c r="AC43" s="196">
        <v>-622</v>
      </c>
      <c r="AD43" s="448">
        <v>911</v>
      </c>
      <c r="AE43" s="338">
        <f>IF(AC43=0, "    ---- ", IF(ABS(ROUND(100/AC43*AD43-100,1))&lt;999,ROUND(100/AC43*AD43-100,1),IF(ROUND(100/AC43*AD43-100,1)&gt;999,999,-999)))</f>
        <v>-246.5</v>
      </c>
      <c r="AF43" s="196"/>
      <c r="AG43" s="448"/>
      <c r="AH43" s="338"/>
      <c r="AI43" s="196">
        <v>15.182</v>
      </c>
      <c r="AJ43" s="448">
        <v>33.290999999999997</v>
      </c>
      <c r="AK43" s="338">
        <f t="shared" si="21"/>
        <v>119.3</v>
      </c>
      <c r="AL43" s="196">
        <v>1628</v>
      </c>
      <c r="AM43" s="448">
        <v>5593</v>
      </c>
      <c r="AN43" s="338">
        <f t="shared" si="29"/>
        <v>243.6</v>
      </c>
      <c r="AO43" s="446">
        <f t="shared" si="22"/>
        <v>1321.5312259299999</v>
      </c>
      <c r="AP43" s="446">
        <f t="shared" si="23"/>
        <v>6777.4991612699996</v>
      </c>
      <c r="AQ43" s="338">
        <f t="shared" si="24"/>
        <v>412.9</v>
      </c>
      <c r="AR43" s="446">
        <f t="shared" si="25"/>
        <v>1321.5312259299999</v>
      </c>
      <c r="AS43" s="446">
        <f t="shared" si="26"/>
        <v>6777.4991612699996</v>
      </c>
      <c r="AT43" s="449">
        <f t="shared" si="27"/>
        <v>412.9</v>
      </c>
      <c r="AU43" s="495"/>
      <c r="AV43" s="495"/>
      <c r="AW43" s="499"/>
    </row>
    <row r="44" spans="1:49" s="468" customFormat="1" ht="20.100000000000001" customHeight="1" x14ac:dyDescent="0.3">
      <c r="A44" s="462" t="s">
        <v>218</v>
      </c>
      <c r="B44" s="196">
        <v>35.838000000000001</v>
      </c>
      <c r="C44" s="448">
        <v>51.435000000000002</v>
      </c>
      <c r="D44" s="448">
        <f>IF(B44=0, "    ---- ", IF(ABS(ROUND(100/B44*C44-100,1))&lt;999,ROUND(100/B44*C44-100,1),IF(ROUND(100/B44*C44-100,1)&gt;999,999,-999)))</f>
        <v>43.5</v>
      </c>
      <c r="E44" s="196">
        <v>0.1</v>
      </c>
      <c r="F44" s="448">
        <v>0.1</v>
      </c>
      <c r="G44" s="338"/>
      <c r="H44" s="196">
        <v>1082.08</v>
      </c>
      <c r="I44" s="448">
        <v>333.55599999999998</v>
      </c>
      <c r="J44" s="448">
        <f t="shared" si="19"/>
        <v>-69.2</v>
      </c>
      <c r="K44" s="448"/>
      <c r="L44" s="448">
        <v>220.86848895000003</v>
      </c>
      <c r="M44" s="448" t="str">
        <f t="shared" ref="M44:M46" si="34">IF(K44=0, "    ---- ", IF(ABS(ROUND(100/K44*L44-100,1))&lt;999,ROUND(100/K44*L44-100,1),IF(ROUND(100/K44*L44-100,1)&gt;999,999,-999)))</f>
        <v xml:space="preserve">    ---- </v>
      </c>
      <c r="N44" s="196">
        <v>134</v>
      </c>
      <c r="O44" s="448">
        <v>119.166</v>
      </c>
      <c r="P44" s="448">
        <f t="shared" si="33"/>
        <v>-11.1</v>
      </c>
      <c r="Q44" s="196">
        <f>2.75+14.846</f>
        <v>17.596</v>
      </c>
      <c r="R44" s="448">
        <f>2.8+20.2</f>
        <v>23</v>
      </c>
      <c r="S44" s="437">
        <f t="shared" si="30"/>
        <v>30.7</v>
      </c>
      <c r="T44" s="196"/>
      <c r="U44" s="448"/>
      <c r="V44" s="338"/>
      <c r="W44" s="196">
        <v>3149.44659757</v>
      </c>
      <c r="X44" s="448">
        <v>2715.6654397699999</v>
      </c>
      <c r="Y44" s="338">
        <f t="shared" si="31"/>
        <v>-13.8</v>
      </c>
      <c r="Z44" s="196">
        <v>755.52159300000005</v>
      </c>
      <c r="AA44" s="448">
        <v>169.220707</v>
      </c>
      <c r="AB44" s="338">
        <f t="shared" si="28"/>
        <v>-77.599999999999994</v>
      </c>
      <c r="AC44" s="196">
        <v>1380</v>
      </c>
      <c r="AD44" s="448">
        <v>2296</v>
      </c>
      <c r="AE44" s="338">
        <f>IF(AC44=0, "    ---- ", IF(ABS(ROUND(100/AC44*AD44-100,1))&lt;999,ROUND(100/AC44*AD44-100,1),IF(ROUND(100/AC44*AD44-100,1)&gt;999,999,-999)))</f>
        <v>66.400000000000006</v>
      </c>
      <c r="AF44" s="196"/>
      <c r="AG44" s="448"/>
      <c r="AH44" s="338"/>
      <c r="AI44" s="196">
        <v>359.33100000000002</v>
      </c>
      <c r="AJ44" s="448">
        <v>111.89400000000001</v>
      </c>
      <c r="AK44" s="338">
        <f t="shared" si="21"/>
        <v>-68.900000000000006</v>
      </c>
      <c r="AL44" s="196"/>
      <c r="AM44" s="448"/>
      <c r="AN44" s="338" t="str">
        <f t="shared" si="29"/>
        <v xml:space="preserve">    ---- </v>
      </c>
      <c r="AO44" s="446">
        <f t="shared" si="22"/>
        <v>6913.9131905700006</v>
      </c>
      <c r="AP44" s="446">
        <f t="shared" si="23"/>
        <v>6040.9056357199997</v>
      </c>
      <c r="AQ44" s="338">
        <f t="shared" si="24"/>
        <v>-12.6</v>
      </c>
      <c r="AR44" s="446">
        <f t="shared" si="25"/>
        <v>6913.9131905700006</v>
      </c>
      <c r="AS44" s="446">
        <f t="shared" si="26"/>
        <v>6040.9056357199997</v>
      </c>
      <c r="AT44" s="449">
        <f t="shared" si="27"/>
        <v>-12.6</v>
      </c>
      <c r="AU44" s="495"/>
      <c r="AV44" s="495"/>
      <c r="AW44" s="499"/>
    </row>
    <row r="45" spans="1:49" s="468" customFormat="1" ht="20.100000000000001" customHeight="1" x14ac:dyDescent="0.3">
      <c r="A45" s="463" t="s">
        <v>219</v>
      </c>
      <c r="B45" s="196">
        <f>SUM(B33+B34+B35+B39)</f>
        <v>1147.8980000000001</v>
      </c>
      <c r="C45" s="448">
        <f>SUM(C33+C34+C35+C39)</f>
        <v>1286.3579999999999</v>
      </c>
      <c r="D45" s="338">
        <f>IF(B45=0, "    ---- ", IF(ABS(ROUND(100/B45*C45-100,1))&lt;999,ROUND(100/B45*C45-100,1),IF(ROUND(100/B45*C45-100,1)&gt;999,999,-999)))</f>
        <v>12.1</v>
      </c>
      <c r="E45" s="196">
        <f>SUM(E33+E34+E35+E39)</f>
        <v>1750.4</v>
      </c>
      <c r="F45" s="448">
        <f>SUM(F33+F34+F35+F39)</f>
        <v>1790.3000000000002</v>
      </c>
      <c r="G45" s="338">
        <f>IF(E45=0, "    ---- ", IF(ABS(ROUND(100/E45*F45-100,1))&lt;999,ROUND(100/E45*F45-100,1),IF(ROUND(100/E45*F45-100,1)&gt;999,999,-999)))</f>
        <v>2.2999999999999998</v>
      </c>
      <c r="H45" s="196">
        <f>SUM(H33+H34+H35+H39)</f>
        <v>206565.90700000001</v>
      </c>
      <c r="I45" s="448">
        <f>SUM(I33+I34+I35+I39)</f>
        <v>198036.31599999999</v>
      </c>
      <c r="J45" s="338">
        <f t="shared" si="19"/>
        <v>-4.0999999999999996</v>
      </c>
      <c r="K45" s="448"/>
      <c r="L45" s="448">
        <f>SUM(L33+L34+L35+L39)</f>
        <v>6748.7547060699999</v>
      </c>
      <c r="M45" s="338" t="str">
        <f t="shared" si="34"/>
        <v xml:space="preserve">    ---- </v>
      </c>
      <c r="N45" s="196">
        <f>SUM(N33+N34+N35+N39)</f>
        <v>1083</v>
      </c>
      <c r="O45" s="448">
        <f>SUM(O33+O34+O35+O39)</f>
        <v>1195.2570000000001</v>
      </c>
      <c r="P45" s="338">
        <f t="shared" si="33"/>
        <v>10.4</v>
      </c>
      <c r="Q45" s="196">
        <f>SUM(Q33+Q34+Q35+Q39)</f>
        <v>6674.2529999999997</v>
      </c>
      <c r="R45" s="448">
        <f>SUM(R33+R34+R35+R39)</f>
        <v>7038.33</v>
      </c>
      <c r="S45" s="437">
        <f t="shared" si="30"/>
        <v>5.5</v>
      </c>
      <c r="T45" s="196"/>
      <c r="U45" s="448">
        <f>SUM(U33+U34+U35+U39)</f>
        <v>0</v>
      </c>
      <c r="V45" s="338"/>
      <c r="W45" s="196">
        <v>551695.68207675999</v>
      </c>
      <c r="X45" s="448">
        <v>582108.11822582001</v>
      </c>
      <c r="Y45" s="338">
        <f t="shared" si="31"/>
        <v>5.5</v>
      </c>
      <c r="Z45" s="196">
        <f>SUM(Z33+Z34+Z35+Z39)</f>
        <v>51807.031747720001</v>
      </c>
      <c r="AA45" s="448">
        <f>SUM(AA33+AA34+AA35+AA39)</f>
        <v>53136.111478229999</v>
      </c>
      <c r="AB45" s="338">
        <f t="shared" si="28"/>
        <v>2.6</v>
      </c>
      <c r="AC45" s="196">
        <f>SUM(AC33+AC34+AC35+AC39)</f>
        <v>91365</v>
      </c>
      <c r="AD45" s="448">
        <f>SUM(AD33+AD34+AD35+AD39)</f>
        <v>96726</v>
      </c>
      <c r="AE45" s="338">
        <f>IF(AC45=0, "    ---- ", IF(ABS(ROUND(100/AC45*AD45-100,1))&lt;999,ROUND(100/AC45*AD45-100,1),IF(ROUND(100/AC45*AD45-100,1)&gt;999,999,-999)))</f>
        <v>5.9</v>
      </c>
      <c r="AF45" s="196"/>
      <c r="AG45" s="448">
        <f>SUM(AG33+AG34+AG35+AG39)</f>
        <v>0</v>
      </c>
      <c r="AH45" s="338"/>
      <c r="AI45" s="196">
        <f>SUM(AI33+AI34+AI35+AI39)</f>
        <v>25112.951999999997</v>
      </c>
      <c r="AJ45" s="448">
        <f>SUM(AJ33+AJ34+AJ35+AJ39)</f>
        <v>21922.534</v>
      </c>
      <c r="AK45" s="338">
        <f t="shared" si="21"/>
        <v>-12.7</v>
      </c>
      <c r="AL45" s="196">
        <f>SUM(AL33+AL34+AL35+AL39)</f>
        <v>191026</v>
      </c>
      <c r="AM45" s="448">
        <f>SUM(AM33+AM34+AM35+AM39)</f>
        <v>197408</v>
      </c>
      <c r="AN45" s="338">
        <f t="shared" si="29"/>
        <v>3.3</v>
      </c>
      <c r="AO45" s="446">
        <f t="shared" si="22"/>
        <v>1128228.12382448</v>
      </c>
      <c r="AP45" s="446">
        <f t="shared" si="23"/>
        <v>1167396.0794101199</v>
      </c>
      <c r="AQ45" s="338">
        <f t="shared" si="24"/>
        <v>3.5</v>
      </c>
      <c r="AR45" s="446">
        <f t="shared" si="25"/>
        <v>1128228.12382448</v>
      </c>
      <c r="AS45" s="446">
        <f t="shared" si="26"/>
        <v>1167396.0794101199</v>
      </c>
      <c r="AT45" s="449">
        <f t="shared" si="27"/>
        <v>3.5</v>
      </c>
      <c r="AU45" s="495"/>
      <c r="AV45" s="495"/>
      <c r="AW45" s="499"/>
    </row>
    <row r="46" spans="1:49" s="468" customFormat="1" ht="20.100000000000001" customHeight="1" x14ac:dyDescent="0.3">
      <c r="A46" s="460" t="s">
        <v>338</v>
      </c>
      <c r="B46" s="196">
        <v>142.376</v>
      </c>
      <c r="C46" s="448">
        <v>157.53100000000001</v>
      </c>
      <c r="D46" s="338">
        <f>IF(B46=0, "    ---- ", IF(ABS(ROUND(100/B46*C46-100,1))&lt;999,ROUND(100/B46*C46-100,1),IF(ROUND(100/B46*C46-100,1)&gt;999,999,-999)))</f>
        <v>10.6</v>
      </c>
      <c r="E46" s="196"/>
      <c r="F46" s="448"/>
      <c r="G46" s="338"/>
      <c r="H46" s="196">
        <v>241.40600000000001</v>
      </c>
      <c r="I46" s="448">
        <v>218.928</v>
      </c>
      <c r="J46" s="338"/>
      <c r="K46" s="448"/>
      <c r="L46" s="448">
        <v>519.98476527000003</v>
      </c>
      <c r="M46" s="338" t="str">
        <f t="shared" si="34"/>
        <v xml:space="preserve">    ---- </v>
      </c>
      <c r="N46" s="196">
        <v>85.2</v>
      </c>
      <c r="O46" s="448">
        <v>53.145000000000003</v>
      </c>
      <c r="P46" s="338">
        <f t="shared" si="33"/>
        <v>-37.6</v>
      </c>
      <c r="Q46" s="196">
        <v>430.81799999999998</v>
      </c>
      <c r="R46" s="448">
        <v>504.66</v>
      </c>
      <c r="S46" s="437"/>
      <c r="T46" s="196"/>
      <c r="U46" s="448"/>
      <c r="V46" s="338"/>
      <c r="W46" s="196"/>
      <c r="X46" s="448"/>
      <c r="Y46" s="338"/>
      <c r="Z46" s="196">
        <v>51.01</v>
      </c>
      <c r="AA46" s="448">
        <v>54.21</v>
      </c>
      <c r="AB46" s="338">
        <f t="shared" si="28"/>
        <v>6.3</v>
      </c>
      <c r="AC46" s="196"/>
      <c r="AD46" s="448"/>
      <c r="AE46" s="338"/>
      <c r="AF46" s="196"/>
      <c r="AG46" s="448"/>
      <c r="AH46" s="338"/>
      <c r="AI46" s="196">
        <v>526.08000000000004</v>
      </c>
      <c r="AJ46" s="448"/>
      <c r="AK46" s="338">
        <f t="shared" si="21"/>
        <v>-100</v>
      </c>
      <c r="AL46" s="196">
        <v>62</v>
      </c>
      <c r="AM46" s="448">
        <v>20</v>
      </c>
      <c r="AN46" s="338"/>
      <c r="AO46" s="446">
        <f t="shared" si="22"/>
        <v>1538.8899999999999</v>
      </c>
      <c r="AP46" s="446">
        <f t="shared" si="23"/>
        <v>1528.4587652700002</v>
      </c>
      <c r="AQ46" s="338">
        <f t="shared" si="24"/>
        <v>-0.7</v>
      </c>
      <c r="AR46" s="446">
        <f t="shared" si="25"/>
        <v>1538.8899999999999</v>
      </c>
      <c r="AS46" s="446">
        <f t="shared" si="26"/>
        <v>1528.4587652700002</v>
      </c>
      <c r="AT46" s="449">
        <f t="shared" si="27"/>
        <v>-0.7</v>
      </c>
      <c r="AU46" s="495"/>
      <c r="AV46" s="495"/>
      <c r="AW46" s="499"/>
    </row>
    <row r="47" spans="1:49" s="468" customFormat="1" ht="20.100000000000001" customHeight="1" x14ac:dyDescent="0.3">
      <c r="A47" s="460" t="s">
        <v>220</v>
      </c>
      <c r="B47" s="196"/>
      <c r="C47" s="448"/>
      <c r="D47" s="448"/>
      <c r="E47" s="196"/>
      <c r="F47" s="448"/>
      <c r="G47" s="338"/>
      <c r="H47" s="196"/>
      <c r="I47" s="448"/>
      <c r="J47" s="448"/>
      <c r="K47" s="448"/>
      <c r="L47" s="448"/>
      <c r="M47" s="448"/>
      <c r="N47" s="196"/>
      <c r="O47" s="448"/>
      <c r="P47" s="448"/>
      <c r="Q47" s="196"/>
      <c r="R47" s="448"/>
      <c r="S47" s="437"/>
      <c r="T47" s="196"/>
      <c r="U47" s="448"/>
      <c r="V47" s="338"/>
      <c r="W47" s="196"/>
      <c r="X47" s="448"/>
      <c r="Y47" s="338"/>
      <c r="Z47" s="196"/>
      <c r="AA47" s="448"/>
      <c r="AB47" s="338"/>
      <c r="AC47" s="196"/>
      <c r="AD47" s="448"/>
      <c r="AE47" s="338"/>
      <c r="AF47" s="196"/>
      <c r="AG47" s="448"/>
      <c r="AH47" s="338"/>
      <c r="AI47" s="196"/>
      <c r="AJ47" s="448"/>
      <c r="AK47" s="338"/>
      <c r="AL47" s="196"/>
      <c r="AM47" s="448"/>
      <c r="AN47" s="338"/>
      <c r="AO47" s="439"/>
      <c r="AP47" s="439"/>
      <c r="AQ47" s="338"/>
      <c r="AR47" s="439"/>
      <c r="AS47" s="439"/>
      <c r="AT47" s="449"/>
      <c r="AU47" s="495"/>
      <c r="AV47" s="495"/>
      <c r="AW47" s="499"/>
    </row>
    <row r="48" spans="1:49" s="468" customFormat="1" ht="20.100000000000001" customHeight="1" x14ac:dyDescent="0.3">
      <c r="A48" s="462" t="s">
        <v>221</v>
      </c>
      <c r="B48" s="196"/>
      <c r="C48" s="448"/>
      <c r="D48" s="448"/>
      <c r="E48" s="196"/>
      <c r="F48" s="448"/>
      <c r="G48" s="338"/>
      <c r="H48" s="196"/>
      <c r="I48" s="448"/>
      <c r="J48" s="448"/>
      <c r="K48" s="448"/>
      <c r="L48" s="448"/>
      <c r="M48" s="448"/>
      <c r="N48" s="196"/>
      <c r="O48" s="448"/>
      <c r="P48" s="448"/>
      <c r="Q48" s="196"/>
      <c r="R48" s="448"/>
      <c r="S48" s="437"/>
      <c r="T48" s="196"/>
      <c r="U48" s="448"/>
      <c r="V48" s="338"/>
      <c r="W48" s="196"/>
      <c r="X48" s="448"/>
      <c r="Y48" s="338"/>
      <c r="Z48" s="196"/>
      <c r="AA48" s="448"/>
      <c r="AB48" s="338"/>
      <c r="AC48" s="196"/>
      <c r="AD48" s="448"/>
      <c r="AE48" s="338"/>
      <c r="AF48" s="196"/>
      <c r="AG48" s="448"/>
      <c r="AH48" s="338"/>
      <c r="AI48" s="196"/>
      <c r="AJ48" s="448"/>
      <c r="AK48" s="338"/>
      <c r="AL48" s="196"/>
      <c r="AM48" s="448"/>
      <c r="AN48" s="338"/>
      <c r="AO48" s="446">
        <f t="shared" ref="AO48:AO62" si="35">B48+H48+K48+N48+Q48+W48+E48+Z48+AC48+AI48+AL48</f>
        <v>0</v>
      </c>
      <c r="AP48" s="446">
        <f t="shared" ref="AP48:AP62" si="36">C48+I48+L48+O48+R48+X48+F48+AA48+AD48+AJ48+AM48</f>
        <v>0</v>
      </c>
      <c r="AQ48" s="338" t="str">
        <f t="shared" si="24"/>
        <v xml:space="preserve">    ---- </v>
      </c>
      <c r="AR48" s="446">
        <f t="shared" ref="AR48:AR62" si="37">B48+H48+K48+N48+Q48+T48+W48+E48+Z48+AC48+AF48+AI48+AL48</f>
        <v>0</v>
      </c>
      <c r="AS48" s="446">
        <f t="shared" ref="AS48:AS62" si="38">C48+I48+L48+O48+R48+U48+X48+F48+AA48+AD48+AG48+AJ48+AM48</f>
        <v>0</v>
      </c>
      <c r="AT48" s="449" t="str">
        <f t="shared" si="27"/>
        <v xml:space="preserve">    ---- </v>
      </c>
      <c r="AU48" s="495"/>
      <c r="AV48" s="495"/>
      <c r="AW48" s="499"/>
    </row>
    <row r="49" spans="1:49" s="468" customFormat="1" ht="20.100000000000001" customHeight="1" x14ac:dyDescent="0.3">
      <c r="A49" s="462" t="s">
        <v>222</v>
      </c>
      <c r="B49" s="196"/>
      <c r="C49" s="448"/>
      <c r="D49" s="448"/>
      <c r="E49" s="196"/>
      <c r="F49" s="448"/>
      <c r="G49" s="338"/>
      <c r="H49" s="196"/>
      <c r="I49" s="448"/>
      <c r="J49" s="448"/>
      <c r="K49" s="448"/>
      <c r="L49" s="448"/>
      <c r="M49" s="448"/>
      <c r="N49" s="196"/>
      <c r="O49" s="448"/>
      <c r="P49" s="448"/>
      <c r="Q49" s="196">
        <v>841.22699999999998</v>
      </c>
      <c r="R49" s="448">
        <v>1539.33</v>
      </c>
      <c r="S49" s="437"/>
      <c r="T49" s="196"/>
      <c r="U49" s="448"/>
      <c r="V49" s="338"/>
      <c r="W49" s="196">
        <v>316.42907087999998</v>
      </c>
      <c r="X49" s="448">
        <v>277.84917187999997</v>
      </c>
      <c r="Y49" s="338">
        <f t="shared" ref="Y49:Y60" si="39">IF(W49=0, "    ---- ", IF(ABS(ROUND(100/W49*X49-100,1))&lt;999,ROUND(100/W49*X49-100,1),IF(ROUND(100/W49*X49-100,1)&gt;999,999,-999)))</f>
        <v>-12.2</v>
      </c>
      <c r="Z49" s="196"/>
      <c r="AA49" s="448"/>
      <c r="AB49" s="338"/>
      <c r="AC49" s="196"/>
      <c r="AD49" s="448"/>
      <c r="AE49" s="338"/>
      <c r="AF49" s="196"/>
      <c r="AG49" s="448"/>
      <c r="AH49" s="338"/>
      <c r="AI49" s="196"/>
      <c r="AJ49" s="448"/>
      <c r="AK49" s="338"/>
      <c r="AL49" s="196">
        <v>19092</v>
      </c>
      <c r="AM49" s="448">
        <v>5204</v>
      </c>
      <c r="AN49" s="338">
        <f t="shared" si="29"/>
        <v>-72.7</v>
      </c>
      <c r="AO49" s="446">
        <f t="shared" si="35"/>
        <v>20249.656070879999</v>
      </c>
      <c r="AP49" s="446">
        <f t="shared" si="36"/>
        <v>7021.1791718799996</v>
      </c>
      <c r="AQ49" s="338">
        <f t="shared" si="24"/>
        <v>-65.3</v>
      </c>
      <c r="AR49" s="446">
        <f t="shared" si="37"/>
        <v>20249.656070879999</v>
      </c>
      <c r="AS49" s="446">
        <f t="shared" si="38"/>
        <v>7021.1791718799996</v>
      </c>
      <c r="AT49" s="449">
        <f t="shared" si="27"/>
        <v>-65.3</v>
      </c>
      <c r="AU49" s="495"/>
      <c r="AV49" s="495"/>
      <c r="AW49" s="499"/>
    </row>
    <row r="50" spans="1:49" s="468" customFormat="1" ht="20.100000000000001" customHeight="1" x14ac:dyDescent="0.3">
      <c r="A50" s="462" t="s">
        <v>223</v>
      </c>
      <c r="B50" s="196"/>
      <c r="C50" s="448">
        <f>SUM(C51+C53)</f>
        <v>0</v>
      </c>
      <c r="D50" s="448"/>
      <c r="E50" s="196"/>
      <c r="F50" s="448">
        <f>SUM(F51+F53)</f>
        <v>0</v>
      </c>
      <c r="G50" s="338"/>
      <c r="H50" s="196"/>
      <c r="I50" s="448">
        <f>SUM(I51+I53)</f>
        <v>0</v>
      </c>
      <c r="J50" s="448"/>
      <c r="K50" s="448"/>
      <c r="L50" s="448">
        <f>SUM(L51+L53)</f>
        <v>0</v>
      </c>
      <c r="M50" s="448"/>
      <c r="N50" s="196"/>
      <c r="O50" s="448">
        <f>SUM(O51+O53)</f>
        <v>0</v>
      </c>
      <c r="P50" s="448"/>
      <c r="Q50" s="196"/>
      <c r="R50" s="448">
        <f>SUM(R51+R53)</f>
        <v>0</v>
      </c>
      <c r="S50" s="437"/>
      <c r="T50" s="196"/>
      <c r="U50" s="448">
        <f>SUM(U51+U53)</f>
        <v>0</v>
      </c>
      <c r="V50" s="338"/>
      <c r="W50" s="196">
        <v>888.51993479000009</v>
      </c>
      <c r="X50" s="448">
        <v>711.60308242999997</v>
      </c>
      <c r="Y50" s="338">
        <f t="shared" si="39"/>
        <v>-19.899999999999999</v>
      </c>
      <c r="Z50" s="196"/>
      <c r="AA50" s="448">
        <f>SUM(AA51+AA53)</f>
        <v>0</v>
      </c>
      <c r="AB50" s="338"/>
      <c r="AC50" s="196"/>
      <c r="AD50" s="448">
        <f>SUM(AD51+AD53)</f>
        <v>0</v>
      </c>
      <c r="AE50" s="338"/>
      <c r="AF50" s="196"/>
      <c r="AG50" s="448">
        <f>SUM(AG51+AG53)</f>
        <v>0</v>
      </c>
      <c r="AH50" s="338"/>
      <c r="AI50" s="196"/>
      <c r="AJ50" s="448">
        <f>SUM(AJ51+AJ53)</f>
        <v>0</v>
      </c>
      <c r="AK50" s="338"/>
      <c r="AL50" s="196">
        <f>SUM(AL51+AL53)</f>
        <v>410</v>
      </c>
      <c r="AM50" s="448">
        <f>SUM(AM51+AM53)</f>
        <v>357</v>
      </c>
      <c r="AN50" s="338"/>
      <c r="AO50" s="446">
        <f t="shared" si="35"/>
        <v>1298.5199347900002</v>
      </c>
      <c r="AP50" s="446">
        <f t="shared" si="36"/>
        <v>1068.6030824300001</v>
      </c>
      <c r="AQ50" s="338">
        <f t="shared" si="24"/>
        <v>-17.7</v>
      </c>
      <c r="AR50" s="446">
        <f t="shared" si="37"/>
        <v>1298.5199347900002</v>
      </c>
      <c r="AS50" s="446">
        <f t="shared" si="38"/>
        <v>1068.6030824300001</v>
      </c>
      <c r="AT50" s="449">
        <f t="shared" si="27"/>
        <v>-17.7</v>
      </c>
      <c r="AU50" s="495"/>
      <c r="AV50" s="495"/>
      <c r="AW50" s="499"/>
    </row>
    <row r="51" spans="1:49" s="468" customFormat="1" ht="20.100000000000001" customHeight="1" x14ac:dyDescent="0.3">
      <c r="A51" s="462" t="s">
        <v>224</v>
      </c>
      <c r="B51" s="196"/>
      <c r="C51" s="448"/>
      <c r="D51" s="338"/>
      <c r="E51" s="196"/>
      <c r="F51" s="448"/>
      <c r="G51" s="338"/>
      <c r="H51" s="196"/>
      <c r="I51" s="448"/>
      <c r="J51" s="338"/>
      <c r="K51" s="448"/>
      <c r="L51" s="448"/>
      <c r="M51" s="338"/>
      <c r="N51" s="196"/>
      <c r="O51" s="448"/>
      <c r="P51" s="338"/>
      <c r="Q51" s="196"/>
      <c r="R51" s="448"/>
      <c r="S51" s="437"/>
      <c r="T51" s="196"/>
      <c r="U51" s="448"/>
      <c r="V51" s="338"/>
      <c r="W51" s="196">
        <v>81.503514780000003</v>
      </c>
      <c r="X51" s="448">
        <v>49.519078610000001</v>
      </c>
      <c r="Y51" s="338">
        <f t="shared" si="39"/>
        <v>-39.200000000000003</v>
      </c>
      <c r="Z51" s="196"/>
      <c r="AA51" s="448"/>
      <c r="AB51" s="338"/>
      <c r="AC51" s="196"/>
      <c r="AD51" s="448"/>
      <c r="AE51" s="338"/>
      <c r="AF51" s="196"/>
      <c r="AG51" s="448"/>
      <c r="AH51" s="338"/>
      <c r="AI51" s="196"/>
      <c r="AJ51" s="448"/>
      <c r="AK51" s="338"/>
      <c r="AL51" s="196"/>
      <c r="AM51" s="448"/>
      <c r="AN51" s="338"/>
      <c r="AO51" s="446">
        <f t="shared" si="35"/>
        <v>81.503514780000003</v>
      </c>
      <c r="AP51" s="446">
        <f t="shared" si="36"/>
        <v>49.519078610000001</v>
      </c>
      <c r="AQ51" s="338">
        <f t="shared" si="24"/>
        <v>-39.200000000000003</v>
      </c>
      <c r="AR51" s="446">
        <f t="shared" si="37"/>
        <v>81.503514780000003</v>
      </c>
      <c r="AS51" s="446">
        <f t="shared" si="38"/>
        <v>49.519078610000001</v>
      </c>
      <c r="AT51" s="449">
        <f t="shared" si="27"/>
        <v>-39.200000000000003</v>
      </c>
      <c r="AU51" s="495"/>
      <c r="AV51" s="495"/>
      <c r="AW51" s="499"/>
    </row>
    <row r="52" spans="1:49" s="497" customFormat="1" ht="20.100000000000001" customHeight="1" x14ac:dyDescent="0.3">
      <c r="A52" s="462" t="s">
        <v>194</v>
      </c>
      <c r="B52" s="196"/>
      <c r="C52" s="448"/>
      <c r="D52" s="445"/>
      <c r="E52" s="196"/>
      <c r="F52" s="448"/>
      <c r="G52" s="445"/>
      <c r="H52" s="196"/>
      <c r="I52" s="448"/>
      <c r="J52" s="445"/>
      <c r="K52" s="448"/>
      <c r="L52" s="448"/>
      <c r="M52" s="445"/>
      <c r="N52" s="196"/>
      <c r="O52" s="448"/>
      <c r="P52" s="445"/>
      <c r="Q52" s="196"/>
      <c r="R52" s="448"/>
      <c r="S52" s="443"/>
      <c r="T52" s="196"/>
      <c r="U52" s="448"/>
      <c r="V52" s="445"/>
      <c r="W52" s="196">
        <v>81.503514780000003</v>
      </c>
      <c r="X52" s="448">
        <v>49.519078610000001</v>
      </c>
      <c r="Y52" s="445"/>
      <c r="Z52" s="196"/>
      <c r="AA52" s="448"/>
      <c r="AB52" s="445"/>
      <c r="AC52" s="196"/>
      <c r="AD52" s="448"/>
      <c r="AE52" s="445"/>
      <c r="AF52" s="196"/>
      <c r="AG52" s="448"/>
      <c r="AH52" s="445"/>
      <c r="AI52" s="196"/>
      <c r="AJ52" s="448"/>
      <c r="AK52" s="445"/>
      <c r="AL52" s="196"/>
      <c r="AM52" s="448"/>
      <c r="AN52" s="445"/>
      <c r="AO52" s="446">
        <f t="shared" si="35"/>
        <v>81.503514780000003</v>
      </c>
      <c r="AP52" s="446">
        <f t="shared" si="36"/>
        <v>49.519078610000001</v>
      </c>
      <c r="AQ52" s="445">
        <f t="shared" si="24"/>
        <v>-39.200000000000003</v>
      </c>
      <c r="AR52" s="446">
        <f t="shared" si="37"/>
        <v>81.503514780000003</v>
      </c>
      <c r="AS52" s="446">
        <f t="shared" si="38"/>
        <v>49.519078610000001</v>
      </c>
      <c r="AT52" s="447">
        <f t="shared" si="27"/>
        <v>-39.200000000000003</v>
      </c>
      <c r="AU52" s="496"/>
      <c r="AV52" s="496"/>
      <c r="AW52" s="498"/>
    </row>
    <row r="53" spans="1:49" s="468" customFormat="1" ht="20.100000000000001" customHeight="1" x14ac:dyDescent="0.3">
      <c r="A53" s="462" t="s">
        <v>225</v>
      </c>
      <c r="B53" s="196"/>
      <c r="C53" s="448"/>
      <c r="D53" s="448"/>
      <c r="E53" s="196"/>
      <c r="F53" s="448"/>
      <c r="G53" s="338"/>
      <c r="H53" s="196"/>
      <c r="I53" s="448"/>
      <c r="J53" s="448"/>
      <c r="K53" s="448"/>
      <c r="L53" s="448"/>
      <c r="M53" s="448"/>
      <c r="N53" s="196"/>
      <c r="O53" s="448"/>
      <c r="P53" s="448"/>
      <c r="Q53" s="196"/>
      <c r="R53" s="448"/>
      <c r="S53" s="437"/>
      <c r="T53" s="196"/>
      <c r="U53" s="448"/>
      <c r="V53" s="338"/>
      <c r="W53" s="196">
        <v>807.01642001000005</v>
      </c>
      <c r="X53" s="448">
        <v>662.08400382000002</v>
      </c>
      <c r="Y53" s="338">
        <f t="shared" si="39"/>
        <v>-18</v>
      </c>
      <c r="Z53" s="196"/>
      <c r="AA53" s="448"/>
      <c r="AB53" s="338"/>
      <c r="AC53" s="196"/>
      <c r="AD53" s="448"/>
      <c r="AE53" s="338"/>
      <c r="AF53" s="196"/>
      <c r="AG53" s="448"/>
      <c r="AH53" s="338"/>
      <c r="AI53" s="196"/>
      <c r="AJ53" s="448"/>
      <c r="AK53" s="338"/>
      <c r="AL53" s="196">
        <v>410</v>
      </c>
      <c r="AM53" s="448">
        <f>36+321</f>
        <v>357</v>
      </c>
      <c r="AN53" s="338"/>
      <c r="AO53" s="446">
        <f t="shared" si="35"/>
        <v>1217.01642001</v>
      </c>
      <c r="AP53" s="446">
        <f t="shared" si="36"/>
        <v>1019.08400382</v>
      </c>
      <c r="AQ53" s="338">
        <f t="shared" si="24"/>
        <v>-16.3</v>
      </c>
      <c r="AR53" s="446">
        <f t="shared" si="37"/>
        <v>1217.01642001</v>
      </c>
      <c r="AS53" s="446">
        <f t="shared" si="38"/>
        <v>1019.08400382</v>
      </c>
      <c r="AT53" s="449">
        <f t="shared" si="27"/>
        <v>-16.3</v>
      </c>
      <c r="AU53" s="495"/>
      <c r="AV53" s="495"/>
      <c r="AW53" s="499"/>
    </row>
    <row r="54" spans="1:49" s="468" customFormat="1" ht="20.100000000000001" customHeight="1" x14ac:dyDescent="0.3">
      <c r="A54" s="462" t="s">
        <v>226</v>
      </c>
      <c r="B54" s="196">
        <f>SUM(B55:B59)</f>
        <v>19693.741000000002</v>
      </c>
      <c r="C54" s="448">
        <f>SUM(C55:C59)</f>
        <v>22186.843999999997</v>
      </c>
      <c r="D54" s="448">
        <f>IF(B54=0, "    ---- ", IF(ABS(ROUND(100/B54*C54-100,1))&lt;999,ROUND(100/B54*C54-100,1),IF(ROUND(100/B54*C54-100,1)&gt;999,999,-999)))</f>
        <v>12.7</v>
      </c>
      <c r="E54" s="196">
        <f>SUM(E55:E59)</f>
        <v>4520.7999999999993</v>
      </c>
      <c r="F54" s="448">
        <f>SUM(F55:F59)</f>
        <v>5573.3</v>
      </c>
      <c r="G54" s="338">
        <f>IF(E54=0, "    ---- ", IF(ABS(ROUND(100/E54*F54-100,1))&lt;999,ROUND(100/E54*F54-100,1),IF(ROUND(100/E54*F54-100,1)&gt;999,999,-999)))</f>
        <v>23.3</v>
      </c>
      <c r="H54" s="196">
        <f>SUM(H55:H59)</f>
        <v>92856.89</v>
      </c>
      <c r="I54" s="448">
        <f>SUM(I55:I59)</f>
        <v>100331.92899999999</v>
      </c>
      <c r="J54" s="448">
        <f t="shared" si="19"/>
        <v>8.1</v>
      </c>
      <c r="K54" s="448"/>
      <c r="L54" s="448">
        <f>SUM(L55:L59)</f>
        <v>0</v>
      </c>
      <c r="M54" s="448" t="str">
        <f>IF(K54=0, "    ---- ", IF(ABS(ROUND(100/K54*L54-100,1))&lt;999,ROUND(100/K54*L54-100,1),IF(ROUND(100/K54*L54-100,1)&gt;999,999,-999)))</f>
        <v xml:space="preserve">    ---- </v>
      </c>
      <c r="N54" s="196">
        <f>SUM(N55:N59)</f>
        <v>3966.9</v>
      </c>
      <c r="O54" s="448">
        <f>SUM(O55:O59)</f>
        <v>4512.9319999999998</v>
      </c>
      <c r="P54" s="448">
        <f>IF(N54=0, "    ---- ", IF(ABS(ROUND(100/N54*O54-100,1))&lt;999,ROUND(100/N54*O54-100,1),IF(ROUND(100/N54*O54-100,1)&gt;999,999,-999)))</f>
        <v>13.8</v>
      </c>
      <c r="Q54" s="196">
        <f>SUM(Q55:Q59)</f>
        <v>27448.319</v>
      </c>
      <c r="R54" s="448">
        <f>SUM(R55:R59)</f>
        <v>29989.590000000004</v>
      </c>
      <c r="S54" s="437">
        <f t="shared" si="30"/>
        <v>9.3000000000000007</v>
      </c>
      <c r="T54" s="196"/>
      <c r="U54" s="448">
        <f>SUM(U55:U59)</f>
        <v>0</v>
      </c>
      <c r="V54" s="338"/>
      <c r="W54" s="196">
        <v>1386.7628703299999</v>
      </c>
      <c r="X54" s="448">
        <v>1022.3591655900001</v>
      </c>
      <c r="Y54" s="338">
        <f t="shared" si="39"/>
        <v>-26.3</v>
      </c>
      <c r="Z54" s="196">
        <f>SUM(Z55:Z59)</f>
        <v>72268.240000000005</v>
      </c>
      <c r="AA54" s="448">
        <f>SUM(AA55:AA59)</f>
        <v>85871.43</v>
      </c>
      <c r="AB54" s="338">
        <f t="shared" si="28"/>
        <v>18.8</v>
      </c>
      <c r="AC54" s="196"/>
      <c r="AD54" s="448">
        <f>SUM(AD55:AD59)</f>
        <v>0</v>
      </c>
      <c r="AE54" s="338"/>
      <c r="AF54" s="196">
        <f>SUM(AF55:AF59)</f>
        <v>2378.45304437</v>
      </c>
      <c r="AG54" s="448">
        <f>SUM(AG55:AG59)</f>
        <v>2702.6096319600001</v>
      </c>
      <c r="AH54" s="338">
        <f>IF(AF54=0, "    ---- ", IF(ABS(ROUND(100/AF54*AG54-100,1))&lt;999,ROUND(100/AF54*AG54-100,1),IF(ROUND(100/AF54*AG54-100,1)&gt;999,999,-999)))</f>
        <v>13.6</v>
      </c>
      <c r="AI54" s="196">
        <f>SUM(AI55:AI59)</f>
        <v>33518.248999999996</v>
      </c>
      <c r="AJ54" s="448">
        <f>SUM(AJ55:AJ59)</f>
        <v>39244.373999999996</v>
      </c>
      <c r="AK54" s="338">
        <f t="shared" si="21"/>
        <v>17.100000000000001</v>
      </c>
      <c r="AL54" s="196">
        <f>SUM(AL55:AL59)</f>
        <v>88663</v>
      </c>
      <c r="AM54" s="448">
        <f>SUM(AM55:AM59)</f>
        <v>120534</v>
      </c>
      <c r="AN54" s="338">
        <f t="shared" si="29"/>
        <v>35.9</v>
      </c>
      <c r="AO54" s="446">
        <f t="shared" si="35"/>
        <v>344322.90187032998</v>
      </c>
      <c r="AP54" s="446">
        <f t="shared" si="36"/>
        <v>409266.75816558994</v>
      </c>
      <c r="AQ54" s="338">
        <f t="shared" si="24"/>
        <v>18.899999999999999</v>
      </c>
      <c r="AR54" s="446">
        <f t="shared" si="37"/>
        <v>346701.35491469997</v>
      </c>
      <c r="AS54" s="446">
        <f t="shared" si="38"/>
        <v>411969.36779754993</v>
      </c>
      <c r="AT54" s="449">
        <f t="shared" si="27"/>
        <v>18.8</v>
      </c>
      <c r="AU54" s="495"/>
      <c r="AV54" s="495"/>
      <c r="AW54" s="499"/>
    </row>
    <row r="55" spans="1:49" s="468" customFormat="1" ht="20.100000000000001" customHeight="1" x14ac:dyDescent="0.3">
      <c r="A55" s="462" t="s">
        <v>227</v>
      </c>
      <c r="B55" s="196">
        <v>12187.456</v>
      </c>
      <c r="C55" s="448">
        <v>13910.962</v>
      </c>
      <c r="D55" s="448">
        <f>IF(B55=0, "    ---- ", IF(ABS(ROUND(100/B55*C55-100,1))&lt;999,ROUND(100/B55*C55-100,1),IF(ROUND(100/B55*C55-100,1)&gt;999,999,-999)))</f>
        <v>14.1</v>
      </c>
      <c r="E55" s="196">
        <v>4519.3999999999996</v>
      </c>
      <c r="F55" s="448">
        <v>5563.3</v>
      </c>
      <c r="G55" s="338">
        <f>IF(E55=0, "    ---- ", IF(ABS(ROUND(100/E55*F55-100,1))&lt;999,ROUND(100/E55*F55-100,1),IF(ROUND(100/E55*F55-100,1)&gt;999,999,-999)))</f>
        <v>23.1</v>
      </c>
      <c r="H55" s="196">
        <v>51140.955000000002</v>
      </c>
      <c r="I55" s="448">
        <v>57220.771999999997</v>
      </c>
      <c r="J55" s="448">
        <f t="shared" si="19"/>
        <v>11.9</v>
      </c>
      <c r="K55" s="448"/>
      <c r="L55" s="448"/>
      <c r="M55" s="448" t="str">
        <f>IF(K55=0, "    ---- ", IF(ABS(ROUND(100/K55*L55-100,1))&lt;999,ROUND(100/K55*L55-100,1),IF(ROUND(100/K55*L55-100,1)&gt;999,999,-999)))</f>
        <v xml:space="preserve">    ---- </v>
      </c>
      <c r="N55" s="196">
        <f>3966.9-N59</f>
        <v>2634.3</v>
      </c>
      <c r="O55" s="448">
        <f>4512.932-O59</f>
        <v>3111.2579999999998</v>
      </c>
      <c r="P55" s="448">
        <f>IF(N55=0, "    ---- ", IF(ABS(ROUND(100/N55*O55-100,1))&lt;999,ROUND(100/N55*O55-100,1),IF(ROUND(100/N55*O55-100,1)&gt;999,999,-999)))</f>
        <v>18.100000000000001</v>
      </c>
      <c r="Q55" s="196">
        <v>23361.487000000001</v>
      </c>
      <c r="R55" s="448">
        <v>25583.06</v>
      </c>
      <c r="S55" s="437">
        <f t="shared" si="30"/>
        <v>9.5</v>
      </c>
      <c r="T55" s="196"/>
      <c r="U55" s="448"/>
      <c r="V55" s="338"/>
      <c r="W55" s="196">
        <v>786.51643253999998</v>
      </c>
      <c r="X55" s="448">
        <v>551.16222350999999</v>
      </c>
      <c r="Y55" s="338">
        <f t="shared" si="39"/>
        <v>-29.9</v>
      </c>
      <c r="Z55" s="196">
        <v>37133.83</v>
      </c>
      <c r="AA55" s="448">
        <v>50877.77</v>
      </c>
      <c r="AB55" s="338">
        <f t="shared" si="28"/>
        <v>37</v>
      </c>
      <c r="AC55" s="196"/>
      <c r="AD55" s="448"/>
      <c r="AE55" s="338"/>
      <c r="AF55" s="196">
        <v>2378.45304437</v>
      </c>
      <c r="AG55" s="448">
        <v>2702.6096319600001</v>
      </c>
      <c r="AH55" s="338">
        <f>IF(AF55=0, "    ---- ", IF(ABS(ROUND(100/AF55*AG55-100,1))&lt;999,ROUND(100/AF55*AG55-100,1),IF(ROUND(100/AF55*AG55-100,1)&gt;999,999,-999)))</f>
        <v>13.6</v>
      </c>
      <c r="AI55" s="196">
        <v>20298.526000000002</v>
      </c>
      <c r="AJ55" s="448">
        <v>24108.366000000002</v>
      </c>
      <c r="AK55" s="338">
        <f t="shared" si="21"/>
        <v>18.8</v>
      </c>
      <c r="AL55" s="196">
        <v>51303</v>
      </c>
      <c r="AM55" s="448">
        <v>78702</v>
      </c>
      <c r="AN55" s="338">
        <f t="shared" si="29"/>
        <v>53.4</v>
      </c>
      <c r="AO55" s="446">
        <f t="shared" si="35"/>
        <v>203365.47043253999</v>
      </c>
      <c r="AP55" s="446">
        <f t="shared" si="36"/>
        <v>259628.65022350999</v>
      </c>
      <c r="AQ55" s="338">
        <f t="shared" si="24"/>
        <v>27.7</v>
      </c>
      <c r="AR55" s="446">
        <f t="shared" si="37"/>
        <v>205743.92347690999</v>
      </c>
      <c r="AS55" s="446">
        <f t="shared" si="38"/>
        <v>262331.25985546998</v>
      </c>
      <c r="AT55" s="449">
        <f t="shared" si="27"/>
        <v>27.5</v>
      </c>
      <c r="AU55" s="495"/>
      <c r="AV55" s="495"/>
      <c r="AW55" s="499"/>
    </row>
    <row r="56" spans="1:49" s="468" customFormat="1" ht="20.100000000000001" customHeight="1" x14ac:dyDescent="0.3">
      <c r="A56" s="462" t="s">
        <v>228</v>
      </c>
      <c r="B56" s="196">
        <v>7395.6769999999997</v>
      </c>
      <c r="C56" s="448">
        <v>8114.4480000000003</v>
      </c>
      <c r="D56" s="448">
        <f>IF(B56=0, "    ---- ", IF(ABS(ROUND(100/B56*C56-100,1))&lt;999,ROUND(100/B56*C56-100,1),IF(ROUND(100/B56*C56-100,1)&gt;999,999,-999)))</f>
        <v>9.6999999999999993</v>
      </c>
      <c r="E56" s="196"/>
      <c r="F56" s="448"/>
      <c r="G56" s="338" t="str">
        <f>IF(E56=0, "    ---- ", IF(ABS(ROUND(100/E56*F56-100,1))&lt;999,ROUND(100/E56*F56-100,1),IF(ROUND(100/E56*F56-100,1)&gt;999,999,-999)))</f>
        <v xml:space="preserve">    ---- </v>
      </c>
      <c r="H56" s="196">
        <v>40240.014999999999</v>
      </c>
      <c r="I56" s="448">
        <v>41727.671999999999</v>
      </c>
      <c r="J56" s="448">
        <f t="shared" si="19"/>
        <v>3.7</v>
      </c>
      <c r="K56" s="448"/>
      <c r="L56" s="448"/>
      <c r="M56" s="448" t="str">
        <f>IF(K56=0, "    ---- ", IF(ABS(ROUND(100/K56*L56-100,1))&lt;999,ROUND(100/K56*L56-100,1),IF(ROUND(100/K56*L56-100,1)&gt;999,999,-999)))</f>
        <v xml:space="preserve">    ---- </v>
      </c>
      <c r="N56" s="196"/>
      <c r="O56" s="448"/>
      <c r="P56" s="448" t="str">
        <f>IF(N56=0, "    ---- ", IF(ABS(ROUND(100/N56*O56-100,1))&lt;999,ROUND(100/N56*O56-100,1),IF(ROUND(100/N56*O56-100,1)&gt;999,999,-999)))</f>
        <v xml:space="preserve">    ---- </v>
      </c>
      <c r="Q56" s="196">
        <v>4019.6550000000002</v>
      </c>
      <c r="R56" s="448">
        <v>4337.3100000000004</v>
      </c>
      <c r="S56" s="437">
        <f t="shared" si="30"/>
        <v>7.9</v>
      </c>
      <c r="T56" s="196"/>
      <c r="U56" s="448"/>
      <c r="V56" s="338"/>
      <c r="W56" s="196">
        <v>503.47635114999997</v>
      </c>
      <c r="X56" s="448">
        <v>361.80977261000004</v>
      </c>
      <c r="Y56" s="338">
        <f t="shared" si="39"/>
        <v>-28.1</v>
      </c>
      <c r="Z56" s="196">
        <v>34374.910000000003</v>
      </c>
      <c r="AA56" s="448">
        <v>34686.78</v>
      </c>
      <c r="AB56" s="338"/>
      <c r="AC56" s="196"/>
      <c r="AD56" s="448"/>
      <c r="AE56" s="338"/>
      <c r="AF56" s="196"/>
      <c r="AG56" s="448"/>
      <c r="AH56" s="338"/>
      <c r="AI56" s="196">
        <v>13149.147999999999</v>
      </c>
      <c r="AJ56" s="448">
        <v>14910.785</v>
      </c>
      <c r="AK56" s="338">
        <f t="shared" si="21"/>
        <v>13.4</v>
      </c>
      <c r="AL56" s="196">
        <v>36957</v>
      </c>
      <c r="AM56" s="448">
        <v>41594</v>
      </c>
      <c r="AN56" s="338">
        <f t="shared" si="29"/>
        <v>12.5</v>
      </c>
      <c r="AO56" s="446">
        <f t="shared" si="35"/>
        <v>136639.88135114999</v>
      </c>
      <c r="AP56" s="446">
        <f t="shared" si="36"/>
        <v>145732.80477260999</v>
      </c>
      <c r="AQ56" s="338">
        <f t="shared" si="24"/>
        <v>6.7</v>
      </c>
      <c r="AR56" s="446">
        <f t="shared" si="37"/>
        <v>136639.88135114999</v>
      </c>
      <c r="AS56" s="446">
        <f t="shared" si="38"/>
        <v>145732.80477260999</v>
      </c>
      <c r="AT56" s="449">
        <f t="shared" si="27"/>
        <v>6.7</v>
      </c>
      <c r="AU56" s="495"/>
      <c r="AV56" s="495"/>
      <c r="AW56" s="499"/>
    </row>
    <row r="57" spans="1:49" s="468" customFormat="1" ht="20.100000000000001" customHeight="1" x14ac:dyDescent="0.3">
      <c r="A57" s="462" t="s">
        <v>229</v>
      </c>
      <c r="B57" s="196"/>
      <c r="C57" s="448"/>
      <c r="D57" s="338"/>
      <c r="E57" s="196">
        <v>1.4</v>
      </c>
      <c r="F57" s="448">
        <v>10</v>
      </c>
      <c r="G57" s="338">
        <f>IF(E57=0, "    ---- ", IF(ABS(ROUND(100/E57*F57-100,1))&lt;999,ROUND(100/E57*F57-100,1),IF(ROUND(100/E57*F57-100,1)&gt;999,999,-999)))</f>
        <v>614.29999999999995</v>
      </c>
      <c r="H57" s="196">
        <v>1475.92</v>
      </c>
      <c r="I57" s="448">
        <v>1383.4849999999999</v>
      </c>
      <c r="J57" s="338">
        <f t="shared" si="19"/>
        <v>-6.3</v>
      </c>
      <c r="K57" s="448"/>
      <c r="L57" s="448"/>
      <c r="M57" s="338"/>
      <c r="N57" s="196"/>
      <c r="O57" s="448"/>
      <c r="P57" s="338"/>
      <c r="Q57" s="196"/>
      <c r="R57" s="448"/>
      <c r="S57" s="338" t="str">
        <f t="shared" si="30"/>
        <v xml:space="preserve">    ---- </v>
      </c>
      <c r="T57" s="196"/>
      <c r="U57" s="448"/>
      <c r="V57" s="338"/>
      <c r="W57" s="196">
        <v>94.104241670000008</v>
      </c>
      <c r="X57" s="448">
        <v>108.87898359</v>
      </c>
      <c r="Y57" s="338">
        <f t="shared" si="39"/>
        <v>15.7</v>
      </c>
      <c r="Z57" s="196"/>
      <c r="AA57" s="448">
        <v>0</v>
      </c>
      <c r="AB57" s="338"/>
      <c r="AC57" s="196"/>
      <c r="AD57" s="448"/>
      <c r="AE57" s="338"/>
      <c r="AF57" s="196"/>
      <c r="AG57" s="448"/>
      <c r="AH57" s="338"/>
      <c r="AI57" s="196">
        <v>0</v>
      </c>
      <c r="AJ57" s="448"/>
      <c r="AK57" s="338"/>
      <c r="AL57" s="196">
        <v>340</v>
      </c>
      <c r="AM57" s="448">
        <v>143</v>
      </c>
      <c r="AN57" s="338">
        <f t="shared" si="29"/>
        <v>-57.9</v>
      </c>
      <c r="AO57" s="446">
        <f t="shared" si="35"/>
        <v>1911.4242416700001</v>
      </c>
      <c r="AP57" s="446">
        <f t="shared" si="36"/>
        <v>1645.3639835899999</v>
      </c>
      <c r="AQ57" s="338">
        <f t="shared" si="24"/>
        <v>-13.9</v>
      </c>
      <c r="AR57" s="446">
        <f t="shared" si="37"/>
        <v>1911.4242416700001</v>
      </c>
      <c r="AS57" s="446">
        <f t="shared" si="38"/>
        <v>1645.3639835899999</v>
      </c>
      <c r="AT57" s="449">
        <f t="shared" si="27"/>
        <v>-13.9</v>
      </c>
      <c r="AU57" s="495"/>
      <c r="AV57" s="495"/>
      <c r="AW57" s="499"/>
    </row>
    <row r="58" spans="1:49" s="468" customFormat="1" ht="20.100000000000001" customHeight="1" x14ac:dyDescent="0.3">
      <c r="A58" s="462" t="s">
        <v>230</v>
      </c>
      <c r="B58" s="196">
        <v>-111.22799999999999</v>
      </c>
      <c r="C58" s="448">
        <v>-6.8460000000000001</v>
      </c>
      <c r="D58" s="338"/>
      <c r="E58" s="196"/>
      <c r="F58" s="448"/>
      <c r="G58" s="338"/>
      <c r="H58" s="196"/>
      <c r="I58" s="448"/>
      <c r="J58" s="338"/>
      <c r="K58" s="448"/>
      <c r="L58" s="448"/>
      <c r="M58" s="338"/>
      <c r="N58" s="196"/>
      <c r="O58" s="448"/>
      <c r="P58" s="338"/>
      <c r="Q58" s="196"/>
      <c r="R58" s="448"/>
      <c r="S58" s="338"/>
      <c r="T58" s="196"/>
      <c r="U58" s="448"/>
      <c r="V58" s="338"/>
      <c r="W58" s="196">
        <v>1.0860896299999998</v>
      </c>
      <c r="X58" s="448">
        <v>7.4217770000000002E-2</v>
      </c>
      <c r="Y58" s="338">
        <f t="shared" si="39"/>
        <v>-93.2</v>
      </c>
      <c r="Z58" s="196"/>
      <c r="AA58" s="448">
        <v>-65.900000000000006</v>
      </c>
      <c r="AB58" s="338"/>
      <c r="AC58" s="196"/>
      <c r="AD58" s="448"/>
      <c r="AE58" s="338"/>
      <c r="AF58" s="196"/>
      <c r="AG58" s="448"/>
      <c r="AH58" s="338"/>
      <c r="AI58" s="196">
        <v>0</v>
      </c>
      <c r="AJ58" s="448"/>
      <c r="AK58" s="338"/>
      <c r="AL58" s="196">
        <v>63</v>
      </c>
      <c r="AM58" s="448">
        <v>95</v>
      </c>
      <c r="AN58" s="338">
        <f t="shared" si="29"/>
        <v>50.8</v>
      </c>
      <c r="AO58" s="446">
        <f t="shared" si="35"/>
        <v>-47.141910369999991</v>
      </c>
      <c r="AP58" s="446">
        <f t="shared" si="36"/>
        <v>22.328217769999995</v>
      </c>
      <c r="AQ58" s="338">
        <f t="shared" si="24"/>
        <v>-147.4</v>
      </c>
      <c r="AR58" s="446">
        <f t="shared" si="37"/>
        <v>-47.141910369999991</v>
      </c>
      <c r="AS58" s="446">
        <f t="shared" si="38"/>
        <v>22.328217769999995</v>
      </c>
      <c r="AT58" s="449">
        <f t="shared" si="27"/>
        <v>-147.4</v>
      </c>
      <c r="AU58" s="495"/>
      <c r="AV58" s="495"/>
      <c r="AW58" s="499"/>
    </row>
    <row r="59" spans="1:49" s="468" customFormat="1" ht="20.100000000000001" customHeight="1" x14ac:dyDescent="0.3">
      <c r="A59" s="462" t="s">
        <v>231</v>
      </c>
      <c r="B59" s="196">
        <f>109.246+112.59</f>
        <v>221.83600000000001</v>
      </c>
      <c r="C59" s="448">
        <f>69.919+98.361</f>
        <v>168.28</v>
      </c>
      <c r="D59" s="338">
        <f>IF(B59=0, "    ---- ", IF(ABS(ROUND(100/B59*C59-100,1))&lt;999,ROUND(100/B59*C59-100,1),IF(ROUND(100/B59*C59-100,1)&gt;999,999,-999)))</f>
        <v>-24.1</v>
      </c>
      <c r="E59" s="196"/>
      <c r="F59" s="448"/>
      <c r="G59" s="338"/>
      <c r="H59" s="196"/>
      <c r="I59" s="448"/>
      <c r="J59" s="338"/>
      <c r="K59" s="448"/>
      <c r="L59" s="448"/>
      <c r="M59" s="338" t="str">
        <f>IF(K59=0, "    ---- ", IF(ABS(ROUND(100/K59*L59-100,1))&lt;999,ROUND(100/K59*L59-100,1),IF(ROUND(100/K59*L59-100,1)&gt;999,999,-999)))</f>
        <v xml:space="preserve">    ---- </v>
      </c>
      <c r="N59" s="196">
        <v>1332.6</v>
      </c>
      <c r="O59" s="448">
        <v>1401.674</v>
      </c>
      <c r="P59" s="338">
        <f>IF(N59=0, "    ---- ", IF(ABS(ROUND(100/N59*O59-100,1))&lt;999,ROUND(100/N59*O59-100,1),IF(ROUND(100/N59*O59-100,1)&gt;999,999,-999)))</f>
        <v>5.2</v>
      </c>
      <c r="Q59" s="196">
        <v>67.177000000000007</v>
      </c>
      <c r="R59" s="448">
        <f>39.37+29.85</f>
        <v>69.22</v>
      </c>
      <c r="S59" s="338">
        <f>IF(Q59=0, "    ---- ", IF(ABS(ROUND(100/Q59*R59-100,1))&lt;999,ROUND(100/Q59*R59-100,1),IF(ROUND(100/Q59*R59-100,1)&gt;999,999,-999)))</f>
        <v>3</v>
      </c>
      <c r="T59" s="196"/>
      <c r="U59" s="448"/>
      <c r="V59" s="338"/>
      <c r="W59" s="196">
        <v>1.5797553400000002</v>
      </c>
      <c r="X59" s="448">
        <v>0.43396810999999996</v>
      </c>
      <c r="Y59" s="338">
        <f t="shared" si="39"/>
        <v>-72.5</v>
      </c>
      <c r="Z59" s="196">
        <v>759.5</v>
      </c>
      <c r="AA59" s="448">
        <v>372.78</v>
      </c>
      <c r="AB59" s="338">
        <f t="shared" si="28"/>
        <v>-50.9</v>
      </c>
      <c r="AC59" s="196"/>
      <c r="AD59" s="448"/>
      <c r="AE59" s="338"/>
      <c r="AF59" s="196"/>
      <c r="AG59" s="448"/>
      <c r="AH59" s="338"/>
      <c r="AI59" s="196">
        <v>70.575000000000003</v>
      </c>
      <c r="AJ59" s="448">
        <v>225.22300000000001</v>
      </c>
      <c r="AK59" s="338">
        <f t="shared" si="21"/>
        <v>219.1</v>
      </c>
      <c r="AL59" s="196"/>
      <c r="AM59" s="448"/>
      <c r="AN59" s="338" t="str">
        <f t="shared" si="29"/>
        <v xml:space="preserve">    ---- </v>
      </c>
      <c r="AO59" s="446">
        <f t="shared" si="35"/>
        <v>2453.2677553399999</v>
      </c>
      <c r="AP59" s="446">
        <f t="shared" si="36"/>
        <v>2237.6109681100002</v>
      </c>
      <c r="AQ59" s="338">
        <f t="shared" si="24"/>
        <v>-8.8000000000000007</v>
      </c>
      <c r="AR59" s="446">
        <f t="shared" si="37"/>
        <v>2453.2677553399999</v>
      </c>
      <c r="AS59" s="446">
        <f t="shared" si="38"/>
        <v>2237.6109681100002</v>
      </c>
      <c r="AT59" s="449">
        <f t="shared" si="27"/>
        <v>-8.8000000000000007</v>
      </c>
      <c r="AU59" s="495"/>
      <c r="AV59" s="495"/>
      <c r="AW59" s="499"/>
    </row>
    <row r="60" spans="1:49" s="468" customFormat="1" ht="20.100000000000001" customHeight="1" x14ac:dyDescent="0.3">
      <c r="A60" s="463" t="s">
        <v>232</v>
      </c>
      <c r="B60" s="196">
        <f>SUM(B48+B49+B50+B54)</f>
        <v>19693.741000000002</v>
      </c>
      <c r="C60" s="448">
        <f>SUM(C48+C49+C50+C54)</f>
        <v>22186.843999999997</v>
      </c>
      <c r="D60" s="338">
        <f>IF(B60=0, "    ---- ", IF(ABS(ROUND(100/B60*C60-100,1))&lt;999,ROUND(100/B60*C60-100,1),IF(ROUND(100/B60*C60-100,1)&gt;999,999,-999)))</f>
        <v>12.7</v>
      </c>
      <c r="E60" s="196">
        <f>SUM(E48+E49+E50+E54)</f>
        <v>4520.7999999999993</v>
      </c>
      <c r="F60" s="448">
        <f>SUM(F48+F49+F50+F54)</f>
        <v>5573.3</v>
      </c>
      <c r="G60" s="338">
        <f>IF(E60=0, "    ---- ", IF(ABS(ROUND(100/E60*F60-100,1))&lt;999,ROUND(100/E60*F60-100,1),IF(ROUND(100/E60*F60-100,1)&gt;999,999,-999)))</f>
        <v>23.3</v>
      </c>
      <c r="H60" s="196">
        <f>SUM(H48+H49+H50+H54)</f>
        <v>92856.89</v>
      </c>
      <c r="I60" s="448">
        <f>SUM(I48+I49+I50+I54)</f>
        <v>100331.92899999999</v>
      </c>
      <c r="J60" s="338">
        <f t="shared" si="19"/>
        <v>8.1</v>
      </c>
      <c r="K60" s="448"/>
      <c r="L60" s="448">
        <f>SUM(L48+L49+L50+L54)</f>
        <v>0</v>
      </c>
      <c r="M60" s="338" t="str">
        <f>IF(K60=0, "    ---- ", IF(ABS(ROUND(100/K60*L60-100,1))&lt;999,ROUND(100/K60*L60-100,1),IF(ROUND(100/K60*L60-100,1)&gt;999,999,-999)))</f>
        <v xml:space="preserve">    ---- </v>
      </c>
      <c r="N60" s="196">
        <f>SUM(N48+N49+N50+N54)</f>
        <v>3966.9</v>
      </c>
      <c r="O60" s="448">
        <f>SUM(O48+O49+O50+O54)</f>
        <v>4512.9319999999998</v>
      </c>
      <c r="P60" s="338">
        <f>IF(N60=0, "    ---- ", IF(ABS(ROUND(100/N60*O60-100,1))&lt;999,ROUND(100/N60*O60-100,1),IF(ROUND(100/N60*O60-100,1)&gt;999,999,-999)))</f>
        <v>13.8</v>
      </c>
      <c r="Q60" s="196">
        <f>SUM(Q48+Q49+Q50+Q54)</f>
        <v>28289.545999999998</v>
      </c>
      <c r="R60" s="448">
        <f>SUM(R48+R49+R50+R54)</f>
        <v>31528.920000000006</v>
      </c>
      <c r="S60" s="338">
        <f>IF(Q60=0, "    ---- ", IF(ABS(ROUND(100/Q60*R60-100,1))&lt;999,ROUND(100/Q60*R60-100,1),IF(ROUND(100/Q60*R60-100,1)&gt;999,999,-999)))</f>
        <v>11.5</v>
      </c>
      <c r="T60" s="196"/>
      <c r="U60" s="448">
        <f>SUM(U48+U49+U50+U54)</f>
        <v>0</v>
      </c>
      <c r="V60" s="338"/>
      <c r="W60" s="196">
        <v>2591.7118760000003</v>
      </c>
      <c r="X60" s="448">
        <v>2011.8114199000001</v>
      </c>
      <c r="Y60" s="338">
        <f t="shared" si="39"/>
        <v>-22.4</v>
      </c>
      <c r="Z60" s="196">
        <f>SUM(Z48+Z49+Z50+Z54)</f>
        <v>72268.240000000005</v>
      </c>
      <c r="AA60" s="448">
        <f>SUM(AA48+AA49+AA50+AA54)</f>
        <v>85871.43</v>
      </c>
      <c r="AB60" s="338">
        <f t="shared" si="28"/>
        <v>18.8</v>
      </c>
      <c r="AC60" s="196"/>
      <c r="AD60" s="448">
        <f>SUM(AD48+AD49+AD50+AD54)</f>
        <v>0</v>
      </c>
      <c r="AE60" s="338"/>
      <c r="AF60" s="196">
        <f>SUM(AF48+AF49+AF50+AF54)</f>
        <v>2378.45304437</v>
      </c>
      <c r="AG60" s="448">
        <f>SUM(AG48+AG49+AG50+AG54)</f>
        <v>2702.6096319600001</v>
      </c>
      <c r="AH60" s="338">
        <f>IF(AF60=0, "    ---- ", IF(ABS(ROUND(100/AF60*AG60-100,1))&lt;999,ROUND(100/AF60*AG60-100,1),IF(ROUND(100/AF60*AG60-100,1)&gt;999,999,-999)))</f>
        <v>13.6</v>
      </c>
      <c r="AI60" s="196">
        <f>SUM(AI48+AI49+AI50+AI54)</f>
        <v>33518.248999999996</v>
      </c>
      <c r="AJ60" s="448">
        <f>SUM(AJ48+AJ49+AJ50+AJ54)</f>
        <v>39244.373999999996</v>
      </c>
      <c r="AK60" s="338">
        <f t="shared" si="21"/>
        <v>17.100000000000001</v>
      </c>
      <c r="AL60" s="196">
        <f>SUM(AL48+AL49+AL50+AL54)</f>
        <v>108165</v>
      </c>
      <c r="AM60" s="448">
        <f>SUM(AM48+AM49+AM50+AM54)</f>
        <v>126095</v>
      </c>
      <c r="AN60" s="338">
        <f t="shared" si="29"/>
        <v>16.600000000000001</v>
      </c>
      <c r="AO60" s="446">
        <f t="shared" si="35"/>
        <v>365871.07787599997</v>
      </c>
      <c r="AP60" s="446">
        <f t="shared" si="36"/>
        <v>417356.54041989997</v>
      </c>
      <c r="AQ60" s="338">
        <f t="shared" si="24"/>
        <v>14.1</v>
      </c>
      <c r="AR60" s="446">
        <f t="shared" si="37"/>
        <v>368249.53092036996</v>
      </c>
      <c r="AS60" s="446">
        <f t="shared" si="38"/>
        <v>420059.15005185996</v>
      </c>
      <c r="AT60" s="449">
        <f t="shared" si="27"/>
        <v>14.1</v>
      </c>
      <c r="AU60" s="495"/>
      <c r="AV60" s="495"/>
      <c r="AW60" s="499"/>
    </row>
    <row r="61" spans="1:49" s="468" customFormat="1" ht="20.100000000000001" customHeight="1" x14ac:dyDescent="0.3">
      <c r="A61" s="460" t="s">
        <v>339</v>
      </c>
      <c r="B61" s="196"/>
      <c r="C61" s="448"/>
      <c r="D61" s="338"/>
      <c r="E61" s="196"/>
      <c r="F61" s="448"/>
      <c r="G61" s="338"/>
      <c r="H61" s="196"/>
      <c r="I61" s="448"/>
      <c r="J61" s="338"/>
      <c r="K61" s="448"/>
      <c r="L61" s="448"/>
      <c r="M61" s="338"/>
      <c r="N61" s="196"/>
      <c r="O61" s="448"/>
      <c r="P61" s="338"/>
      <c r="Q61" s="196"/>
      <c r="R61" s="448"/>
      <c r="S61" s="338"/>
      <c r="T61" s="196"/>
      <c r="U61" s="448"/>
      <c r="V61" s="338"/>
      <c r="W61" s="196"/>
      <c r="X61" s="448"/>
      <c r="Y61" s="338"/>
      <c r="Z61" s="196"/>
      <c r="AA61" s="448"/>
      <c r="AB61" s="338"/>
      <c r="AC61" s="196"/>
      <c r="AD61" s="448"/>
      <c r="AE61" s="338"/>
      <c r="AF61" s="196"/>
      <c r="AG61" s="448"/>
      <c r="AH61" s="338"/>
      <c r="AI61" s="196"/>
      <c r="AJ61" s="448"/>
      <c r="AK61" s="338"/>
      <c r="AL61" s="196"/>
      <c r="AM61" s="448"/>
      <c r="AN61" s="338"/>
      <c r="AO61" s="446">
        <f t="shared" si="35"/>
        <v>0</v>
      </c>
      <c r="AP61" s="446">
        <f t="shared" si="36"/>
        <v>0</v>
      </c>
      <c r="AQ61" s="338" t="str">
        <f t="shared" si="24"/>
        <v xml:space="preserve">    ---- </v>
      </c>
      <c r="AR61" s="446">
        <f t="shared" si="37"/>
        <v>0</v>
      </c>
      <c r="AS61" s="446">
        <f t="shared" si="38"/>
        <v>0</v>
      </c>
      <c r="AT61" s="449" t="str">
        <f t="shared" si="27"/>
        <v xml:space="preserve">    ---- </v>
      </c>
      <c r="AU61" s="495"/>
      <c r="AV61" s="495"/>
      <c r="AW61" s="499"/>
    </row>
    <row r="62" spans="1:49" s="468" customFormat="1" ht="20.100000000000001" customHeight="1" x14ac:dyDescent="0.3">
      <c r="A62" s="462" t="s">
        <v>233</v>
      </c>
      <c r="B62" s="196">
        <f>SUM(B45+B46+B60+B61)</f>
        <v>20984.015000000003</v>
      </c>
      <c r="C62" s="448">
        <f>SUM(C45+C46+C60+C61)</f>
        <v>23630.732999999997</v>
      </c>
      <c r="D62" s="338">
        <f>IF(B62=0, "    ---- ", IF(ABS(ROUND(100/B62*C62-100,1))&lt;999,ROUND(100/B62*C62-100,1),IF(ROUND(100/B62*C62-100,1)&gt;999,999,-999)))</f>
        <v>12.6</v>
      </c>
      <c r="E62" s="196">
        <f>SUM(E45+E46+E60+E61)</f>
        <v>6271.1999999999989</v>
      </c>
      <c r="F62" s="448">
        <f>SUM(F45+F46+F60+F61)</f>
        <v>7363.6</v>
      </c>
      <c r="G62" s="338">
        <f>IF(E62=0, "    ---- ", IF(ABS(ROUND(100/E62*F62-100,1))&lt;999,ROUND(100/E62*F62-100,1),IF(ROUND(100/E62*F62-100,1)&gt;999,999,-999)))</f>
        <v>17.399999999999999</v>
      </c>
      <c r="H62" s="196">
        <f>SUM(H45+H46+H60+H61)</f>
        <v>299664.20299999998</v>
      </c>
      <c r="I62" s="448">
        <f>SUM(I45+I46+I60+I61)</f>
        <v>298587.17300000001</v>
      </c>
      <c r="J62" s="338">
        <f t="shared" si="19"/>
        <v>-0.4</v>
      </c>
      <c r="K62" s="448"/>
      <c r="L62" s="448">
        <f>SUM(L45+L46+L60+L61)</f>
        <v>7268.7394713399999</v>
      </c>
      <c r="M62" s="338" t="str">
        <f>IF(K62=0, "    ---- ", IF(ABS(ROUND(100/K62*L62-100,1))&lt;999,ROUND(100/K62*L62-100,1),IF(ROUND(100/K62*L62-100,1)&gt;999,999,-999)))</f>
        <v xml:space="preserve">    ---- </v>
      </c>
      <c r="N62" s="196">
        <f>SUM(N45+N46+N60+N61)</f>
        <v>5135.1000000000004</v>
      </c>
      <c r="O62" s="448">
        <f>SUM(O45+O46+O60+O61)</f>
        <v>5761.3339999999998</v>
      </c>
      <c r="P62" s="338">
        <f>IF(N62=0, "    ---- ", IF(ABS(ROUND(100/N62*O62-100,1))&lt;999,ROUND(100/N62*O62-100,1),IF(ROUND(100/N62*O62-100,1)&gt;999,999,-999)))</f>
        <v>12.2</v>
      </c>
      <c r="Q62" s="196">
        <f>SUM(Q45+Q46+Q60+Q61)</f>
        <v>35394.616999999998</v>
      </c>
      <c r="R62" s="448">
        <f>SUM(R45+R46+R60+R61)</f>
        <v>39071.910000000003</v>
      </c>
      <c r="S62" s="338">
        <f>IF(Q62=0, "    ---- ", IF(ABS(ROUND(100/Q62*R62-100,1))&lt;999,ROUND(100/Q62*R62-100,1),IF(ROUND(100/Q62*R62-100,1)&gt;999,999,-999)))</f>
        <v>10.4</v>
      </c>
      <c r="T62" s="196"/>
      <c r="U62" s="448">
        <f>SUM(U45+U46+U60+U61)</f>
        <v>0</v>
      </c>
      <c r="V62" s="338"/>
      <c r="W62" s="196">
        <v>554287.39395276003</v>
      </c>
      <c r="X62" s="448">
        <v>584119.92964572005</v>
      </c>
      <c r="Y62" s="338">
        <f>IF(W62=0, "    ---- ", IF(ABS(ROUND(100/W62*X62-100,1))&lt;999,ROUND(100/W62*X62-100,1),IF(ROUND(100/W62*X62-100,1)&gt;999,999,-999)))</f>
        <v>5.4</v>
      </c>
      <c r="Z62" s="196">
        <f>SUM(Z45+Z46+Z60+Z61)</f>
        <v>124126.28174772</v>
      </c>
      <c r="AA62" s="448">
        <f>SUM(AA45+AA46+AA60+AA61)</f>
        <v>139061.75147823</v>
      </c>
      <c r="AB62" s="338">
        <f t="shared" si="28"/>
        <v>12</v>
      </c>
      <c r="AC62" s="196">
        <f>SUM(AC45+AC46+AC60+AC61)</f>
        <v>91365</v>
      </c>
      <c r="AD62" s="448">
        <f>SUM(AD45+AD46+AD60+AD61)</f>
        <v>96726</v>
      </c>
      <c r="AE62" s="338">
        <f>IF(AC62=0, "    ---- ", IF(ABS(ROUND(100/AC62*AD62-100,1))&lt;999,ROUND(100/AC62*AD62-100,1),IF(ROUND(100/AC62*AD62-100,1)&gt;999,999,-999)))</f>
        <v>5.9</v>
      </c>
      <c r="AF62" s="196">
        <f>SUM(AF45+AF46+AF60+AF61)</f>
        <v>2378.45304437</v>
      </c>
      <c r="AG62" s="448">
        <f>SUM(AG45+AG46+AG60+AG61)</f>
        <v>2702.6096319600001</v>
      </c>
      <c r="AH62" s="338">
        <f>IF(AF62=0, "    ---- ", IF(ABS(ROUND(100/AF62*AG62-100,1))&lt;999,ROUND(100/AF62*AG62-100,1),IF(ROUND(100/AF62*AG62-100,1)&gt;999,999,-999)))</f>
        <v>13.6</v>
      </c>
      <c r="AI62" s="196">
        <f>SUM(AI45+AI46+AI60+AI61)</f>
        <v>59157.280999999995</v>
      </c>
      <c r="AJ62" s="448">
        <f>SUM(AJ45+AJ46+AJ60+AJ61)</f>
        <v>61166.907999999996</v>
      </c>
      <c r="AK62" s="338">
        <f t="shared" si="21"/>
        <v>3.4</v>
      </c>
      <c r="AL62" s="196">
        <f>SUM(AL45+AL46+AL60+AL61)</f>
        <v>299253</v>
      </c>
      <c r="AM62" s="448">
        <f>SUM(AM45+AM46+AM60+AM61)</f>
        <v>323523</v>
      </c>
      <c r="AN62" s="338">
        <f t="shared" si="29"/>
        <v>8.1</v>
      </c>
      <c r="AO62" s="446">
        <f t="shared" si="35"/>
        <v>1495638.0917004799</v>
      </c>
      <c r="AP62" s="446">
        <f t="shared" si="36"/>
        <v>1586281.0785952902</v>
      </c>
      <c r="AQ62" s="338">
        <f t="shared" si="24"/>
        <v>6.1</v>
      </c>
      <c r="AR62" s="446">
        <f t="shared" si="37"/>
        <v>1498016.5447448499</v>
      </c>
      <c r="AS62" s="446">
        <f t="shared" si="38"/>
        <v>1588983.6882272502</v>
      </c>
      <c r="AT62" s="449">
        <f t="shared" si="27"/>
        <v>6.1</v>
      </c>
      <c r="AU62" s="495"/>
      <c r="AV62" s="500"/>
      <c r="AW62" s="499"/>
    </row>
    <row r="63" spans="1:49" s="503" customFormat="1" ht="20.100000000000001" customHeight="1" x14ac:dyDescent="0.3">
      <c r="A63" s="460"/>
      <c r="B63" s="198"/>
      <c r="C63" s="441"/>
      <c r="D63" s="440"/>
      <c r="E63" s="198"/>
      <c r="F63" s="441"/>
      <c r="G63" s="440"/>
      <c r="H63" s="198"/>
      <c r="I63" s="441"/>
      <c r="J63" s="440"/>
      <c r="K63" s="441"/>
      <c r="L63" s="441"/>
      <c r="M63" s="440"/>
      <c r="N63" s="198"/>
      <c r="O63" s="441"/>
      <c r="P63" s="440"/>
      <c r="Q63" s="198"/>
      <c r="R63" s="441"/>
      <c r="S63" s="450"/>
      <c r="T63" s="198"/>
      <c r="U63" s="441"/>
      <c r="V63" s="440"/>
      <c r="W63" s="198"/>
      <c r="X63" s="441"/>
      <c r="Y63" s="440"/>
      <c r="Z63" s="198"/>
      <c r="AA63" s="441"/>
      <c r="AB63" s="440"/>
      <c r="AC63" s="198"/>
      <c r="AD63" s="441"/>
      <c r="AE63" s="440"/>
      <c r="AF63" s="198"/>
      <c r="AG63" s="441"/>
      <c r="AH63" s="440"/>
      <c r="AI63" s="198"/>
      <c r="AJ63" s="441"/>
      <c r="AK63" s="440"/>
      <c r="AL63" s="198"/>
      <c r="AM63" s="441"/>
      <c r="AN63" s="440"/>
      <c r="AO63" s="451"/>
      <c r="AP63" s="451"/>
      <c r="AQ63" s="440"/>
      <c r="AR63" s="451"/>
      <c r="AS63" s="451"/>
      <c r="AT63" s="452"/>
      <c r="AU63" s="501"/>
      <c r="AV63" s="501"/>
      <c r="AW63" s="502"/>
    </row>
    <row r="64" spans="1:49" s="503" customFormat="1" ht="20.100000000000001" customHeight="1" x14ac:dyDescent="0.3">
      <c r="A64" s="460" t="s">
        <v>234</v>
      </c>
      <c r="B64" s="198">
        <f>SUM(B29+B62)</f>
        <v>21619.633000000002</v>
      </c>
      <c r="C64" s="441">
        <f>SUM(C29+C62)</f>
        <v>24601.639999999996</v>
      </c>
      <c r="D64" s="440">
        <f>IF(B64=0, "    ---- ", IF(ABS(ROUND(100/B64*C64-100,1))&lt;999,ROUND(100/B64*C64-100,1),IF(ROUND(100/B64*C64-100,1)&gt;999,999,-999)))</f>
        <v>13.8</v>
      </c>
      <c r="E64" s="198">
        <f>SUM(E29+E62)</f>
        <v>6779.2999999999993</v>
      </c>
      <c r="F64" s="441">
        <f>SUM(F29+F62)</f>
        <v>8009.9000000000005</v>
      </c>
      <c r="G64" s="440">
        <f>IF(E64=0, "    ---- ", IF(ABS(ROUND(100/E64*F64-100,1))&lt;999,ROUND(100/E64*F64-100,1),IF(ROUND(100/E64*F64-100,1)&gt;999,999,-999)))</f>
        <v>18.2</v>
      </c>
      <c r="H64" s="198">
        <f>SUM(H29+H62)</f>
        <v>332228.79099999997</v>
      </c>
      <c r="I64" s="441">
        <f>SUM(I29+I62)</f>
        <v>332378.42200000002</v>
      </c>
      <c r="J64" s="440">
        <f t="shared" si="19"/>
        <v>0</v>
      </c>
      <c r="K64" s="441"/>
      <c r="L64" s="441">
        <f>SUM(L29+L62)</f>
        <v>10263.490981680001</v>
      </c>
      <c r="M64" s="440" t="str">
        <f>IF(K64=0, "    ---- ", IF(ABS(ROUND(100/K64*L64-100,1))&lt;999,ROUND(100/K64*L64-100,1),IF(ROUND(100/K64*L64-100,1)&gt;999,999,-999)))</f>
        <v xml:space="preserve">    ---- </v>
      </c>
      <c r="N64" s="198">
        <f>SUM(N29+N62)</f>
        <v>5657.4000000000005</v>
      </c>
      <c r="O64" s="441">
        <f>SUM(O29+O62)</f>
        <v>6555.5640000000003</v>
      </c>
      <c r="P64" s="440">
        <f>IF(N64=0, "    ---- ", IF(ABS(ROUND(100/N64*O64-100,1))&lt;999,ROUND(100/N64*O64-100,1),IF(ROUND(100/N64*O64-100,1)&gt;999,999,-999)))</f>
        <v>15.9</v>
      </c>
      <c r="Q64" s="198">
        <f>SUM(Q29+Q62)</f>
        <v>36740.439999999995</v>
      </c>
      <c r="R64" s="441">
        <f>SUM(R29+R62)</f>
        <v>40608.800000000003</v>
      </c>
      <c r="S64" s="450">
        <f>IF(Q64=0, "    ---- ", IF(ABS(ROUND(100/Q64*R64-100,1))&lt;999,ROUND(100/Q64*R64-100,1),IF(ROUND(100/Q64*R64-100,1)&gt;999,999,-999)))</f>
        <v>10.5</v>
      </c>
      <c r="T64" s="198">
        <f>SUM(T29+T62)</f>
        <v>146.71234183000001</v>
      </c>
      <c r="U64" s="441">
        <f>SUM(U29+U62)</f>
        <v>151.22838720999999</v>
      </c>
      <c r="V64" s="440">
        <f>IF(T64=0, "    ---- ", IF(ABS(ROUND(100/T64*U64-100,1))&lt;999,ROUND(100/T64*U64-100,1),IF(ROUND(100/T64*U64-100,1)&gt;999,999,-999)))</f>
        <v>3.1</v>
      </c>
      <c r="W64" s="198">
        <v>610573.32094424998</v>
      </c>
      <c r="X64" s="441">
        <v>635878.01939037</v>
      </c>
      <c r="Y64" s="440">
        <f>IF(W64=0, "    ---- ", IF(ABS(ROUND(100/W64*X64-100,1))&lt;999,ROUND(100/W64*X64-100,1),IF(ROUND(100/W64*X64-100,1)&gt;999,999,-999)))</f>
        <v>4.0999999999999996</v>
      </c>
      <c r="Z64" s="198">
        <f>SUM(Z29+Z62)</f>
        <v>135397.37174772</v>
      </c>
      <c r="AA64" s="441">
        <f>SUM(AA29+AA62)</f>
        <v>150628.68147822999</v>
      </c>
      <c r="AB64" s="440">
        <f t="shared" si="28"/>
        <v>11.2</v>
      </c>
      <c r="AC64" s="198">
        <f>SUM(AC29+AC62)</f>
        <v>101797</v>
      </c>
      <c r="AD64" s="441">
        <f>SUM(AD29+AD62)</f>
        <v>108237</v>
      </c>
      <c r="AE64" s="440">
        <f>IF(AC64=0, "    ---- ", IF(ABS(ROUND(100/AC64*AD64-100,1))&lt;999,ROUND(100/AC64*AD64-100,1),IF(ROUND(100/AC64*AD64-100,1)&gt;999,999,-999)))</f>
        <v>6.3</v>
      </c>
      <c r="AF64" s="198">
        <f>SUM(AF29+AF62)</f>
        <v>2452.7375810600001</v>
      </c>
      <c r="AG64" s="441">
        <f>SUM(AG29+AG62)</f>
        <v>2784.7847964100001</v>
      </c>
      <c r="AH64" s="440">
        <f>IF(AF64=0, "    ---- ", IF(ABS(ROUND(100/AF64*AG64-100,1))&lt;999,ROUND(100/AF64*AG64-100,1),IF(ROUND(100/AF64*AG64-100,1)&gt;999,999,-999)))</f>
        <v>13.5</v>
      </c>
      <c r="AI64" s="198">
        <f>SUM(AI29+AI62)</f>
        <v>67103.418999999994</v>
      </c>
      <c r="AJ64" s="441">
        <f>SUM(AJ29+AJ62)</f>
        <v>68311.811000000002</v>
      </c>
      <c r="AK64" s="440">
        <f t="shared" si="21"/>
        <v>1.8</v>
      </c>
      <c r="AL64" s="198">
        <f>SUM(AL29+AL62)</f>
        <v>336212</v>
      </c>
      <c r="AM64" s="441">
        <f>SUM(AM29+AM62)</f>
        <v>363893</v>
      </c>
      <c r="AN64" s="440">
        <f t="shared" si="29"/>
        <v>8.1999999999999993</v>
      </c>
      <c r="AO64" s="453">
        <f>B64+H64+K64+N64+Q64+W64+E64+Z64+AC64+AI64+AL64</f>
        <v>1654108.6756919702</v>
      </c>
      <c r="AP64" s="453">
        <f>C64+I64+L64+O64+R64+X64+F64+AA64+AD64+AJ64+AM64</f>
        <v>1749366.32885028</v>
      </c>
      <c r="AQ64" s="440">
        <f t="shared" si="24"/>
        <v>5.8</v>
      </c>
      <c r="AR64" s="453">
        <f>B64+H64+K64+N64+Q64+T64+W64+E64+Z64+AC64+AF64+AI64+AL64</f>
        <v>1656708.1256148601</v>
      </c>
      <c r="AS64" s="453">
        <f>C64+I64+L64+O64+R64+U64+X64+F64+AA64+AD64+AG64+AJ64+AM64</f>
        <v>1752302.3420339001</v>
      </c>
      <c r="AT64" s="452">
        <f t="shared" si="27"/>
        <v>5.8</v>
      </c>
      <c r="AU64" s="501"/>
      <c r="AV64" s="501"/>
      <c r="AW64" s="499"/>
    </row>
    <row r="65" spans="1:49" s="468" customFormat="1" ht="20.100000000000001" customHeight="1" x14ac:dyDescent="0.3">
      <c r="A65" s="464"/>
      <c r="B65" s="196"/>
      <c r="C65" s="448"/>
      <c r="D65" s="338"/>
      <c r="E65" s="196"/>
      <c r="F65" s="448"/>
      <c r="G65" s="338"/>
      <c r="H65" s="196"/>
      <c r="I65" s="448"/>
      <c r="J65" s="338"/>
      <c r="K65" s="448"/>
      <c r="L65" s="448"/>
      <c r="M65" s="338"/>
      <c r="N65" s="196"/>
      <c r="O65" s="448"/>
      <c r="P65" s="338"/>
      <c r="Q65" s="196"/>
      <c r="R65" s="448"/>
      <c r="S65" s="437"/>
      <c r="T65" s="196"/>
      <c r="U65" s="448"/>
      <c r="V65" s="338"/>
      <c r="W65" s="196"/>
      <c r="X65" s="448"/>
      <c r="Y65" s="338"/>
      <c r="Z65" s="196"/>
      <c r="AA65" s="448"/>
      <c r="AB65" s="338"/>
      <c r="AC65" s="196"/>
      <c r="AD65" s="448"/>
      <c r="AE65" s="338"/>
      <c r="AF65" s="196"/>
      <c r="AG65" s="448"/>
      <c r="AH65" s="338"/>
      <c r="AI65" s="196"/>
      <c r="AJ65" s="448"/>
      <c r="AK65" s="338"/>
      <c r="AL65" s="196"/>
      <c r="AM65" s="448"/>
      <c r="AN65" s="338"/>
      <c r="AO65" s="439"/>
      <c r="AP65" s="439"/>
      <c r="AQ65" s="338"/>
      <c r="AR65" s="439"/>
      <c r="AS65" s="439"/>
      <c r="AT65" s="449"/>
      <c r="AU65" s="495"/>
      <c r="AV65" s="495"/>
      <c r="AW65" s="499"/>
    </row>
    <row r="66" spans="1:49" s="468" customFormat="1" ht="20.100000000000001" customHeight="1" x14ac:dyDescent="0.3">
      <c r="A66" s="460" t="s">
        <v>235</v>
      </c>
      <c r="B66" s="196"/>
      <c r="C66" s="448"/>
      <c r="D66" s="338"/>
      <c r="E66" s="196"/>
      <c r="F66" s="448"/>
      <c r="G66" s="338"/>
      <c r="H66" s="196"/>
      <c r="I66" s="448"/>
      <c r="J66" s="338"/>
      <c r="K66" s="448"/>
      <c r="L66" s="448"/>
      <c r="M66" s="338"/>
      <c r="N66" s="196"/>
      <c r="O66" s="448"/>
      <c r="P66" s="338"/>
      <c r="Q66" s="196"/>
      <c r="R66" s="448"/>
      <c r="S66" s="437"/>
      <c r="T66" s="196"/>
      <c r="U66" s="448"/>
      <c r="V66" s="338"/>
      <c r="W66" s="196"/>
      <c r="X66" s="448"/>
      <c r="Y66" s="338"/>
      <c r="Z66" s="196"/>
      <c r="AA66" s="448"/>
      <c r="AB66" s="338"/>
      <c r="AC66" s="196"/>
      <c r="AD66" s="448"/>
      <c r="AE66" s="338"/>
      <c r="AF66" s="196"/>
      <c r="AG66" s="448"/>
      <c r="AH66" s="338"/>
      <c r="AI66" s="196"/>
      <c r="AJ66" s="448"/>
      <c r="AK66" s="338"/>
      <c r="AL66" s="196"/>
      <c r="AM66" s="448"/>
      <c r="AN66" s="338"/>
      <c r="AO66" s="439"/>
      <c r="AP66" s="439"/>
      <c r="AQ66" s="338"/>
      <c r="AR66" s="439"/>
      <c r="AS66" s="439"/>
      <c r="AT66" s="449"/>
      <c r="AU66" s="495"/>
      <c r="AV66" s="495"/>
      <c r="AW66" s="499"/>
    </row>
    <row r="67" spans="1:49" s="468" customFormat="1" ht="20.100000000000001" customHeight="1" x14ac:dyDescent="0.3">
      <c r="A67" s="460"/>
      <c r="B67" s="196"/>
      <c r="C67" s="448"/>
      <c r="D67" s="338"/>
      <c r="E67" s="196"/>
      <c r="F67" s="448"/>
      <c r="G67" s="338"/>
      <c r="H67" s="196"/>
      <c r="I67" s="448"/>
      <c r="J67" s="338"/>
      <c r="K67" s="448"/>
      <c r="L67" s="448"/>
      <c r="M67" s="338"/>
      <c r="N67" s="196"/>
      <c r="O67" s="448"/>
      <c r="P67" s="338"/>
      <c r="Q67" s="196"/>
      <c r="R67" s="448"/>
      <c r="S67" s="437"/>
      <c r="T67" s="196"/>
      <c r="U67" s="448"/>
      <c r="V67" s="338"/>
      <c r="W67" s="196"/>
      <c r="X67" s="448"/>
      <c r="Y67" s="338"/>
      <c r="Z67" s="196"/>
      <c r="AA67" s="448"/>
      <c r="AB67" s="338"/>
      <c r="AC67" s="196"/>
      <c r="AD67" s="448"/>
      <c r="AE67" s="338"/>
      <c r="AF67" s="196"/>
      <c r="AG67" s="448"/>
      <c r="AH67" s="338"/>
      <c r="AI67" s="196"/>
      <c r="AJ67" s="448"/>
      <c r="AK67" s="338"/>
      <c r="AL67" s="196"/>
      <c r="AM67" s="448"/>
      <c r="AN67" s="338"/>
      <c r="AO67" s="439"/>
      <c r="AP67" s="439"/>
      <c r="AQ67" s="338"/>
      <c r="AR67" s="439"/>
      <c r="AS67" s="439"/>
      <c r="AT67" s="449"/>
      <c r="AU67" s="495"/>
      <c r="AV67" s="495"/>
      <c r="AW67" s="499"/>
    </row>
    <row r="68" spans="1:49" s="468" customFormat="1" ht="20.100000000000001" customHeight="1" x14ac:dyDescent="0.3">
      <c r="A68" s="462" t="s">
        <v>236</v>
      </c>
      <c r="B68" s="196">
        <v>141.16</v>
      </c>
      <c r="C68" s="448">
        <v>406.16</v>
      </c>
      <c r="D68" s="338">
        <f>IF(B68=0, "    ---- ", IF(ABS(ROUND(100/B68*C68-100,1))&lt;999,ROUND(100/B68*C68-100,1),IF(ROUND(100/B68*C68-100,1)&gt;999,999,-999)))</f>
        <v>187.7</v>
      </c>
      <c r="E68" s="196">
        <v>741.3</v>
      </c>
      <c r="F68" s="448">
        <v>841.3</v>
      </c>
      <c r="G68" s="338">
        <f>IF(E68=0, "    ---- ", IF(ABS(ROUND(100/E68*F68-100,1))&lt;999,ROUND(100/E68*F68-100,1),IF(ROUND(100/E68*F68-100,1)&gt;999,999,-999)))</f>
        <v>13.5</v>
      </c>
      <c r="H68" s="196">
        <v>7765.924</v>
      </c>
      <c r="I68" s="448">
        <v>7657.0529999999999</v>
      </c>
      <c r="J68" s="338">
        <f t="shared" si="19"/>
        <v>-1.4</v>
      </c>
      <c r="K68" s="448"/>
      <c r="L68" s="448">
        <v>2452.057311</v>
      </c>
      <c r="M68" s="338" t="str">
        <f>IF(K68=0, "    ---- ", IF(ABS(ROUND(100/K68*L68-100,1))&lt;999,ROUND(100/K68*L68-100,1),IF(ROUND(100/K68*L68-100,1)&gt;999,999,-999)))</f>
        <v xml:space="preserve">    ---- </v>
      </c>
      <c r="N68" s="196">
        <v>210</v>
      </c>
      <c r="O68" s="448">
        <v>210</v>
      </c>
      <c r="P68" s="338">
        <f>IF(N68=0, "    ---- ", IF(ABS(ROUND(100/N68*O68-100,1))&lt;999,ROUND(100/N68*O68-100,1),IF(ROUND(100/N68*O68-100,1)&gt;999,999,-999)))</f>
        <v>0</v>
      </c>
      <c r="Q68" s="196">
        <v>121.155</v>
      </c>
      <c r="R68" s="448">
        <v>121.67</v>
      </c>
      <c r="S68" s="437">
        <f>IF(Q68=0, "    ---- ", IF(ABS(ROUND(100/Q68*R68-100,1))&lt;999,ROUND(100/Q68*R68-100,1),IF(ROUND(100/Q68*R68-100,1)&gt;999,999,-999)))</f>
        <v>0.4</v>
      </c>
      <c r="T68" s="196">
        <v>5</v>
      </c>
      <c r="U68" s="448">
        <v>5</v>
      </c>
      <c r="V68" s="338">
        <f>IF(T68=0, "    ---- ", IF(ABS(ROUND(100/T68*U68-100,1))&lt;999,ROUND(100/T68*U68-100,1),IF(ROUND(100/T68*U68-100,1)&gt;999,999,-999)))</f>
        <v>0</v>
      </c>
      <c r="W68" s="196">
        <v>15785.101242999999</v>
      </c>
      <c r="X68" s="448">
        <v>17530.760513000001</v>
      </c>
      <c r="Y68" s="338">
        <f t="shared" ref="Y68:Y79" si="40">IF(W68=0, "    ---- ", IF(ABS(ROUND(100/W68*X68-100,1))&lt;999,ROUND(100/W68*X68-100,1),IF(ROUND(100/W68*X68-100,1)&gt;999,999,-999)))</f>
        <v>11.1</v>
      </c>
      <c r="Z68" s="196">
        <v>1126.76</v>
      </c>
      <c r="AA68" s="448">
        <v>1126.76</v>
      </c>
      <c r="AB68" s="338">
        <f t="shared" si="28"/>
        <v>0</v>
      </c>
      <c r="AC68" s="196">
        <v>1430</v>
      </c>
      <c r="AD68" s="448">
        <v>1430</v>
      </c>
      <c r="AE68" s="338">
        <f>IF(AC68=0, "    ---- ", IF(ABS(ROUND(100/AC68*AD68-100,1))&lt;999,ROUND(100/AC68*AD68-100,1),IF(ROUND(100/AC68*AD68-100,1)&gt;999,999,-999)))</f>
        <v>0</v>
      </c>
      <c r="AF68" s="196">
        <v>48.519831859999996</v>
      </c>
      <c r="AG68" s="448">
        <v>48.519831859999996</v>
      </c>
      <c r="AH68" s="338">
        <f>IF(AF68=0, "    ---- ", IF(ABS(ROUND(100/AF68*AG68-100,1))&lt;999,ROUND(100/AF68*AG68-100,1),IF(ROUND(100/AF68*AG68-100,1)&gt;999,999,-999)))</f>
        <v>0</v>
      </c>
      <c r="AI68" s="196">
        <v>3352.7420000000002</v>
      </c>
      <c r="AJ68" s="448">
        <v>4257.0320000000002</v>
      </c>
      <c r="AK68" s="338">
        <f t="shared" si="21"/>
        <v>27</v>
      </c>
      <c r="AL68" s="196">
        <v>13339</v>
      </c>
      <c r="AM68" s="448">
        <v>13850</v>
      </c>
      <c r="AN68" s="338">
        <f t="shared" si="29"/>
        <v>3.8</v>
      </c>
      <c r="AO68" s="446">
        <f t="shared" ref="AO68:AP71" si="41">B68+H68+K68+N68+Q68+W68+E68+Z68+AC68+AI68+AL68</f>
        <v>44013.142242999995</v>
      </c>
      <c r="AP68" s="446">
        <f t="shared" si="41"/>
        <v>49882.792823999996</v>
      </c>
      <c r="AQ68" s="338">
        <f t="shared" si="24"/>
        <v>13.3</v>
      </c>
      <c r="AR68" s="446">
        <f t="shared" ref="AR68:AS71" si="42">B68+H68+K68+N68+Q68+T68+W68+E68+Z68+AC68+AF68+AI68+AL68</f>
        <v>44066.662074859996</v>
      </c>
      <c r="AS68" s="446">
        <f t="shared" si="42"/>
        <v>49936.312655859998</v>
      </c>
      <c r="AT68" s="449">
        <f t="shared" si="27"/>
        <v>13.3</v>
      </c>
      <c r="AU68" s="495"/>
      <c r="AV68" s="495"/>
      <c r="AW68" s="499"/>
    </row>
    <row r="69" spans="1:49" s="468" customFormat="1" ht="20.100000000000001" customHeight="1" x14ac:dyDescent="0.3">
      <c r="A69" s="462" t="s">
        <v>237</v>
      </c>
      <c r="B69" s="196">
        <v>478.78899999999999</v>
      </c>
      <c r="C69" s="448">
        <v>571.59699999999998</v>
      </c>
      <c r="D69" s="338">
        <f>IF(B69=0, "    ---- ", IF(ABS(ROUND(100/B69*C69-100,1))&lt;999,ROUND(100/B69*C69-100,1),IF(ROUND(100/B69*C69-100,1)&gt;999,999,-999)))</f>
        <v>19.399999999999999</v>
      </c>
      <c r="E69" s="196">
        <v>-247.8</v>
      </c>
      <c r="F69" s="448">
        <v>-240.1</v>
      </c>
      <c r="G69" s="338">
        <f>IF(E69=0, "    ---- ", IF(ABS(ROUND(100/E69*F69-100,1))&lt;999,ROUND(100/E69*F69-100,1),IF(ROUND(100/E69*F69-100,1)&gt;999,999,-999)))</f>
        <v>-3.1</v>
      </c>
      <c r="H69" s="196">
        <f>14450.451+649.789</f>
        <v>15100.24</v>
      </c>
      <c r="I69" s="448">
        <v>14450.471</v>
      </c>
      <c r="J69" s="338">
        <f t="shared" si="19"/>
        <v>-4.3</v>
      </c>
      <c r="K69" s="448"/>
      <c r="L69" s="448">
        <v>60.622274070000145</v>
      </c>
      <c r="M69" s="338" t="str">
        <f>IF(K69=0, "    ---- ", IF(ABS(ROUND(100/K69*L69-100,1))&lt;999,ROUND(100/K69*L69-100,1),IF(ROUND(100/K69*L69-100,1)&gt;999,999,-999)))</f>
        <v xml:space="preserve">    ---- </v>
      </c>
      <c r="N69" s="196">
        <v>246.3</v>
      </c>
      <c r="O69" s="448">
        <v>425.79599999999999</v>
      </c>
      <c r="P69" s="338">
        <f>IF(N69=0, "    ---- ", IF(ABS(ROUND(100/N69*O69-100,1))&lt;999,ROUND(100/N69*O69-100,1),IF(ROUND(100/N69*O69-100,1)&gt;999,999,-999)))</f>
        <v>72.900000000000006</v>
      </c>
      <c r="Q69" s="196">
        <v>735.05899999999997</v>
      </c>
      <c r="R69" s="448">
        <v>863.88</v>
      </c>
      <c r="S69" s="437">
        <f>IF(Q69=0, "    ---- ", IF(ABS(ROUND(100/Q69*R69-100,1))&lt;999,ROUND(100/Q69*R69-100,1),IF(ROUND(100/Q69*R69-100,1)&gt;999,999,-999)))</f>
        <v>17.5</v>
      </c>
      <c r="T69" s="196">
        <v>84.976477700000004</v>
      </c>
      <c r="U69" s="448">
        <v>95.411134000000004</v>
      </c>
      <c r="V69" s="338">
        <f>IF(T69=0, "    ---- ", IF(ABS(ROUND(100/T69*U69-100,1))&lt;999,ROUND(100/T69*U69-100,1),IF(ROUND(100/T69*U69-100,1)&gt;999,999,-999)))</f>
        <v>12.3</v>
      </c>
      <c r="W69" s="196">
        <v>20975.907327080004</v>
      </c>
      <c r="X69" s="448">
        <v>21683.814800669999</v>
      </c>
      <c r="Y69" s="338">
        <f t="shared" si="40"/>
        <v>3.4</v>
      </c>
      <c r="Z69" s="196">
        <v>6644.7</v>
      </c>
      <c r="AA69" s="448">
        <v>7227.24</v>
      </c>
      <c r="AB69" s="338">
        <f t="shared" si="28"/>
        <v>8.8000000000000007</v>
      </c>
      <c r="AC69" s="196">
        <v>7651</v>
      </c>
      <c r="AD69" s="448">
        <v>8579</v>
      </c>
      <c r="AE69" s="338">
        <f>IF(AC69=0, "    ---- ", IF(ABS(ROUND(100/AC69*AD69-100,1))&lt;999,ROUND(100/AC69*AD69-100,1),IF(ROUND(100/AC69*AD69-100,1)&gt;999,999,-999)))</f>
        <v>12.1</v>
      </c>
      <c r="AF69" s="196">
        <v>13.3805495599998</v>
      </c>
      <c r="AG69" s="448">
        <v>24.583295319999898</v>
      </c>
      <c r="AH69" s="338">
        <f>IF(AF69=0, "    ---- ", IF(ABS(ROUND(100/AF69*AG69-100,1))&lt;999,ROUND(100/AF69*AG69-100,1),IF(ROUND(100/AF69*AG69-100,1)&gt;999,999,-999)))</f>
        <v>83.7</v>
      </c>
      <c r="AI69" s="196">
        <v>1842.53</v>
      </c>
      <c r="AJ69" s="448">
        <v>952.98199999999997</v>
      </c>
      <c r="AK69" s="338">
        <f t="shared" si="21"/>
        <v>-48.3</v>
      </c>
      <c r="AL69" s="196">
        <v>13588</v>
      </c>
      <c r="AM69" s="448">
        <v>12971</v>
      </c>
      <c r="AN69" s="338">
        <f t="shared" si="29"/>
        <v>-4.5</v>
      </c>
      <c r="AO69" s="446">
        <f t="shared" si="41"/>
        <v>67014.725327079999</v>
      </c>
      <c r="AP69" s="446">
        <f t="shared" si="41"/>
        <v>67546.303074740004</v>
      </c>
      <c r="AQ69" s="338">
        <f t="shared" si="24"/>
        <v>0.8</v>
      </c>
      <c r="AR69" s="446">
        <f t="shared" si="42"/>
        <v>67113.082354340004</v>
      </c>
      <c r="AS69" s="446">
        <f t="shared" si="42"/>
        <v>67666.297504059999</v>
      </c>
      <c r="AT69" s="449">
        <f t="shared" si="27"/>
        <v>0.8</v>
      </c>
      <c r="AU69" s="495"/>
      <c r="AV69" s="495"/>
      <c r="AW69" s="499"/>
    </row>
    <row r="70" spans="1:49" s="468" customFormat="1" ht="20.100000000000001" customHeight="1" x14ac:dyDescent="0.3">
      <c r="A70" s="462" t="s">
        <v>238</v>
      </c>
      <c r="B70" s="196">
        <v>3.4529999999999998</v>
      </c>
      <c r="C70" s="448">
        <v>8.0370000000000008</v>
      </c>
      <c r="D70" s="338"/>
      <c r="E70" s="196"/>
      <c r="F70" s="448"/>
      <c r="G70" s="338" t="str">
        <f>IF(E70=0, "    ---- ", IF(ABS(ROUND(100/E70*F70-100,1))&lt;999,ROUND(100/E70*F70-100,1),IF(ROUND(100/E70*F70-100,1)&gt;999,999,-999)))</f>
        <v xml:space="preserve">    ---- </v>
      </c>
      <c r="H70" s="196">
        <v>649.79899999999998</v>
      </c>
      <c r="I70" s="448">
        <v>715.149</v>
      </c>
      <c r="J70" s="338">
        <f>IF(H70=0, "    ---- ", IF(ABS(ROUND(100/H70*I70-100,1))&lt;999,ROUND(100/H70*I70-100,1),IF(ROUND(100/H70*I70-100,1)&gt;999,999,-999)))</f>
        <v>10.1</v>
      </c>
      <c r="K70" s="448"/>
      <c r="L70" s="448">
        <v>0</v>
      </c>
      <c r="M70" s="338"/>
      <c r="N70" s="196"/>
      <c r="O70" s="448"/>
      <c r="P70" s="338"/>
      <c r="Q70" s="196">
        <v>15.253</v>
      </c>
      <c r="R70" s="448">
        <v>37.96</v>
      </c>
      <c r="S70" s="338">
        <f>IF(Q70=0, "    ---- ", IF(ABS(ROUND(100/Q70*R70-100,1))&lt;999,ROUND(100/Q70*R70-100,1),IF(ROUND(100/Q70*R70-100,1)&gt;999,999,-999)))</f>
        <v>148.9</v>
      </c>
      <c r="T70" s="196"/>
      <c r="U70" s="448"/>
      <c r="V70" s="338"/>
      <c r="W70" s="196">
        <v>5392.8256520000004</v>
      </c>
      <c r="X70" s="448">
        <v>6066.9809249999998</v>
      </c>
      <c r="Y70" s="338">
        <f t="shared" si="40"/>
        <v>12.5</v>
      </c>
      <c r="Z70" s="196">
        <v>74.92</v>
      </c>
      <c r="AA70" s="448">
        <v>39.74</v>
      </c>
      <c r="AB70" s="338">
        <f t="shared" si="28"/>
        <v>-47</v>
      </c>
      <c r="AC70" s="196"/>
      <c r="AD70" s="448"/>
      <c r="AE70" s="338" t="str">
        <f>IF(AC70=0, "    ---- ", IF(ABS(ROUND(100/AC70*AD70-100,1))&lt;999,ROUND(100/AC70*AD70-100,1),IF(ROUND(100/AC70*AD70-100,1)&gt;999,999,-999)))</f>
        <v xml:space="preserve">    ---- </v>
      </c>
      <c r="AF70" s="196"/>
      <c r="AG70" s="448"/>
      <c r="AH70" s="338"/>
      <c r="AI70" s="196">
        <v>111.012</v>
      </c>
      <c r="AJ70" s="448">
        <v>147.43299999999999</v>
      </c>
      <c r="AK70" s="338">
        <f>IF(AI70=0, "    ---- ", IF(ABS(ROUND(100/AI70*AJ70-100,1))&lt;999,ROUND(100/AI70*AJ70-100,1),IF(ROUND(100/AI70*AJ70-100,1)&gt;999,999,-999)))</f>
        <v>32.799999999999997</v>
      </c>
      <c r="AL70" s="196">
        <v>428</v>
      </c>
      <c r="AM70" s="448">
        <v>436</v>
      </c>
      <c r="AN70" s="338">
        <f t="shared" si="29"/>
        <v>1.9</v>
      </c>
      <c r="AO70" s="446">
        <f t="shared" si="41"/>
        <v>6675.2626520000003</v>
      </c>
      <c r="AP70" s="446">
        <f t="shared" si="41"/>
        <v>7451.2999249999993</v>
      </c>
      <c r="AQ70" s="338">
        <f t="shared" si="24"/>
        <v>11.6</v>
      </c>
      <c r="AR70" s="446">
        <f t="shared" si="42"/>
        <v>6675.2626520000003</v>
      </c>
      <c r="AS70" s="446">
        <f t="shared" si="42"/>
        <v>7451.2999249999993</v>
      </c>
      <c r="AT70" s="449">
        <f t="shared" si="27"/>
        <v>11.6</v>
      </c>
      <c r="AU70" s="495"/>
      <c r="AV70" s="495"/>
      <c r="AW70" s="499"/>
    </row>
    <row r="71" spans="1:49" s="468" customFormat="1" ht="20.100000000000001" customHeight="1" x14ac:dyDescent="0.3">
      <c r="A71" s="462" t="s">
        <v>239</v>
      </c>
      <c r="B71" s="196"/>
      <c r="C71" s="448"/>
      <c r="D71" s="338"/>
      <c r="E71" s="196"/>
      <c r="F71" s="448"/>
      <c r="G71" s="338"/>
      <c r="H71" s="196">
        <v>7000</v>
      </c>
      <c r="I71" s="448">
        <v>7000</v>
      </c>
      <c r="J71" s="338">
        <f t="shared" si="19"/>
        <v>0</v>
      </c>
      <c r="K71" s="448"/>
      <c r="L71" s="448">
        <v>300</v>
      </c>
      <c r="M71" s="338"/>
      <c r="N71" s="196"/>
      <c r="O71" s="448"/>
      <c r="P71" s="338"/>
      <c r="Q71" s="196">
        <v>299.78199999999998</v>
      </c>
      <c r="R71" s="448">
        <v>299.89999999999998</v>
      </c>
      <c r="S71" s="437"/>
      <c r="T71" s="196"/>
      <c r="U71" s="448"/>
      <c r="V71" s="338"/>
      <c r="W71" s="196">
        <v>7867.0925020499999</v>
      </c>
      <c r="X71" s="448">
        <v>5238.7843332799994</v>
      </c>
      <c r="Y71" s="338">
        <f t="shared" si="40"/>
        <v>-33.4</v>
      </c>
      <c r="Z71" s="196">
        <v>2830</v>
      </c>
      <c r="AA71" s="448">
        <v>2830</v>
      </c>
      <c r="AB71" s="338">
        <f t="shared" si="28"/>
        <v>0</v>
      </c>
      <c r="AC71" s="196">
        <v>1240</v>
      </c>
      <c r="AD71" s="448">
        <v>1240</v>
      </c>
      <c r="AE71" s="338">
        <f>IF(AC71=0, "    ---- ", IF(ABS(ROUND(100/AC71*AD71-100,1))&lt;999,ROUND(100/AC71*AD71-100,1),IF(ROUND(100/AC71*AD71-100,1)&gt;999,999,-999)))</f>
        <v>0</v>
      </c>
      <c r="AF71" s="196"/>
      <c r="AG71" s="448"/>
      <c r="AH71" s="338"/>
      <c r="AI71" s="196">
        <v>1000</v>
      </c>
      <c r="AJ71" s="448">
        <v>1000</v>
      </c>
      <c r="AK71" s="338">
        <f t="shared" si="21"/>
        <v>0</v>
      </c>
      <c r="AL71" s="196">
        <v>8587</v>
      </c>
      <c r="AM71" s="448">
        <v>8960</v>
      </c>
      <c r="AN71" s="338">
        <f t="shared" si="29"/>
        <v>4.3</v>
      </c>
      <c r="AO71" s="446">
        <f t="shared" si="41"/>
        <v>28823.874502049999</v>
      </c>
      <c r="AP71" s="446">
        <f t="shared" si="41"/>
        <v>26868.684333279998</v>
      </c>
      <c r="AQ71" s="338">
        <f t="shared" si="24"/>
        <v>-6.8</v>
      </c>
      <c r="AR71" s="446">
        <f t="shared" si="42"/>
        <v>28823.874502049999</v>
      </c>
      <c r="AS71" s="446">
        <f t="shared" si="42"/>
        <v>26868.684333279998</v>
      </c>
      <c r="AT71" s="449">
        <f t="shared" si="27"/>
        <v>-6.8</v>
      </c>
      <c r="AU71" s="495"/>
      <c r="AW71" s="499"/>
    </row>
    <row r="72" spans="1:49" s="468" customFormat="1" ht="20.100000000000001" customHeight="1" x14ac:dyDescent="0.3">
      <c r="A72" s="462" t="s">
        <v>240</v>
      </c>
      <c r="B72" s="196"/>
      <c r="C72" s="448"/>
      <c r="D72" s="338"/>
      <c r="E72" s="196"/>
      <c r="F72" s="448"/>
      <c r="G72" s="338"/>
      <c r="H72" s="196"/>
      <c r="I72" s="448"/>
      <c r="J72" s="338"/>
      <c r="K72" s="448"/>
      <c r="L72" s="448">
        <v>0</v>
      </c>
      <c r="M72" s="338"/>
      <c r="N72" s="196"/>
      <c r="O72" s="448"/>
      <c r="P72" s="338"/>
      <c r="Q72" s="196"/>
      <c r="R72" s="448"/>
      <c r="S72" s="437"/>
      <c r="T72" s="196"/>
      <c r="U72" s="448"/>
      <c r="V72" s="338"/>
      <c r="W72" s="196">
        <v>0</v>
      </c>
      <c r="X72" s="448">
        <v>0</v>
      </c>
      <c r="Y72" s="338"/>
      <c r="Z72" s="196"/>
      <c r="AA72" s="448"/>
      <c r="AB72" s="338"/>
      <c r="AC72" s="196"/>
      <c r="AD72" s="448"/>
      <c r="AE72" s="338"/>
      <c r="AF72" s="196"/>
      <c r="AG72" s="448"/>
      <c r="AH72" s="338"/>
      <c r="AI72" s="196"/>
      <c r="AJ72" s="448"/>
      <c r="AK72" s="338"/>
      <c r="AL72" s="196"/>
      <c r="AM72" s="448"/>
      <c r="AN72" s="338"/>
      <c r="AO72" s="439"/>
      <c r="AP72" s="439"/>
      <c r="AQ72" s="338"/>
      <c r="AR72" s="439"/>
      <c r="AS72" s="439"/>
      <c r="AT72" s="449"/>
      <c r="AU72" s="495"/>
      <c r="AV72" s="495"/>
      <c r="AW72" s="499"/>
    </row>
    <row r="73" spans="1:49" s="468" customFormat="1" ht="20.100000000000001" customHeight="1" x14ac:dyDescent="0.3">
      <c r="A73" s="462" t="s">
        <v>397</v>
      </c>
      <c r="B73" s="196">
        <v>1014.972</v>
      </c>
      <c r="C73" s="448">
        <v>1116.77</v>
      </c>
      <c r="D73" s="338">
        <f>IF(B73=0, "    ---- ", IF(ABS(ROUND(100/B73*C73-100,1))&lt;999,ROUND(100/B73*C73-100,1),IF(ROUND(100/B73*C73-100,1)&gt;999,999,-999)))</f>
        <v>10</v>
      </c>
      <c r="E73" s="196">
        <v>1591.4</v>
      </c>
      <c r="F73" s="448">
        <v>1665.5</v>
      </c>
      <c r="G73" s="338">
        <f>IF(E73=0, "    ---- ", IF(ABS(ROUND(100/E73*F73-100,1))&lt;999,ROUND(100/E73*F73-100,1),IF(ROUND(100/E73*F73-100,1)&gt;999,999,-999)))</f>
        <v>4.7</v>
      </c>
      <c r="H73" s="196">
        <v>193969.951</v>
      </c>
      <c r="I73" s="448">
        <v>189217.185</v>
      </c>
      <c r="J73" s="338">
        <f t="shared" si="19"/>
        <v>-2.5</v>
      </c>
      <c r="K73" s="448"/>
      <c r="L73" s="448">
        <v>6724.3441954</v>
      </c>
      <c r="M73" s="338" t="str">
        <f>IF(K73=0, "    ---- ", IF(ABS(ROUND(100/K73*L73-100,1))&lt;999,ROUND(100/K73*L73-100,1),IF(ROUND(100/K73*L73-100,1)&gt;999,999,-999)))</f>
        <v xml:space="preserve">    ---- </v>
      </c>
      <c r="N73" s="196">
        <v>1137.8</v>
      </c>
      <c r="O73" s="448">
        <v>1226.498</v>
      </c>
      <c r="P73" s="338">
        <f>IF(N73=0, "    ---- ", IF(ABS(ROUND(100/N73*O73-100,1))&lt;999,ROUND(100/N73*O73-100,1),IF(ROUND(100/N73*O73-100,1)&gt;999,999,-999)))</f>
        <v>7.8</v>
      </c>
      <c r="Q73" s="196">
        <v>6766.6049999999996</v>
      </c>
      <c r="R73" s="448">
        <v>7238.68</v>
      </c>
      <c r="S73" s="437">
        <f>IF(Q73=0, "    ---- ", IF(ABS(ROUND(100/Q73*R73-100,1))&lt;999,ROUND(100/Q73*R73-100,1),IF(ROUND(100/Q73*R73-100,1)&gt;999,999,-999)))</f>
        <v>7</v>
      </c>
      <c r="T73" s="196">
        <v>54.054939169999997</v>
      </c>
      <c r="U73" s="448">
        <v>46.111784040000003</v>
      </c>
      <c r="V73" s="338">
        <f>IF(T73=0, "    ---- ", IF(ABS(ROUND(100/T73*U73-100,1))&lt;999,ROUND(100/T73*U73-100,1),IF(ROUND(100/T73*U73-100,1)&gt;999,999,-999)))</f>
        <v>-14.7</v>
      </c>
      <c r="W73" s="196">
        <v>454103.83427415002</v>
      </c>
      <c r="X73" s="448">
        <v>473589.43112008</v>
      </c>
      <c r="Y73" s="338">
        <f t="shared" si="40"/>
        <v>4.3</v>
      </c>
      <c r="Z73" s="196">
        <v>46656.59</v>
      </c>
      <c r="AA73" s="448">
        <v>47490.21000000005</v>
      </c>
      <c r="AB73" s="338">
        <f t="shared" si="28"/>
        <v>1.8</v>
      </c>
      <c r="AC73" s="196">
        <v>66784</v>
      </c>
      <c r="AD73" s="448">
        <v>67952</v>
      </c>
      <c r="AE73" s="338">
        <f>IF(AC73=0, "    ---- ", IF(ABS(ROUND(100/AC73*AD73-100,1))&lt;999,ROUND(100/AC73*AD73-100,1),IF(ROUND(100/AC73*AD73-100,1)&gt;999,999,-999)))</f>
        <v>1.7</v>
      </c>
      <c r="AF73" s="196"/>
      <c r="AG73" s="448"/>
      <c r="AH73" s="338"/>
      <c r="AI73" s="196">
        <v>21327.921999999999</v>
      </c>
      <c r="AJ73" s="448">
        <v>17778.103999999999</v>
      </c>
      <c r="AK73" s="338">
        <f t="shared" si="21"/>
        <v>-16.600000000000001</v>
      </c>
      <c r="AL73" s="196">
        <v>172112</v>
      </c>
      <c r="AM73" s="448">
        <v>172016</v>
      </c>
      <c r="AN73" s="338">
        <f t="shared" si="29"/>
        <v>-0.1</v>
      </c>
      <c r="AO73" s="446">
        <f t="shared" ref="AO73:AP79" si="43">B73+H73+K73+N73+Q73+W73+E73+Z73+AC73+AI73+AL73</f>
        <v>965465.07427415007</v>
      </c>
      <c r="AP73" s="446">
        <f t="shared" si="43"/>
        <v>986014.72231548012</v>
      </c>
      <c r="AQ73" s="338">
        <f t="shared" si="24"/>
        <v>2.1</v>
      </c>
      <c r="AR73" s="446">
        <f t="shared" ref="AR73:AS79" si="44">B73+H73+K73+N73+Q73+T73+W73+E73+Z73+AC73+AF73+AI73+AL73</f>
        <v>965519.12921332009</v>
      </c>
      <c r="AS73" s="446">
        <f t="shared" si="44"/>
        <v>986060.83409952011</v>
      </c>
      <c r="AT73" s="449">
        <f t="shared" si="27"/>
        <v>2.1</v>
      </c>
      <c r="AU73" s="495"/>
      <c r="AV73" s="495"/>
      <c r="AW73" s="499"/>
    </row>
    <row r="74" spans="1:49" s="468" customFormat="1" ht="20.100000000000001" customHeight="1" x14ac:dyDescent="0.3">
      <c r="A74" s="462" t="s">
        <v>241</v>
      </c>
      <c r="B74" s="196">
        <v>22.521999999999998</v>
      </c>
      <c r="C74" s="448">
        <v>26.600999999999999</v>
      </c>
      <c r="D74" s="338">
        <f>IF(B74=0, "    ---- ", IF(ABS(ROUND(100/B74*C74-100,1))&lt;999,ROUND(100/B74*C74-100,1),IF(ROUND(100/B74*C74-100,1)&gt;999,999,-999)))</f>
        <v>18.100000000000001</v>
      </c>
      <c r="E74" s="196">
        <v>112.5</v>
      </c>
      <c r="F74" s="448">
        <v>109.6</v>
      </c>
      <c r="G74" s="338">
        <f>IF(E74=0, "    ---- ", IF(ABS(ROUND(100/E74*F74-100,1))&lt;999,ROUND(100/E74*F74-100,1),IF(ROUND(100/E74*F74-100,1)&gt;999,999,-999)))</f>
        <v>-2.6</v>
      </c>
      <c r="H74" s="196">
        <v>7111.4279999999999</v>
      </c>
      <c r="I74" s="448">
        <v>6972.27</v>
      </c>
      <c r="J74" s="338">
        <f t="shared" si="19"/>
        <v>-2</v>
      </c>
      <c r="K74" s="448"/>
      <c r="L74" s="448">
        <v>0</v>
      </c>
      <c r="M74" s="338" t="str">
        <f>IF(K74=0, "    ---- ", IF(ABS(ROUND(100/K74*L74-100,1))&lt;999,ROUND(100/K74*L74-100,1),IF(ROUND(100/K74*L74-100,1)&gt;999,999,-999)))</f>
        <v xml:space="preserve">    ---- </v>
      </c>
      <c r="N74" s="196">
        <v>1.1000000000000001</v>
      </c>
      <c r="O74" s="448">
        <v>7.64</v>
      </c>
      <c r="P74" s="338">
        <f>IF(N74=0, "    ---- ", IF(ABS(ROUND(100/N74*O74-100,1))&lt;999,ROUND(100/N74*O74-100,1),IF(ROUND(100/N74*O74-100,1)&gt;999,999,-999)))</f>
        <v>594.5</v>
      </c>
      <c r="Q74" s="196">
        <v>242.79499999999999</v>
      </c>
      <c r="R74" s="448">
        <v>285.45</v>
      </c>
      <c r="S74" s="437">
        <f>IF(Q74=0, "    ---- ", IF(ABS(ROUND(100/Q74*R74-100,1))&lt;999,ROUND(100/Q74*R74-100,1),IF(ROUND(100/Q74*R74-100,1)&gt;999,999,-999)))</f>
        <v>17.600000000000001</v>
      </c>
      <c r="T74" s="196"/>
      <c r="U74" s="448"/>
      <c r="V74" s="338"/>
      <c r="W74" s="196">
        <v>28191.044431999999</v>
      </c>
      <c r="X74" s="448">
        <v>35735.27259</v>
      </c>
      <c r="Y74" s="338">
        <f t="shared" si="40"/>
        <v>26.8</v>
      </c>
      <c r="Z74" s="196">
        <v>2037.69</v>
      </c>
      <c r="AA74" s="448">
        <v>2437.15</v>
      </c>
      <c r="AB74" s="338">
        <f t="shared" si="28"/>
        <v>19.600000000000001</v>
      </c>
      <c r="AC74" s="196">
        <v>7503</v>
      </c>
      <c r="AD74" s="448">
        <v>7228</v>
      </c>
      <c r="AE74" s="338">
        <f>IF(AC74=0, "    ---- ", IF(ABS(ROUND(100/AC74*AD74-100,1))&lt;999,ROUND(100/AC74*AD74-100,1),IF(ROUND(100/AC74*AD74-100,1)&gt;999,999,-999)))</f>
        <v>-3.7</v>
      </c>
      <c r="AF74" s="196"/>
      <c r="AG74" s="448"/>
      <c r="AH74" s="338"/>
      <c r="AI74" s="196">
        <v>944.41300000000001</v>
      </c>
      <c r="AJ74" s="448">
        <v>1294.7470000000001</v>
      </c>
      <c r="AK74" s="338">
        <f t="shared" si="21"/>
        <v>37.1</v>
      </c>
      <c r="AL74" s="196">
        <v>8194</v>
      </c>
      <c r="AM74" s="448">
        <v>8841</v>
      </c>
      <c r="AN74" s="338">
        <f t="shared" si="29"/>
        <v>7.9</v>
      </c>
      <c r="AO74" s="446">
        <f t="shared" si="43"/>
        <v>54360.492431999999</v>
      </c>
      <c r="AP74" s="446">
        <f t="shared" si="43"/>
        <v>62937.730590000006</v>
      </c>
      <c r="AQ74" s="338">
        <f t="shared" si="24"/>
        <v>15.8</v>
      </c>
      <c r="AR74" s="446">
        <f t="shared" si="44"/>
        <v>54360.492431999999</v>
      </c>
      <c r="AS74" s="446">
        <f t="shared" si="44"/>
        <v>62937.730590000006</v>
      </c>
      <c r="AT74" s="449">
        <f t="shared" si="27"/>
        <v>15.8</v>
      </c>
      <c r="AU74" s="495"/>
      <c r="AV74" s="495"/>
      <c r="AW74" s="499"/>
    </row>
    <row r="75" spans="1:49" s="468" customFormat="1" ht="20.100000000000001" customHeight="1" x14ac:dyDescent="0.3">
      <c r="A75" s="462" t="s">
        <v>242</v>
      </c>
      <c r="B75" s="196">
        <v>43.970999999999997</v>
      </c>
      <c r="C75" s="448">
        <v>68.054000000000002</v>
      </c>
      <c r="D75" s="338">
        <f>IF(B75=0, "    ---- ", IF(ABS(ROUND(100/B75*C75-100,1))&lt;999,ROUND(100/B75*C75-100,1),IF(ROUND(100/B75*C75-100,1)&gt;999,999,-999)))</f>
        <v>54.8</v>
      </c>
      <c r="E75" s="196">
        <v>16.399999999999999</v>
      </c>
      <c r="F75" s="448">
        <v>18.600000000000001</v>
      </c>
      <c r="G75" s="338">
        <f>IF(E75=0, "    ---- ", IF(ABS(ROUND(100/E75*F75-100,1))&lt;999,ROUND(100/E75*F75-100,1),IF(ROUND(100/E75*F75-100,1)&gt;999,999,-999)))</f>
        <v>13.4</v>
      </c>
      <c r="H75" s="196">
        <v>4702.4530000000004</v>
      </c>
      <c r="I75" s="448">
        <v>3292.319</v>
      </c>
      <c r="J75" s="338">
        <f t="shared" si="19"/>
        <v>-30</v>
      </c>
      <c r="K75" s="448"/>
      <c r="L75" s="448">
        <v>23.240186480000013</v>
      </c>
      <c r="M75" s="338"/>
      <c r="N75" s="196">
        <v>9.5</v>
      </c>
      <c r="O75" s="448">
        <v>3.9</v>
      </c>
      <c r="P75" s="338"/>
      <c r="Q75" s="196">
        <v>22.268999999999998</v>
      </c>
      <c r="R75" s="448">
        <v>2.27</v>
      </c>
      <c r="S75" s="437">
        <f>IF(Q75=0, "    ---- ", IF(ABS(ROUND(100/Q75*R75-100,1))&lt;999,ROUND(100/Q75*R75-100,1),IF(ROUND(100/Q75*R75-100,1)&gt;999,999,-999)))</f>
        <v>-89.8</v>
      </c>
      <c r="T75" s="196"/>
      <c r="U75" s="448"/>
      <c r="V75" s="338"/>
      <c r="W75" s="196">
        <v>54475.754281000001</v>
      </c>
      <c r="X75" s="448">
        <v>47456.172450999999</v>
      </c>
      <c r="Y75" s="338">
        <f t="shared" si="40"/>
        <v>-12.9</v>
      </c>
      <c r="Z75" s="196">
        <v>1898.51</v>
      </c>
      <c r="AA75" s="448">
        <v>1660.98</v>
      </c>
      <c r="AB75" s="338">
        <f t="shared" si="28"/>
        <v>-12.5</v>
      </c>
      <c r="AC75" s="196">
        <v>13966</v>
      </c>
      <c r="AD75" s="448">
        <v>15433</v>
      </c>
      <c r="AE75" s="338">
        <f>IF(AC75=0, "    ---- ", IF(ABS(ROUND(100/AC75*AD75-100,1))&lt;999,ROUND(100/AC75*AD75-100,1),IF(ROUND(100/AC75*AD75-100,1)&gt;999,999,-999)))</f>
        <v>10.5</v>
      </c>
      <c r="AF75" s="196"/>
      <c r="AG75" s="448"/>
      <c r="AH75" s="338"/>
      <c r="AI75" s="196">
        <v>2204.0650000000001</v>
      </c>
      <c r="AJ75" s="448">
        <v>2354.748</v>
      </c>
      <c r="AK75" s="338">
        <f t="shared" si="21"/>
        <v>6.8</v>
      </c>
      <c r="AL75" s="196">
        <v>5893</v>
      </c>
      <c r="AM75" s="448">
        <v>8092</v>
      </c>
      <c r="AN75" s="338">
        <f t="shared" si="29"/>
        <v>37.299999999999997</v>
      </c>
      <c r="AO75" s="446">
        <f t="shared" si="43"/>
        <v>83231.922281000006</v>
      </c>
      <c r="AP75" s="446">
        <f t="shared" si="43"/>
        <v>78405.28363748001</v>
      </c>
      <c r="AQ75" s="338">
        <f t="shared" si="24"/>
        <v>-5.8</v>
      </c>
      <c r="AR75" s="446">
        <f t="shared" si="44"/>
        <v>83231.922281000006</v>
      </c>
      <c r="AS75" s="446">
        <f t="shared" si="44"/>
        <v>78405.28363748001</v>
      </c>
      <c r="AT75" s="449">
        <f t="shared" si="27"/>
        <v>-5.8</v>
      </c>
      <c r="AU75" s="495"/>
      <c r="AV75" s="495"/>
      <c r="AW75" s="499"/>
    </row>
    <row r="76" spans="1:49" s="468" customFormat="1" ht="20.100000000000001" customHeight="1" x14ac:dyDescent="0.3">
      <c r="A76" s="462" t="s">
        <v>398</v>
      </c>
      <c r="B76" s="196">
        <v>15.97</v>
      </c>
      <c r="C76" s="448">
        <v>17.111999999999998</v>
      </c>
      <c r="D76" s="338">
        <f>IF(B76=0, "    ---- ", IF(ABS(ROUND(100/B76*C76-100,1))&lt;999,ROUND(100/B76*C76-100,1),IF(ROUND(100/B76*C76-100,1)&gt;999,999,-999)))</f>
        <v>7.2</v>
      </c>
      <c r="E76" s="196">
        <v>13.2</v>
      </c>
      <c r="F76" s="448">
        <v>13.9</v>
      </c>
      <c r="G76" s="338">
        <f>IF(E76=0, "    ---- ", IF(ABS(ROUND(100/E76*F76-100,1))&lt;999,ROUND(100/E76*F76-100,1),IF(ROUND(100/E76*F76-100,1)&gt;999,999,-999)))</f>
        <v>5.3</v>
      </c>
      <c r="H76" s="196"/>
      <c r="I76" s="448"/>
      <c r="J76" s="338" t="str">
        <f t="shared" si="19"/>
        <v xml:space="preserve">    ---- </v>
      </c>
      <c r="K76" s="448"/>
      <c r="L76" s="448">
        <v>0</v>
      </c>
      <c r="M76" s="338"/>
      <c r="N76" s="196"/>
      <c r="O76" s="448"/>
      <c r="P76" s="338"/>
      <c r="Q76" s="196">
        <v>1.3779999999999999</v>
      </c>
      <c r="R76" s="448">
        <v>0.9</v>
      </c>
      <c r="S76" s="437"/>
      <c r="T76" s="196"/>
      <c r="U76" s="448"/>
      <c r="V76" s="338"/>
      <c r="W76" s="196">
        <v>10012.742213</v>
      </c>
      <c r="X76" s="448">
        <v>10119.882546000001</v>
      </c>
      <c r="Y76" s="338">
        <f t="shared" si="40"/>
        <v>1.1000000000000001</v>
      </c>
      <c r="Z76" s="196">
        <v>722.74</v>
      </c>
      <c r="AA76" s="448">
        <v>797.56</v>
      </c>
      <c r="AB76" s="338">
        <f t="shared" si="28"/>
        <v>10.4</v>
      </c>
      <c r="AC76" s="196">
        <v>1299</v>
      </c>
      <c r="AD76" s="448">
        <v>1316</v>
      </c>
      <c r="AE76" s="338"/>
      <c r="AF76" s="196"/>
      <c r="AG76" s="448"/>
      <c r="AH76" s="338"/>
      <c r="AI76" s="196">
        <v>190.494</v>
      </c>
      <c r="AJ76" s="448">
        <v>280.15100000000001</v>
      </c>
      <c r="AK76" s="338">
        <f t="shared" si="21"/>
        <v>47.1</v>
      </c>
      <c r="AL76" s="196">
        <v>1900</v>
      </c>
      <c r="AM76" s="448">
        <v>1993</v>
      </c>
      <c r="AN76" s="338">
        <f t="shared" si="29"/>
        <v>4.9000000000000004</v>
      </c>
      <c r="AO76" s="446">
        <f t="shared" si="43"/>
        <v>14155.524213000001</v>
      </c>
      <c r="AP76" s="446">
        <f t="shared" si="43"/>
        <v>14538.505546</v>
      </c>
      <c r="AQ76" s="338">
        <f t="shared" si="24"/>
        <v>2.7</v>
      </c>
      <c r="AR76" s="446">
        <f t="shared" si="44"/>
        <v>14155.524213000001</v>
      </c>
      <c r="AS76" s="446">
        <f t="shared" si="44"/>
        <v>14538.505546</v>
      </c>
      <c r="AT76" s="449">
        <f t="shared" si="27"/>
        <v>2.7</v>
      </c>
      <c r="AU76" s="495"/>
      <c r="AV76" s="495"/>
      <c r="AW76" s="499"/>
    </row>
    <row r="77" spans="1:49" s="468" customFormat="1" ht="20.100000000000001" customHeight="1" x14ac:dyDescent="0.3">
      <c r="A77" s="462" t="s">
        <v>362</v>
      </c>
      <c r="B77" s="196">
        <v>50.463999999999999</v>
      </c>
      <c r="C77" s="448">
        <v>57.82</v>
      </c>
      <c r="D77" s="338">
        <f>IF(B77=0, "    ---- ", IF(ABS(ROUND(100/B77*C77-100,1))&lt;999,ROUND(100/B77*C77-100,1),IF(ROUND(100/B77*C77-100,1)&gt;999,999,-999)))</f>
        <v>14.6</v>
      </c>
      <c r="E77" s="196"/>
      <c r="F77" s="448"/>
      <c r="G77" s="338"/>
      <c r="H77" s="196">
        <v>652.53099999999995</v>
      </c>
      <c r="I77" s="448">
        <v>603.37</v>
      </c>
      <c r="J77" s="338">
        <f t="shared" si="19"/>
        <v>-7.5</v>
      </c>
      <c r="K77" s="448"/>
      <c r="L77" s="448">
        <v>0</v>
      </c>
      <c r="M77" s="338" t="str">
        <f>IF(K77=0, "    ---- ", IF(ABS(ROUND(100/K77*L77-100,1))&lt;999,ROUND(100/K77*L77-100,1),IF(ROUND(100/K77*L77-100,1)&gt;999,999,-999)))</f>
        <v xml:space="preserve">    ---- </v>
      </c>
      <c r="N77" s="196">
        <v>29.1</v>
      </c>
      <c r="O77" s="448">
        <v>32.613999999999997</v>
      </c>
      <c r="P77" s="338">
        <f>IF(N77=0, "    ---- ", IF(ABS(ROUND(100/N77*O77-100,1))&lt;999,ROUND(100/N77*O77-100,1),IF(ROUND(100/N77*O77-100,1)&gt;999,999,-999)))</f>
        <v>12.1</v>
      </c>
      <c r="Q77" s="196"/>
      <c r="R77" s="448"/>
      <c r="S77" s="437"/>
      <c r="T77" s="196"/>
      <c r="U77" s="448"/>
      <c r="V77" s="338"/>
      <c r="W77" s="196">
        <v>0</v>
      </c>
      <c r="X77" s="448">
        <v>0</v>
      </c>
      <c r="Y77" s="338"/>
      <c r="Z77" s="196"/>
      <c r="AA77" s="448">
        <v>0</v>
      </c>
      <c r="AB77" s="338" t="str">
        <f t="shared" si="28"/>
        <v xml:space="preserve">    ---- </v>
      </c>
      <c r="AC77" s="196">
        <f>399+191</f>
        <v>590</v>
      </c>
      <c r="AD77" s="448">
        <v>380</v>
      </c>
      <c r="AE77" s="338"/>
      <c r="AF77" s="196"/>
      <c r="AG77" s="448"/>
      <c r="AH77" s="338"/>
      <c r="AI77" s="196"/>
      <c r="AJ77" s="448"/>
      <c r="AK77" s="338" t="str">
        <f t="shared" si="21"/>
        <v xml:space="preserve">    ---- </v>
      </c>
      <c r="AL77" s="196">
        <v>669</v>
      </c>
      <c r="AM77" s="448">
        <v>678</v>
      </c>
      <c r="AN77" s="338">
        <f t="shared" si="29"/>
        <v>1.3</v>
      </c>
      <c r="AO77" s="446">
        <f t="shared" si="43"/>
        <v>1991.0949999999998</v>
      </c>
      <c r="AP77" s="446">
        <f t="shared" si="43"/>
        <v>1751.8040000000001</v>
      </c>
      <c r="AQ77" s="338">
        <f t="shared" si="24"/>
        <v>-12</v>
      </c>
      <c r="AR77" s="446">
        <f t="shared" si="44"/>
        <v>1991.0949999999998</v>
      </c>
      <c r="AS77" s="446">
        <f t="shared" si="44"/>
        <v>1751.8040000000001</v>
      </c>
      <c r="AT77" s="449">
        <f t="shared" si="27"/>
        <v>-12</v>
      </c>
      <c r="AU77" s="495"/>
      <c r="AV77" s="495"/>
      <c r="AW77" s="499"/>
    </row>
    <row r="78" spans="1:49" s="468" customFormat="1" ht="20.100000000000001" customHeight="1" x14ac:dyDescent="0.3">
      <c r="A78" s="462" t="s">
        <v>243</v>
      </c>
      <c r="B78" s="196"/>
      <c r="C78" s="448"/>
      <c r="D78" s="338"/>
      <c r="E78" s="196">
        <v>9.5</v>
      </c>
      <c r="F78" s="448">
        <v>0</v>
      </c>
      <c r="G78" s="338"/>
      <c r="H78" s="196">
        <v>244.06200000000001</v>
      </c>
      <c r="I78" s="448">
        <v>474.38600000000002</v>
      </c>
      <c r="J78" s="338"/>
      <c r="K78" s="448"/>
      <c r="L78" s="448">
        <v>0</v>
      </c>
      <c r="M78" s="338"/>
      <c r="N78" s="196"/>
      <c r="O78" s="448"/>
      <c r="P78" s="338"/>
      <c r="Q78" s="196">
        <v>49.488</v>
      </c>
      <c r="R78" s="448">
        <v>-37.39</v>
      </c>
      <c r="S78" s="437"/>
      <c r="T78" s="196"/>
      <c r="U78" s="448"/>
      <c r="V78" s="338"/>
      <c r="W78" s="196">
        <v>4922.3834040000002</v>
      </c>
      <c r="X78" s="448">
        <v>7039.6184519999997</v>
      </c>
      <c r="Y78" s="338"/>
      <c r="Z78" s="196"/>
      <c r="AA78" s="448"/>
      <c r="AB78" s="338"/>
      <c r="AC78" s="196"/>
      <c r="AD78" s="448">
        <v>3141</v>
      </c>
      <c r="AE78" s="338"/>
      <c r="AF78" s="196"/>
      <c r="AG78" s="448"/>
      <c r="AH78" s="338"/>
      <c r="AI78" s="196">
        <v>753.37601163000022</v>
      </c>
      <c r="AJ78" s="448">
        <v>-54.8118123799998</v>
      </c>
      <c r="AK78" s="338"/>
      <c r="AL78" s="196">
        <v>663</v>
      </c>
      <c r="AM78" s="448">
        <v>1327</v>
      </c>
      <c r="AN78" s="338"/>
      <c r="AO78" s="446">
        <f t="shared" si="43"/>
        <v>6641.8094156300003</v>
      </c>
      <c r="AP78" s="446">
        <f t="shared" si="43"/>
        <v>11889.80263962</v>
      </c>
      <c r="AQ78" s="338">
        <f t="shared" si="24"/>
        <v>79</v>
      </c>
      <c r="AR78" s="446">
        <f t="shared" si="44"/>
        <v>6641.8094156300003</v>
      </c>
      <c r="AS78" s="446">
        <f t="shared" si="44"/>
        <v>11889.80263962</v>
      </c>
      <c r="AT78" s="449">
        <f t="shared" si="27"/>
        <v>79</v>
      </c>
      <c r="AU78" s="495"/>
      <c r="AV78" s="495"/>
      <c r="AW78" s="499"/>
    </row>
    <row r="79" spans="1:49" s="468" customFormat="1" ht="20.100000000000001" customHeight="1" x14ac:dyDescent="0.3">
      <c r="A79" s="463" t="s">
        <v>244</v>
      </c>
      <c r="B79" s="196">
        <f>SUM(B73:B78)</f>
        <v>1147.8989999999999</v>
      </c>
      <c r="C79" s="448">
        <f>SUM(C73:C78)</f>
        <v>1286.3570000000002</v>
      </c>
      <c r="D79" s="338">
        <f>IF(B79=0, "    ---- ", IF(ABS(ROUND(100/B79*C79-100,1))&lt;999,ROUND(100/B79*C79-100,1),IF(ROUND(100/B79*C79-100,1)&gt;999,999,-999)))</f>
        <v>12.1</v>
      </c>
      <c r="E79" s="196">
        <f>SUM(E73:E78)</f>
        <v>1743.0000000000002</v>
      </c>
      <c r="F79" s="448">
        <f>SUM(F73:F78)</f>
        <v>1807.6</v>
      </c>
      <c r="G79" s="338">
        <f>IF(E79=0, "    ---- ", IF(ABS(ROUND(100/E79*F79-100,1))&lt;999,ROUND(100/E79*F79-100,1),IF(ROUND(100/E79*F79-100,1)&gt;999,999,-999)))</f>
        <v>3.7</v>
      </c>
      <c r="H79" s="196">
        <f>SUM(H73:H78)</f>
        <v>206680.42500000002</v>
      </c>
      <c r="I79" s="448">
        <f>SUM(I73:I78)</f>
        <v>200559.52999999997</v>
      </c>
      <c r="J79" s="338">
        <f t="shared" si="19"/>
        <v>-3</v>
      </c>
      <c r="K79" s="448"/>
      <c r="L79" s="448">
        <f>SUM(L73:L78)</f>
        <v>6747.5843818800004</v>
      </c>
      <c r="M79" s="338" t="str">
        <f>IF(K79=0, "    ---- ", IF(ABS(ROUND(100/K79*L79-100,1))&lt;999,ROUND(100/K79*L79-100,1),IF(ROUND(100/K79*L79-100,1)&gt;999,999,-999)))</f>
        <v xml:space="preserve">    ---- </v>
      </c>
      <c r="N79" s="196">
        <f>SUM(N73:N78)</f>
        <v>1177.4999999999998</v>
      </c>
      <c r="O79" s="448">
        <f>SUM(O73:O78)</f>
        <v>1270.6520000000003</v>
      </c>
      <c r="P79" s="338">
        <f>IF(N79=0, "    ---- ", IF(ABS(ROUND(100/N79*O79-100,1))&lt;999,ROUND(100/N79*O79-100,1),IF(ROUND(100/N79*O79-100,1)&gt;999,999,-999)))</f>
        <v>7.9</v>
      </c>
      <c r="Q79" s="196">
        <f>SUM(Q73:Q78)</f>
        <v>7082.5349999999999</v>
      </c>
      <c r="R79" s="448">
        <f>SUM(R73:R78)</f>
        <v>7489.91</v>
      </c>
      <c r="S79" s="437">
        <f>IF(Q79=0, "    ---- ", IF(ABS(ROUND(100/Q79*R79-100,1))&lt;999,ROUND(100/Q79*R79-100,1),IF(ROUND(100/Q79*R79-100,1)&gt;999,999,-999)))</f>
        <v>5.8</v>
      </c>
      <c r="T79" s="196">
        <f>SUM(T73:T78)</f>
        <v>54.054939169999997</v>
      </c>
      <c r="U79" s="448">
        <f>SUM(U73:U78)</f>
        <v>46.111784040000003</v>
      </c>
      <c r="V79" s="338">
        <f>IF(T79=0, "    ---- ", IF(ABS(ROUND(100/T79*U79-100,1))&lt;999,ROUND(100/T79*U79-100,1),IF(ROUND(100/T79*U79-100,1)&gt;999,999,-999)))</f>
        <v>-14.7</v>
      </c>
      <c r="W79" s="196">
        <v>551705.75860414992</v>
      </c>
      <c r="X79" s="448">
        <v>573940.37715907989</v>
      </c>
      <c r="Y79" s="338">
        <f t="shared" si="40"/>
        <v>4</v>
      </c>
      <c r="Z79" s="196">
        <f>SUM(Z73:Z78)</f>
        <v>51315.53</v>
      </c>
      <c r="AA79" s="448">
        <f>SUM(AA73:AA78)</f>
        <v>52385.900000000052</v>
      </c>
      <c r="AB79" s="338">
        <f t="shared" si="28"/>
        <v>2.1</v>
      </c>
      <c r="AC79" s="196">
        <f>SUM(AC73:AC78)</f>
        <v>90142</v>
      </c>
      <c r="AD79" s="448">
        <f>SUM(AD73:AD78)</f>
        <v>95450</v>
      </c>
      <c r="AE79" s="338">
        <f>IF(AC79=0, "    ---- ", IF(ABS(ROUND(100/AC79*AD79-100,1))&lt;999,ROUND(100/AC79*AD79-100,1),IF(ROUND(100/AC79*AD79-100,1)&gt;999,999,-999)))</f>
        <v>5.9</v>
      </c>
      <c r="AF79" s="196"/>
      <c r="AG79" s="448">
        <f>SUM(AG73:AG78)</f>
        <v>0</v>
      </c>
      <c r="AH79" s="338"/>
      <c r="AI79" s="196">
        <f>SUM(AI73:AI78)</f>
        <v>25420.270011629997</v>
      </c>
      <c r="AJ79" s="448">
        <f>SUM(AJ73:AJ78)</f>
        <v>21652.938187619999</v>
      </c>
      <c r="AK79" s="338">
        <f t="shared" si="21"/>
        <v>-14.8</v>
      </c>
      <c r="AL79" s="196">
        <f>SUM(AL73:AL78)</f>
        <v>189431</v>
      </c>
      <c r="AM79" s="448">
        <f>SUM(AM73:AM78)</f>
        <v>192947</v>
      </c>
      <c r="AN79" s="338">
        <f t="shared" si="29"/>
        <v>1.9</v>
      </c>
      <c r="AO79" s="446">
        <f t="shared" si="43"/>
        <v>1125845.9176157801</v>
      </c>
      <c r="AP79" s="446">
        <f t="shared" si="43"/>
        <v>1155537.8487285799</v>
      </c>
      <c r="AQ79" s="338">
        <f t="shared" si="24"/>
        <v>2.6</v>
      </c>
      <c r="AR79" s="446">
        <f t="shared" si="44"/>
        <v>1125899.97255495</v>
      </c>
      <c r="AS79" s="446">
        <f t="shared" si="44"/>
        <v>1155583.9605126199</v>
      </c>
      <c r="AT79" s="449">
        <f t="shared" si="27"/>
        <v>2.6</v>
      </c>
      <c r="AU79" s="495"/>
      <c r="AV79" s="495"/>
      <c r="AW79" s="499"/>
    </row>
    <row r="80" spans="1:49" s="468" customFormat="1" ht="20.100000000000001" customHeight="1" x14ac:dyDescent="0.3">
      <c r="A80" s="462" t="s">
        <v>245</v>
      </c>
      <c r="B80" s="196"/>
      <c r="C80" s="448"/>
      <c r="D80" s="338"/>
      <c r="E80" s="196"/>
      <c r="F80" s="448"/>
      <c r="G80" s="338"/>
      <c r="H80" s="196"/>
      <c r="I80" s="448"/>
      <c r="J80" s="338"/>
      <c r="K80" s="448"/>
      <c r="L80" s="448"/>
      <c r="M80" s="338"/>
      <c r="N80" s="196"/>
      <c r="O80" s="448"/>
      <c r="P80" s="338"/>
      <c r="Q80" s="196"/>
      <c r="R80" s="448"/>
      <c r="S80" s="437"/>
      <c r="T80" s="196"/>
      <c r="U80" s="448"/>
      <c r="V80" s="338"/>
      <c r="W80" s="196"/>
      <c r="X80" s="448"/>
      <c r="Y80" s="338"/>
      <c r="Z80" s="196"/>
      <c r="AA80" s="448"/>
      <c r="AB80" s="338"/>
      <c r="AC80" s="196"/>
      <c r="AD80" s="448"/>
      <c r="AE80" s="338"/>
      <c r="AF80" s="196"/>
      <c r="AG80" s="448"/>
      <c r="AH80" s="338"/>
      <c r="AI80" s="196"/>
      <c r="AJ80" s="448"/>
      <c r="AK80" s="338"/>
      <c r="AL80" s="196"/>
      <c r="AM80" s="448"/>
      <c r="AN80" s="338"/>
      <c r="AO80" s="439"/>
      <c r="AP80" s="439"/>
      <c r="AQ80" s="338"/>
      <c r="AR80" s="439"/>
      <c r="AS80" s="439"/>
      <c r="AT80" s="449"/>
      <c r="AU80" s="495"/>
      <c r="AV80" s="495"/>
      <c r="AW80" s="499"/>
    </row>
    <row r="81" spans="1:49" s="468" customFormat="1" ht="20.100000000000001" customHeight="1" x14ac:dyDescent="0.3">
      <c r="A81" s="462" t="s">
        <v>399</v>
      </c>
      <c r="B81" s="196">
        <v>19631.409</v>
      </c>
      <c r="C81" s="448">
        <v>22122.434000000001</v>
      </c>
      <c r="D81" s="338">
        <f>IF(B81=0, "    ---- ", IF(ABS(ROUND(100/B81*C81-100,1))&lt;999,ROUND(100/B81*C81-100,1),IF(ROUND(100/B81*C81-100,1)&gt;999,999,-999)))</f>
        <v>12.7</v>
      </c>
      <c r="E81" s="196">
        <v>4506.3</v>
      </c>
      <c r="F81" s="448">
        <v>5554.2</v>
      </c>
      <c r="G81" s="338">
        <f>IF(E81=0, "    ---- ", IF(ABS(ROUND(100/E81*F81-100,1))&lt;999,ROUND(100/E81*F81-100,1),IF(ROUND(100/E81*F81-100,1)&gt;999,999,-999)))</f>
        <v>23.3</v>
      </c>
      <c r="H81" s="196">
        <v>92195.478000000003</v>
      </c>
      <c r="I81" s="448">
        <v>99778.869000000006</v>
      </c>
      <c r="J81" s="338">
        <f t="shared" si="19"/>
        <v>8.1999999999999993</v>
      </c>
      <c r="K81" s="448"/>
      <c r="L81" s="448"/>
      <c r="M81" s="338" t="str">
        <f>IF(K81=0, "    ---- ", IF(ABS(ROUND(100/K81*L81-100,1))&lt;999,ROUND(100/K81*L81-100,1),IF(ROUND(100/K81*L81-100,1)&gt;999,999,-999)))</f>
        <v xml:space="preserve">    ---- </v>
      </c>
      <c r="N81" s="196">
        <v>3966.9</v>
      </c>
      <c r="O81" s="448">
        <v>4512.9319999999998</v>
      </c>
      <c r="P81" s="338">
        <f>IF(N81=0, "    ---- ", IF(ABS(ROUND(100/N81*O81-100,1))&lt;999,ROUND(100/N81*O81-100,1),IF(ROUND(100/N81*O81-100,1)&gt;999,999,-999)))</f>
        <v>13.8</v>
      </c>
      <c r="Q81" s="196">
        <v>27996.121999999999</v>
      </c>
      <c r="R81" s="448">
        <v>31263.74</v>
      </c>
      <c r="S81" s="437">
        <f>IF(Q81=0, "    ---- ", IF(ABS(ROUND(100/Q81*R81-100,1))&lt;999,ROUND(100/Q81*R81-100,1),IF(ROUND(100/Q81*R81-100,1)&gt;999,999,-999)))</f>
        <v>11.7</v>
      </c>
      <c r="T81" s="196"/>
      <c r="U81" s="448"/>
      <c r="V81" s="338"/>
      <c r="W81" s="196">
        <v>2017.5879481500001</v>
      </c>
      <c r="X81" s="448">
        <v>1467.68164415</v>
      </c>
      <c r="Y81" s="338">
        <f t="shared" ref="Y81:Y91" si="45">IF(W81=0, "    ---- ", IF(ABS(ROUND(100/W81*X81-100,1))&lt;999,ROUND(100/W81*X81-100,1),IF(ROUND(100/W81*X81-100,1)&gt;999,999,-999)))</f>
        <v>-27.3</v>
      </c>
      <c r="Z81" s="196">
        <v>72267.839999999997</v>
      </c>
      <c r="AA81" s="448">
        <v>85871.42</v>
      </c>
      <c r="AB81" s="338">
        <f t="shared" si="28"/>
        <v>18.8</v>
      </c>
      <c r="AC81" s="196"/>
      <c r="AD81" s="448"/>
      <c r="AE81" s="338"/>
      <c r="AF81" s="196">
        <v>2377.6443239199998</v>
      </c>
      <c r="AG81" s="448">
        <v>2702.2587809500001</v>
      </c>
      <c r="AH81" s="338">
        <f>IF(AF81=0, "    ---- ", IF(ABS(ROUND(100/AF81*AG81-100,1))&lt;999,ROUND(100/AF81*AG81-100,1),IF(ROUND(100/AF81*AG81-100,1)&gt;999,999,-999)))</f>
        <v>13.7</v>
      </c>
      <c r="AI81" s="196">
        <v>32866.904999999999</v>
      </c>
      <c r="AJ81" s="448">
        <v>38387.489000000001</v>
      </c>
      <c r="AK81" s="338">
        <f t="shared" si="21"/>
        <v>16.8</v>
      </c>
      <c r="AL81" s="196">
        <v>107734</v>
      </c>
      <c r="AM81" s="448">
        <v>124900</v>
      </c>
      <c r="AN81" s="338">
        <f t="shared" si="29"/>
        <v>15.9</v>
      </c>
      <c r="AO81" s="446">
        <f t="shared" ref="AO81:AO89" si="46">B81+H81+K81+N81+Q81+W81+E81+Z81+AC81+AI81+AL81</f>
        <v>363182.54194814997</v>
      </c>
      <c r="AP81" s="446">
        <f t="shared" ref="AP81:AP89" si="47">C81+I81+L81+O81+R81+X81+F81+AA81+AD81+AJ81+AM81</f>
        <v>413858.76564415003</v>
      </c>
      <c r="AQ81" s="338">
        <f t="shared" si="24"/>
        <v>14</v>
      </c>
      <c r="AR81" s="446">
        <f t="shared" ref="AR81:AR89" si="48">B81+H81+K81+N81+Q81+T81+W81+E81+Z81+AC81+AF81+AI81+AL81</f>
        <v>365560.18627206993</v>
      </c>
      <c r="AS81" s="446">
        <f t="shared" ref="AS81:AS89" si="49">C81+I81+L81+O81+R81+U81+X81+F81+AA81+AD81+AG81+AJ81+AM81</f>
        <v>416561.02442510007</v>
      </c>
      <c r="AT81" s="449">
        <f t="shared" si="27"/>
        <v>14</v>
      </c>
      <c r="AU81" s="495"/>
      <c r="AV81" s="495"/>
      <c r="AW81" s="499"/>
    </row>
    <row r="82" spans="1:49" s="468" customFormat="1" ht="20.100000000000001" customHeight="1" x14ac:dyDescent="0.3">
      <c r="A82" s="462" t="s">
        <v>400</v>
      </c>
      <c r="B82" s="196"/>
      <c r="C82" s="448"/>
      <c r="D82" s="338"/>
      <c r="E82" s="196"/>
      <c r="F82" s="448"/>
      <c r="G82" s="338"/>
      <c r="H82" s="196"/>
      <c r="I82" s="448"/>
      <c r="J82" s="338"/>
      <c r="K82" s="448"/>
      <c r="L82" s="448"/>
      <c r="M82" s="338"/>
      <c r="N82" s="196"/>
      <c r="O82" s="448"/>
      <c r="P82" s="338"/>
      <c r="Q82" s="196"/>
      <c r="R82" s="448"/>
      <c r="S82" s="338"/>
      <c r="T82" s="196"/>
      <c r="U82" s="448"/>
      <c r="V82" s="338"/>
      <c r="W82" s="196">
        <v>99.874167999999997</v>
      </c>
      <c r="X82" s="448">
        <v>111.006501</v>
      </c>
      <c r="Y82" s="338"/>
      <c r="Z82" s="196"/>
      <c r="AA82" s="448"/>
      <c r="AB82" s="338" t="str">
        <f t="shared" si="28"/>
        <v xml:space="preserve">    ---- </v>
      </c>
      <c r="AC82" s="196"/>
      <c r="AD82" s="448"/>
      <c r="AE82" s="338"/>
      <c r="AF82" s="196"/>
      <c r="AG82" s="448"/>
      <c r="AH82" s="338"/>
      <c r="AI82" s="196"/>
      <c r="AJ82" s="448">
        <v>0</v>
      </c>
      <c r="AK82" s="338" t="str">
        <f t="shared" si="21"/>
        <v xml:space="preserve">    ---- </v>
      </c>
      <c r="AL82" s="196"/>
      <c r="AM82" s="448"/>
      <c r="AN82" s="338" t="str">
        <f t="shared" si="29"/>
        <v xml:space="preserve">    ---- </v>
      </c>
      <c r="AO82" s="446">
        <f t="shared" si="46"/>
        <v>99.874167999999997</v>
      </c>
      <c r="AP82" s="446">
        <f t="shared" si="47"/>
        <v>111.006501</v>
      </c>
      <c r="AQ82" s="338">
        <f t="shared" si="24"/>
        <v>11.1</v>
      </c>
      <c r="AR82" s="446">
        <f t="shared" si="48"/>
        <v>99.874167999999997</v>
      </c>
      <c r="AS82" s="446">
        <f t="shared" si="49"/>
        <v>111.006501</v>
      </c>
      <c r="AT82" s="449">
        <f t="shared" si="27"/>
        <v>11.1</v>
      </c>
      <c r="AU82" s="495"/>
      <c r="AV82" s="495"/>
      <c r="AW82" s="499"/>
    </row>
    <row r="83" spans="1:49" s="468" customFormat="1" ht="20.100000000000001" customHeight="1" x14ac:dyDescent="0.3">
      <c r="A83" s="462" t="s">
        <v>401</v>
      </c>
      <c r="B83" s="619">
        <v>62.332999999999998</v>
      </c>
      <c r="C83" s="338">
        <v>64.41</v>
      </c>
      <c r="D83" s="338">
        <f>IF(B83=0, "    ---- ", IF(ABS(ROUND(100/B83*C83-100,1))&lt;999,ROUND(100/B83*C83-100,1),IF(ROUND(100/B83*C83-100,1)&gt;999,999,-999)))</f>
        <v>3.3</v>
      </c>
      <c r="E83" s="619">
        <v>14.5</v>
      </c>
      <c r="F83" s="338">
        <v>19.100000000000001</v>
      </c>
      <c r="G83" s="338">
        <f>IF(E83=0, "    ---- ", IF(ABS(ROUND(100/E83*F83-100,1))&lt;999,ROUND(100/E83*F83-100,1),IF(ROUND(100/E83*F83-100,1)&gt;999,999,-999)))</f>
        <v>31.7</v>
      </c>
      <c r="H83" s="619">
        <v>661.41200000000003</v>
      </c>
      <c r="I83" s="338">
        <v>553.05899999999997</v>
      </c>
      <c r="J83" s="338">
        <f t="shared" si="19"/>
        <v>-16.399999999999999</v>
      </c>
      <c r="K83" s="338"/>
      <c r="L83" s="338"/>
      <c r="M83" s="338"/>
      <c r="N83" s="619"/>
      <c r="O83" s="338"/>
      <c r="P83" s="338"/>
      <c r="Q83" s="619">
        <v>293.42399999999998</v>
      </c>
      <c r="R83" s="338">
        <v>265.19</v>
      </c>
      <c r="S83" s="338">
        <f>IF(Q83=0, "    ---- ", IF(ABS(ROUND(100/Q83*R83-100,1))&lt;999,ROUND(100/Q83*R83-100,1),IF(ROUND(100/Q83*R83-100,1)&gt;999,999,-999)))</f>
        <v>-9.6</v>
      </c>
      <c r="T83" s="619"/>
      <c r="U83" s="338"/>
      <c r="V83" s="338"/>
      <c r="W83" s="619">
        <v>389.04245300000002</v>
      </c>
      <c r="X83" s="338">
        <v>428.31575800000002</v>
      </c>
      <c r="Y83" s="338">
        <f t="shared" si="45"/>
        <v>10.1</v>
      </c>
      <c r="Z83" s="619"/>
      <c r="AA83" s="338"/>
      <c r="AB83" s="338"/>
      <c r="AC83" s="619"/>
      <c r="AD83" s="338"/>
      <c r="AE83" s="338"/>
      <c r="AF83" s="619"/>
      <c r="AG83" s="338"/>
      <c r="AH83" s="338"/>
      <c r="AI83" s="619">
        <v>502.89100000000002</v>
      </c>
      <c r="AJ83" s="338">
        <v>582.32399999999996</v>
      </c>
      <c r="AK83" s="338">
        <f t="shared" si="21"/>
        <v>15.8</v>
      </c>
      <c r="AL83" s="619"/>
      <c r="AM83" s="338"/>
      <c r="AN83" s="338" t="str">
        <f t="shared" si="29"/>
        <v xml:space="preserve">    ---- </v>
      </c>
      <c r="AO83" s="446">
        <f t="shared" si="46"/>
        <v>1923.602453</v>
      </c>
      <c r="AP83" s="446">
        <f t="shared" si="47"/>
        <v>1912.3987579999998</v>
      </c>
      <c r="AQ83" s="338">
        <f t="shared" si="24"/>
        <v>-0.6</v>
      </c>
      <c r="AR83" s="446">
        <f t="shared" si="48"/>
        <v>1923.602453</v>
      </c>
      <c r="AS83" s="446">
        <f t="shared" si="49"/>
        <v>1912.3987579999998</v>
      </c>
      <c r="AT83" s="449">
        <f t="shared" si="27"/>
        <v>-0.6</v>
      </c>
      <c r="AU83" s="495"/>
      <c r="AV83" s="495"/>
      <c r="AW83" s="499"/>
    </row>
    <row r="84" spans="1:49" s="468" customFormat="1" ht="20.100000000000001" customHeight="1" x14ac:dyDescent="0.3">
      <c r="A84" s="462" t="s">
        <v>243</v>
      </c>
      <c r="B84" s="196"/>
      <c r="C84" s="448"/>
      <c r="D84" s="448"/>
      <c r="E84" s="196"/>
      <c r="F84" s="448"/>
      <c r="G84" s="338"/>
      <c r="H84" s="196"/>
      <c r="I84" s="448"/>
      <c r="J84" s="448"/>
      <c r="K84" s="448"/>
      <c r="L84" s="448"/>
      <c r="M84" s="448"/>
      <c r="N84" s="196"/>
      <c r="O84" s="448"/>
      <c r="P84" s="448"/>
      <c r="Q84" s="196"/>
      <c r="R84" s="448"/>
      <c r="S84" s="437"/>
      <c r="T84" s="196"/>
      <c r="U84" s="448"/>
      <c r="V84" s="338"/>
      <c r="W84" s="196">
        <v>138.03692100000001</v>
      </c>
      <c r="X84" s="448">
        <v>-32.287334999999999</v>
      </c>
      <c r="Y84" s="338"/>
      <c r="Z84" s="196"/>
      <c r="AA84" s="448"/>
      <c r="AB84" s="338"/>
      <c r="AC84" s="196"/>
      <c r="AD84" s="448"/>
      <c r="AE84" s="338"/>
      <c r="AF84" s="196"/>
      <c r="AG84" s="448"/>
      <c r="AH84" s="448"/>
      <c r="AI84" s="196"/>
      <c r="AJ84" s="448"/>
      <c r="AK84" s="338"/>
      <c r="AL84" s="196"/>
      <c r="AM84" s="448"/>
      <c r="AN84" s="338"/>
      <c r="AO84" s="446">
        <f t="shared" si="46"/>
        <v>138.03692100000001</v>
      </c>
      <c r="AP84" s="446">
        <f t="shared" si="47"/>
        <v>-32.287334999999999</v>
      </c>
      <c r="AQ84" s="338">
        <f t="shared" si="24"/>
        <v>-123.4</v>
      </c>
      <c r="AR84" s="446">
        <f t="shared" si="48"/>
        <v>138.03692100000001</v>
      </c>
      <c r="AS84" s="446">
        <f t="shared" si="49"/>
        <v>-32.287334999999999</v>
      </c>
      <c r="AT84" s="449">
        <f t="shared" si="27"/>
        <v>-123.4</v>
      </c>
      <c r="AU84" s="495"/>
      <c r="AV84" s="495"/>
      <c r="AW84" s="499"/>
    </row>
    <row r="85" spans="1:49" s="468" customFormat="1" ht="20.100000000000001" customHeight="1" x14ac:dyDescent="0.3">
      <c r="A85" s="463" t="s">
        <v>246</v>
      </c>
      <c r="B85" s="196">
        <f>SUM(B81:B84)</f>
        <v>19693.741999999998</v>
      </c>
      <c r="C85" s="448">
        <f>SUM(C81:C84)</f>
        <v>22186.844000000001</v>
      </c>
      <c r="D85" s="448">
        <f>IF(B85=0, "    ---- ", IF(ABS(ROUND(100/B85*C85-100,1))&lt;999,ROUND(100/B85*C85-100,1),IF(ROUND(100/B85*C85-100,1)&gt;999,999,-999)))</f>
        <v>12.7</v>
      </c>
      <c r="E85" s="196">
        <f>SUM(E81:E84)</f>
        <v>4520.8</v>
      </c>
      <c r="F85" s="448">
        <f>SUM(F81:F84)</f>
        <v>5573.3</v>
      </c>
      <c r="G85" s="338">
        <f>IF(E85=0, "    ---- ", IF(ABS(ROUND(100/E85*F85-100,1))&lt;999,ROUND(100/E85*F85-100,1),IF(ROUND(100/E85*F85-100,1)&gt;999,999,-999)))</f>
        <v>23.3</v>
      </c>
      <c r="H85" s="196">
        <f>SUM(H81:H84)</f>
        <v>92856.89</v>
      </c>
      <c r="I85" s="448">
        <f>SUM(I81:I84)</f>
        <v>100331.928</v>
      </c>
      <c r="J85" s="448">
        <f t="shared" si="19"/>
        <v>8.1</v>
      </c>
      <c r="K85" s="448"/>
      <c r="L85" s="448">
        <f>SUM(L81:L84)</f>
        <v>0</v>
      </c>
      <c r="M85" s="448" t="str">
        <f>IF(K85=0, "    ---- ", IF(ABS(ROUND(100/K85*L85-100,1))&lt;999,ROUND(100/K85*L85-100,1),IF(ROUND(100/K85*L85-100,1)&gt;999,999,-999)))</f>
        <v xml:space="preserve">    ---- </v>
      </c>
      <c r="N85" s="196">
        <f>SUM(N81:N84)</f>
        <v>3966.9</v>
      </c>
      <c r="O85" s="448">
        <f>SUM(O81:O84)</f>
        <v>4512.9319999999998</v>
      </c>
      <c r="P85" s="448">
        <f>IF(N85=0, "    ---- ", IF(ABS(ROUND(100/N85*O85-100,1))&lt;999,ROUND(100/N85*O85-100,1),IF(ROUND(100/N85*O85-100,1)&gt;999,999,-999)))</f>
        <v>13.8</v>
      </c>
      <c r="Q85" s="196">
        <f>SUM(Q81:Q84)</f>
        <v>28289.545999999998</v>
      </c>
      <c r="R85" s="448">
        <f>SUM(R81:R84)</f>
        <v>31528.93</v>
      </c>
      <c r="S85" s="437">
        <f>IF(Q85=0, "    ---- ", IF(ABS(ROUND(100/Q85*R85-100,1))&lt;999,ROUND(100/Q85*R85-100,1),IF(ROUND(100/Q85*R85-100,1)&gt;999,999,-999)))</f>
        <v>11.5</v>
      </c>
      <c r="T85" s="196"/>
      <c r="U85" s="448">
        <f>SUM(U81:U84)</f>
        <v>0</v>
      </c>
      <c r="V85" s="338"/>
      <c r="W85" s="196">
        <v>2644.5414901499998</v>
      </c>
      <c r="X85" s="448">
        <v>1974.7165681500001</v>
      </c>
      <c r="Y85" s="338">
        <f t="shared" si="45"/>
        <v>-25.3</v>
      </c>
      <c r="Z85" s="196">
        <f>SUM(Z81:Z84)</f>
        <v>72267.839999999997</v>
      </c>
      <c r="AA85" s="448">
        <f>SUM(AA81:AA84)</f>
        <v>85871.42</v>
      </c>
      <c r="AB85" s="338">
        <f t="shared" si="28"/>
        <v>18.8</v>
      </c>
      <c r="AC85" s="196"/>
      <c r="AD85" s="448">
        <f>SUM(AD81:AD84)</f>
        <v>0</v>
      </c>
      <c r="AE85" s="338"/>
      <c r="AF85" s="196">
        <f>SUM(AF81:AF84)</f>
        <v>2377.6443239199998</v>
      </c>
      <c r="AG85" s="448">
        <f>SUM(AG81:AG84)</f>
        <v>2702.2587809500001</v>
      </c>
      <c r="AH85" s="448">
        <f>IF(AF85=0, "    ---- ", IF(ABS(ROUND(100/AF85*AG85-100,1))&lt;999,ROUND(100/AF85*AG85-100,1),IF(ROUND(100/AF85*AG85-100,1)&gt;999,999,-999)))</f>
        <v>13.7</v>
      </c>
      <c r="AI85" s="196">
        <f>SUM(AI81:AI84)</f>
        <v>33369.796000000002</v>
      </c>
      <c r="AJ85" s="448">
        <f>SUM(AJ81:AJ84)</f>
        <v>38969.813000000002</v>
      </c>
      <c r="AK85" s="338">
        <f t="shared" si="21"/>
        <v>16.8</v>
      </c>
      <c r="AL85" s="196">
        <f>SUM(AL81:AL84)</f>
        <v>107734</v>
      </c>
      <c r="AM85" s="448">
        <f>SUM(AM81:AM84)</f>
        <v>124900</v>
      </c>
      <c r="AN85" s="338">
        <f t="shared" si="29"/>
        <v>15.9</v>
      </c>
      <c r="AO85" s="446">
        <f t="shared" si="46"/>
        <v>365344.05549015</v>
      </c>
      <c r="AP85" s="446">
        <f t="shared" si="47"/>
        <v>415849.88356814999</v>
      </c>
      <c r="AQ85" s="338">
        <f t="shared" si="24"/>
        <v>13.8</v>
      </c>
      <c r="AR85" s="446">
        <f t="shared" si="48"/>
        <v>367721.69981406996</v>
      </c>
      <c r="AS85" s="446">
        <f t="shared" si="49"/>
        <v>418552.14234909997</v>
      </c>
      <c r="AT85" s="449">
        <f t="shared" si="27"/>
        <v>13.8</v>
      </c>
      <c r="AU85" s="495"/>
      <c r="AV85" s="495"/>
      <c r="AW85" s="499"/>
    </row>
    <row r="86" spans="1:49" s="468" customFormat="1" ht="20.100000000000001" customHeight="1" x14ac:dyDescent="0.3">
      <c r="A86" s="462" t="s">
        <v>247</v>
      </c>
      <c r="B86" s="196">
        <v>54.418999999999997</v>
      </c>
      <c r="C86" s="448">
        <v>55.639000000000003</v>
      </c>
      <c r="D86" s="338">
        <f>IF(B86=0, "    ---- ", IF(ABS(ROUND(100/B86*C86-100,1))&lt;999,ROUND(100/B86*C86-100,1),IF(ROUND(100/B86*C86-100,1)&gt;999,999,-999)))</f>
        <v>2.2000000000000002</v>
      </c>
      <c r="E86" s="196">
        <v>9.6999999999999993</v>
      </c>
      <c r="F86" s="448">
        <v>10.7</v>
      </c>
      <c r="G86" s="338">
        <f>IF(E86=0, "    ---- ", IF(ABS(ROUND(100/E86*F86-100,1))&lt;999,ROUND(100/E86*F86-100,1),IF(ROUND(100/E86*F86-100,1)&gt;999,999,-999)))</f>
        <v>10.3</v>
      </c>
      <c r="H86" s="196">
        <v>1301.1110000000001</v>
      </c>
      <c r="I86" s="448">
        <v>1077.8130000000001</v>
      </c>
      <c r="J86" s="338">
        <f t="shared" si="19"/>
        <v>-17.2</v>
      </c>
      <c r="K86" s="448"/>
      <c r="L86" s="448">
        <v>50.847670279999804</v>
      </c>
      <c r="M86" s="338" t="str">
        <f>IF(K86=0, "    ---- ", IF(ABS(ROUND(100/K86*L86-100,1))&lt;999,ROUND(100/K86*L86-100,1),IF(ROUND(100/K86*L86-100,1)&gt;999,999,-999)))</f>
        <v xml:space="preserve">    ---- </v>
      </c>
      <c r="N86" s="196"/>
      <c r="O86" s="448"/>
      <c r="P86" s="338" t="str">
        <f>IF(N86=0, "    ---- ", IF(ABS(ROUND(100/N86*O86-100,1))&lt;999,ROUND(100/N86*O86-100,1),IF(ROUND(100/N86*O86-100,1)&gt;999,999,-999)))</f>
        <v xml:space="preserve">    ---- </v>
      </c>
      <c r="Q86" s="196">
        <v>81.98</v>
      </c>
      <c r="R86" s="448">
        <v>114.28</v>
      </c>
      <c r="S86" s="338">
        <f>IF(Q86=0, "    ---- ", IF(ABS(ROUND(100/Q86*R86-100,1))&lt;999,ROUND(100/Q86*R86-100,1),IF(ROUND(100/Q86*R86-100,1)&gt;999,999,-999)))</f>
        <v>39.4</v>
      </c>
      <c r="T86" s="196">
        <v>1.7814554</v>
      </c>
      <c r="U86" s="448">
        <v>3.76374539</v>
      </c>
      <c r="V86" s="338">
        <f>IF(T86=0, "    ---- ", IF(ABS(ROUND(100/T86*U86-100,1))&lt;999,ROUND(100/T86*U86-100,1),IF(ROUND(100/T86*U86-100,1)&gt;999,999,-999)))</f>
        <v>111.3</v>
      </c>
      <c r="W86" s="196">
        <v>1923.33755019</v>
      </c>
      <c r="X86" s="448">
        <v>2342.88387917</v>
      </c>
      <c r="Y86" s="338">
        <f t="shared" si="45"/>
        <v>21.8</v>
      </c>
      <c r="Z86" s="196">
        <v>881.41</v>
      </c>
      <c r="AA86" s="448">
        <v>543.54999999999995</v>
      </c>
      <c r="AB86" s="338">
        <f t="shared" si="28"/>
        <v>-38.299999999999997</v>
      </c>
      <c r="AC86" s="196">
        <f>1123+163+49-1</f>
        <v>1334</v>
      </c>
      <c r="AD86" s="448">
        <f>891+579+68</f>
        <v>1538</v>
      </c>
      <c r="AE86" s="338">
        <f>IF(AC86=0, "    ---- ", IF(ABS(ROUND(100/AC86*AD86-100,1))&lt;999,ROUND(100/AC86*AD86-100,1),IF(ROUND(100/AC86*AD86-100,1)&gt;999,999,-999)))</f>
        <v>15.3</v>
      </c>
      <c r="AF86" s="196"/>
      <c r="AG86" s="448"/>
      <c r="AH86" s="338"/>
      <c r="AI86" s="196">
        <v>1073.9259999999999</v>
      </c>
      <c r="AJ86" s="448">
        <v>714.81799999999998</v>
      </c>
      <c r="AK86" s="338">
        <f t="shared" si="21"/>
        <v>-33.4</v>
      </c>
      <c r="AL86" s="196">
        <v>12</v>
      </c>
      <c r="AM86" s="448">
        <v>7</v>
      </c>
      <c r="AN86" s="338">
        <f t="shared" si="29"/>
        <v>-41.7</v>
      </c>
      <c r="AO86" s="446">
        <f t="shared" si="46"/>
        <v>6671.8835501899994</v>
      </c>
      <c r="AP86" s="446">
        <f t="shared" si="47"/>
        <v>6455.5315494500001</v>
      </c>
      <c r="AQ86" s="338">
        <f t="shared" si="24"/>
        <v>-3.2</v>
      </c>
      <c r="AR86" s="446">
        <f t="shared" si="48"/>
        <v>6673.6650055899991</v>
      </c>
      <c r="AS86" s="446">
        <f t="shared" si="49"/>
        <v>6459.2952948399998</v>
      </c>
      <c r="AT86" s="449">
        <f t="shared" si="27"/>
        <v>-3.2</v>
      </c>
      <c r="AU86" s="495"/>
      <c r="AV86" s="495"/>
      <c r="AW86" s="499"/>
    </row>
    <row r="87" spans="1:49" s="468" customFormat="1" ht="20.100000000000001" customHeight="1" x14ac:dyDescent="0.3">
      <c r="A87" s="462" t="s">
        <v>248</v>
      </c>
      <c r="B87" s="196"/>
      <c r="C87" s="448"/>
      <c r="D87" s="338"/>
      <c r="E87" s="196"/>
      <c r="F87" s="448"/>
      <c r="G87" s="338"/>
      <c r="H87" s="196"/>
      <c r="I87" s="448"/>
      <c r="J87" s="338"/>
      <c r="K87" s="448"/>
      <c r="L87" s="448">
        <v>364.41251901999999</v>
      </c>
      <c r="M87" s="338"/>
      <c r="N87" s="196"/>
      <c r="O87" s="448"/>
      <c r="P87" s="338"/>
      <c r="Q87" s="196"/>
      <c r="R87" s="448"/>
      <c r="S87" s="338"/>
      <c r="T87" s="196"/>
      <c r="U87" s="448"/>
      <c r="V87" s="338"/>
      <c r="W87" s="196">
        <v>0</v>
      </c>
      <c r="X87" s="448">
        <v>0</v>
      </c>
      <c r="Y87" s="338"/>
      <c r="Z87" s="196">
        <v>0</v>
      </c>
      <c r="AA87" s="448">
        <v>0</v>
      </c>
      <c r="AB87" s="338"/>
      <c r="AC87" s="196"/>
      <c r="AD87" s="448"/>
      <c r="AE87" s="338"/>
      <c r="AF87" s="196"/>
      <c r="AG87" s="448"/>
      <c r="AH87" s="338"/>
      <c r="AI87" s="196">
        <v>363.81700000000001</v>
      </c>
      <c r="AJ87" s="448">
        <v>0</v>
      </c>
      <c r="AK87" s="338">
        <f t="shared" si="21"/>
        <v>-100</v>
      </c>
      <c r="AL87" s="196"/>
      <c r="AM87" s="448"/>
      <c r="AN87" s="338"/>
      <c r="AO87" s="446">
        <f t="shared" si="46"/>
        <v>363.81700000000001</v>
      </c>
      <c r="AP87" s="446">
        <f t="shared" si="47"/>
        <v>364.41251901999999</v>
      </c>
      <c r="AQ87" s="338">
        <f t="shared" si="24"/>
        <v>0.2</v>
      </c>
      <c r="AR87" s="446">
        <f t="shared" si="48"/>
        <v>363.81700000000001</v>
      </c>
      <c r="AS87" s="446">
        <f t="shared" si="49"/>
        <v>364.41251901999999</v>
      </c>
      <c r="AT87" s="449">
        <f t="shared" si="27"/>
        <v>0.2</v>
      </c>
      <c r="AU87" s="495"/>
      <c r="AV87" s="495"/>
      <c r="AW87" s="499"/>
    </row>
    <row r="88" spans="1:49" s="468" customFormat="1" ht="20.100000000000001" customHeight="1" x14ac:dyDescent="0.3">
      <c r="A88" s="462" t="s">
        <v>249</v>
      </c>
      <c r="B88" s="196">
        <v>65.730999999999995</v>
      </c>
      <c r="C88" s="448">
        <v>59.323</v>
      </c>
      <c r="D88" s="448">
        <f>IF(B88=0, "    ---- ", IF(ABS(ROUND(100/B88*C88-100,1))&lt;999,ROUND(100/B88*C88-100,1),IF(ROUND(100/B88*C88-100,1)&gt;999,999,-999)))</f>
        <v>-9.6999999999999993</v>
      </c>
      <c r="E88" s="196">
        <v>7.2</v>
      </c>
      <c r="F88" s="448">
        <v>7</v>
      </c>
      <c r="G88" s="338">
        <f>IF(E88=0, "    ---- ", IF(ABS(ROUND(100/E88*F88-100,1))&lt;999,ROUND(100/E88*F88-100,1),IF(ROUND(100/E88*F88-100,1)&gt;999,999,-999)))</f>
        <v>-2.8</v>
      </c>
      <c r="H88" s="196">
        <v>1377.838</v>
      </c>
      <c r="I88" s="448">
        <v>1198.8440000000001</v>
      </c>
      <c r="J88" s="448">
        <f t="shared" si="19"/>
        <v>-13</v>
      </c>
      <c r="K88" s="448"/>
      <c r="L88" s="448">
        <v>286.79351023999999</v>
      </c>
      <c r="M88" s="448"/>
      <c r="N88" s="196">
        <v>40.200000000000003</v>
      </c>
      <c r="O88" s="448">
        <v>117.43</v>
      </c>
      <c r="P88" s="448"/>
      <c r="Q88" s="196">
        <v>113.44199999999999</v>
      </c>
      <c r="R88" s="448">
        <v>169.16</v>
      </c>
      <c r="S88" s="437">
        <f>IF(Q88=0, "    ---- ", IF(ABS(ROUND(100/Q88*R88-100,1))&lt;999,ROUND(100/Q88*R88-100,1),IF(ROUND(100/Q88*R88-100,1)&gt;999,999,-999)))</f>
        <v>49.1</v>
      </c>
      <c r="T88" s="196">
        <v>0.89946952000000002</v>
      </c>
      <c r="U88" s="448">
        <v>0.94168580999999996</v>
      </c>
      <c r="V88" s="338">
        <f>IF(T88=0, "    ---- ", IF(ABS(ROUND(100/T88*U88-100,1))&lt;999,ROUND(100/T88*U88-100,1),IF(ROUND(100/T88*U88-100,1)&gt;999,999,-999)))</f>
        <v>4.7</v>
      </c>
      <c r="W88" s="196">
        <v>9588.6514037199995</v>
      </c>
      <c r="X88" s="448">
        <v>13085.65013622</v>
      </c>
      <c r="Y88" s="338">
        <f t="shared" si="45"/>
        <v>36.5</v>
      </c>
      <c r="Z88" s="196">
        <v>287.10000000000002</v>
      </c>
      <c r="AA88" s="448">
        <v>578.71</v>
      </c>
      <c r="AB88" s="338">
        <f t="shared" si="28"/>
        <v>101.6</v>
      </c>
      <c r="AC88" s="196"/>
      <c r="AD88" s="448"/>
      <c r="AE88" s="338" t="str">
        <f>IF(AC88=0, "    ---- ", IF(ABS(ROUND(100/AC88*AD88-100,1))&lt;999,ROUND(100/AC88*AD88-100,1),IF(ROUND(100/AC88*AD88-100,1)&gt;999,999,-999)))</f>
        <v xml:space="preserve">    ---- </v>
      </c>
      <c r="AF88" s="196">
        <v>12.77518117</v>
      </c>
      <c r="AG88" s="448">
        <v>9.0195672099999999</v>
      </c>
      <c r="AH88" s="338">
        <f>IF(AF88=0, "    ---- ", IF(ABS(ROUND(100/AF88*AG88-100,1))&lt;999,ROUND(100/AF88*AG88-100,1),IF(ROUND(100/AF88*AG88-100,1)&gt;999,999,-999)))</f>
        <v>-29.4</v>
      </c>
      <c r="AI88" s="196">
        <v>600.51099999999997</v>
      </c>
      <c r="AJ88" s="448">
        <v>723.42399999999998</v>
      </c>
      <c r="AK88" s="338">
        <f t="shared" si="21"/>
        <v>20.5</v>
      </c>
      <c r="AL88" s="196">
        <v>3363</v>
      </c>
      <c r="AM88" s="448">
        <v>10118</v>
      </c>
      <c r="AN88" s="338">
        <f t="shared" si="29"/>
        <v>200.9</v>
      </c>
      <c r="AO88" s="446">
        <f t="shared" si="46"/>
        <v>15443.67340372</v>
      </c>
      <c r="AP88" s="446">
        <f t="shared" si="47"/>
        <v>26344.33464646</v>
      </c>
      <c r="AQ88" s="338">
        <f t="shared" si="24"/>
        <v>70.599999999999994</v>
      </c>
      <c r="AR88" s="446">
        <f t="shared" si="48"/>
        <v>15457.34805441</v>
      </c>
      <c r="AS88" s="446">
        <f t="shared" si="49"/>
        <v>26354.295899479999</v>
      </c>
      <c r="AT88" s="449">
        <f t="shared" si="27"/>
        <v>70.5</v>
      </c>
      <c r="AU88" s="495"/>
      <c r="AV88" s="495"/>
      <c r="AW88" s="499"/>
    </row>
    <row r="89" spans="1:49" s="468" customFormat="1" ht="20.100000000000001" customHeight="1" x14ac:dyDescent="0.3">
      <c r="A89" s="462" t="s">
        <v>250</v>
      </c>
      <c r="B89" s="196">
        <v>37.896000000000001</v>
      </c>
      <c r="C89" s="448">
        <v>35.72</v>
      </c>
      <c r="D89" s="448">
        <f>IF(B89=0, "    ---- ", IF(ABS(ROUND(100/B89*C89-100,1))&lt;999,ROUND(100/B89*C89-100,1),IF(ROUND(100/B89*C89-100,1)&gt;999,999,-999)))</f>
        <v>-5.7</v>
      </c>
      <c r="E89" s="196">
        <v>5.0999999999999996</v>
      </c>
      <c r="F89" s="448">
        <v>10</v>
      </c>
      <c r="G89" s="338">
        <f>IF(E89=0, "    ---- ", IF(ABS(ROUND(100/E89*F89-100,1))&lt;999,ROUND(100/E89*F89-100,1),IF(ROUND(100/E89*F89-100,1)&gt;999,999,-999)))</f>
        <v>96.1</v>
      </c>
      <c r="H89" s="196">
        <v>146.352</v>
      </c>
      <c r="I89" s="448">
        <v>102.78</v>
      </c>
      <c r="J89" s="448">
        <f t="shared" si="19"/>
        <v>-29.8</v>
      </c>
      <c r="K89" s="448"/>
      <c r="L89" s="448">
        <v>1.1733151899999998</v>
      </c>
      <c r="M89" s="448" t="str">
        <f>IF(K89=0, "    ---- ", IF(ABS(ROUND(100/K89*L89-100,1))&lt;999,ROUND(100/K89*L89-100,1),IF(ROUND(100/K89*L89-100,1)&gt;999,999,-999)))</f>
        <v xml:space="preserve">    ---- </v>
      </c>
      <c r="N89" s="196">
        <v>16.399999999999999</v>
      </c>
      <c r="O89" s="448">
        <v>18.754999999999999</v>
      </c>
      <c r="P89" s="448">
        <f>IF(N89=0, "    ---- ", IF(ABS(ROUND(100/N89*O89-100,1))&lt;999,ROUND(100/N89*O89-100,1),IF(ROUND(100/N89*O89-100,1)&gt;999,999,-999)))</f>
        <v>14.4</v>
      </c>
      <c r="Q89" s="196">
        <v>16.977</v>
      </c>
      <c r="R89" s="448">
        <v>21</v>
      </c>
      <c r="S89" s="338">
        <f>IF(Q89=0, "    ---- ", IF(ABS(ROUND(100/Q89*R89-100,1))&lt;999,ROUND(100/Q89*R89-100,1),IF(ROUND(100/Q89*R89-100,1)&gt;999,999,-999)))</f>
        <v>23.7</v>
      </c>
      <c r="T89" s="196"/>
      <c r="U89" s="448"/>
      <c r="V89" s="338" t="str">
        <f>IF(T89=0, "    ---- ", IF(ABS(ROUND(100/T89*U89-100,1))&lt;999,ROUND(100/T89*U89-100,1),IF(ROUND(100/T89*U89-100,1)&gt;999,999,-999)))</f>
        <v xml:space="preserve">    ---- </v>
      </c>
      <c r="W89" s="196">
        <v>82.930822860000006</v>
      </c>
      <c r="X89" s="448">
        <v>81.032003379999992</v>
      </c>
      <c r="Y89" s="338">
        <f t="shared" si="45"/>
        <v>-2.2999999999999998</v>
      </c>
      <c r="Z89" s="196">
        <v>43.839999999999996</v>
      </c>
      <c r="AA89" s="448">
        <v>65.180000000000007</v>
      </c>
      <c r="AB89" s="338">
        <f t="shared" si="28"/>
        <v>48.7</v>
      </c>
      <c r="AC89" s="196"/>
      <c r="AD89" s="448"/>
      <c r="AE89" s="338" t="str">
        <f>IF(AC89=0, "    ---- ", IF(ABS(ROUND(100/AC89*AD89-100,1))&lt;999,ROUND(100/AC89*AD89-100,1),IF(ROUND(100/AC89*AD89-100,1)&gt;999,999,-999)))</f>
        <v xml:space="preserve">    ---- </v>
      </c>
      <c r="AF89" s="196">
        <v>0.27700697000000002</v>
      </c>
      <c r="AG89" s="448">
        <v>0.26263509000000002</v>
      </c>
      <c r="AH89" s="338"/>
      <c r="AI89" s="196">
        <v>79.826999999999998</v>
      </c>
      <c r="AJ89" s="448">
        <v>40.804000000000002</v>
      </c>
      <c r="AK89" s="338">
        <f t="shared" si="21"/>
        <v>-48.9</v>
      </c>
      <c r="AL89" s="196">
        <v>158</v>
      </c>
      <c r="AM89" s="448">
        <v>140</v>
      </c>
      <c r="AN89" s="338">
        <f t="shared" si="29"/>
        <v>-11.4</v>
      </c>
      <c r="AO89" s="446">
        <f t="shared" si="46"/>
        <v>587.32282286000009</v>
      </c>
      <c r="AP89" s="446">
        <f t="shared" si="47"/>
        <v>516.44431857000006</v>
      </c>
      <c r="AQ89" s="338">
        <f t="shared" si="24"/>
        <v>-12.1</v>
      </c>
      <c r="AR89" s="446">
        <f t="shared" si="48"/>
        <v>587.59982983000009</v>
      </c>
      <c r="AS89" s="446">
        <f t="shared" si="49"/>
        <v>516.70695366000007</v>
      </c>
      <c r="AT89" s="449">
        <f t="shared" si="27"/>
        <v>-12.1</v>
      </c>
      <c r="AU89" s="495"/>
      <c r="AV89" s="495"/>
      <c r="AW89" s="499"/>
    </row>
    <row r="90" spans="1:49" s="468" customFormat="1" ht="20.100000000000001" customHeight="1" x14ac:dyDescent="0.3">
      <c r="A90" s="462"/>
      <c r="B90" s="196"/>
      <c r="C90" s="448"/>
      <c r="D90" s="338"/>
      <c r="E90" s="196"/>
      <c r="F90" s="448"/>
      <c r="G90" s="338"/>
      <c r="H90" s="196"/>
      <c r="I90" s="448"/>
      <c r="J90" s="338"/>
      <c r="K90" s="448"/>
      <c r="L90" s="448"/>
      <c r="M90" s="338"/>
      <c r="N90" s="196"/>
      <c r="O90" s="448"/>
      <c r="P90" s="338"/>
      <c r="Q90" s="196"/>
      <c r="R90" s="448"/>
      <c r="S90" s="338"/>
      <c r="T90" s="196"/>
      <c r="U90" s="448"/>
      <c r="V90" s="338"/>
      <c r="W90" s="196"/>
      <c r="X90" s="448"/>
      <c r="Y90" s="338"/>
      <c r="Z90" s="196"/>
      <c r="AA90" s="448"/>
      <c r="AB90" s="338"/>
      <c r="AC90" s="196"/>
      <c r="AD90" s="448"/>
      <c r="AE90" s="338"/>
      <c r="AF90" s="196"/>
      <c r="AG90" s="448"/>
      <c r="AH90" s="338"/>
      <c r="AI90" s="196"/>
      <c r="AJ90" s="448"/>
      <c r="AK90" s="338"/>
      <c r="AL90" s="196"/>
      <c r="AM90" s="448"/>
      <c r="AN90" s="338"/>
      <c r="AO90" s="439"/>
      <c r="AP90" s="439"/>
      <c r="AQ90" s="338"/>
      <c r="AR90" s="439"/>
      <c r="AS90" s="439"/>
      <c r="AT90" s="449"/>
      <c r="AU90" s="495"/>
      <c r="AV90" s="495"/>
      <c r="AW90" s="499"/>
    </row>
    <row r="91" spans="1:49" s="503" customFormat="1" ht="20.100000000000001" customHeight="1" x14ac:dyDescent="0.3">
      <c r="A91" s="465" t="s">
        <v>251</v>
      </c>
      <c r="B91" s="199">
        <f>SUM(B68+B69+B71+B79+B85+B86+B87+B88+B89)</f>
        <v>21619.635999999999</v>
      </c>
      <c r="C91" s="454">
        <f>SUM(C68+C69+C71+C79+C85+C86+C87+C88+C89)</f>
        <v>24601.640000000003</v>
      </c>
      <c r="D91" s="455">
        <f>IF(B91=0, "    ---- ", IF(ABS(ROUND(100/B91*C91-100,1))&lt;999,ROUND(100/B91*C91-100,1),IF(ROUND(100/B91*C91-100,1)&gt;999,999,-999)))</f>
        <v>13.8</v>
      </c>
      <c r="E91" s="199">
        <f>SUM(E68+E69+E71+E79+E85+E86+E87+E88+E89)</f>
        <v>6779.3</v>
      </c>
      <c r="F91" s="454">
        <f>SUM(F68+F69+F71+F79+F85+F86+F87+F88+F89)</f>
        <v>8009.8</v>
      </c>
      <c r="G91" s="455">
        <f>IF(E91=0, "    ---- ", IF(ABS(ROUND(100/E91*F91-100,1))&lt;999,ROUND(100/E91*F91-100,1),IF(ROUND(100/E91*F91-100,1)&gt;999,999,-999)))</f>
        <v>18.2</v>
      </c>
      <c r="H91" s="199">
        <f>SUM(H68+H69+H71+H79+H85+H86+H87+H88+H89)</f>
        <v>332228.77999999997</v>
      </c>
      <c r="I91" s="454">
        <f>SUM(I68+I69+I71+I79+I85+I86+I87+I88+I89)</f>
        <v>332378.41899999999</v>
      </c>
      <c r="J91" s="455">
        <f t="shared" si="19"/>
        <v>0</v>
      </c>
      <c r="K91" s="454"/>
      <c r="L91" s="454">
        <f>SUM(L68+L69+L71+L79+L85+L86+L87+L88+L89)</f>
        <v>10263.490981680001</v>
      </c>
      <c r="M91" s="455" t="str">
        <f>IF(K91=0, "    ---- ", IF(ABS(ROUND(100/K91*L91-100,1))&lt;999,ROUND(100/K91*L91-100,1),IF(ROUND(100/K91*L91-100,1)&gt;999,999,-999)))</f>
        <v xml:space="preserve">    ---- </v>
      </c>
      <c r="N91" s="199">
        <f>SUM(N68+N69+N71+N79+N85+N86+N87+N88+N89)</f>
        <v>5657.2999999999993</v>
      </c>
      <c r="O91" s="454">
        <f>SUM(O68+O69+O71+O79+O85+O86+O87+O88+O89)</f>
        <v>6555.5650000000005</v>
      </c>
      <c r="P91" s="455">
        <f>IF(N91=0, "    ---- ", IF(ABS(ROUND(100/N91*O91-100,1))&lt;999,ROUND(100/N91*O91-100,1),IF(ROUND(100/N91*O91-100,1)&gt;999,999,-999)))</f>
        <v>15.9</v>
      </c>
      <c r="Q91" s="199">
        <f>SUM(Q68+Q69+Q71+Q79+Q85+Q86+Q87+Q88+Q89)</f>
        <v>36740.476000000002</v>
      </c>
      <c r="R91" s="454">
        <f>SUM(R68+R69+R71+R79+R85+R86+R87+R88+R89)</f>
        <v>40608.730000000003</v>
      </c>
      <c r="S91" s="455">
        <f>IF(Q91=0, "    ---- ", IF(ABS(ROUND(100/Q91*R91-100,1))&lt;999,ROUND(100/Q91*R91-100,1),IF(ROUND(100/Q91*R91-100,1)&gt;999,999,-999)))</f>
        <v>10.5</v>
      </c>
      <c r="T91" s="199">
        <f>SUM(T68+T69+T71+T79+T85+T86+T87+T88+T89)</f>
        <v>146.71234178999998</v>
      </c>
      <c r="U91" s="454">
        <f>SUM(U68+U69+U71+U79+U85+U86+U87+U88+U89)</f>
        <v>151.22834924</v>
      </c>
      <c r="V91" s="455">
        <f>IF(T91=0, "    ---- ", IF(ABS(ROUND(100/T91*U91-100,1))&lt;999,ROUND(100/T91*U91-100,1),IF(ROUND(100/T91*U91-100,1)&gt;999,999,-999)))</f>
        <v>3.1</v>
      </c>
      <c r="W91" s="199">
        <v>610573.32094320003</v>
      </c>
      <c r="X91" s="454">
        <v>635878.01939294999</v>
      </c>
      <c r="Y91" s="455">
        <f t="shared" si="45"/>
        <v>4.0999999999999996</v>
      </c>
      <c r="Z91" s="199">
        <f>SUM(Z68+Z69+Z71+Z79+Z85+Z86+Z87+Z88+Z89)</f>
        <v>135397.18</v>
      </c>
      <c r="AA91" s="454">
        <f>SUM(AA68+AA69+AA71+AA79+AA85+AA86+AA87+AA88+AA89)</f>
        <v>150628.76000000004</v>
      </c>
      <c r="AB91" s="455">
        <f t="shared" si="28"/>
        <v>11.2</v>
      </c>
      <c r="AC91" s="199">
        <f>SUM(AC68+AC69+AC71+AC79+AC85+AC86+AC87+AC88+AC89)</f>
        <v>101797</v>
      </c>
      <c r="AD91" s="454">
        <f>SUM(AD68+AD69+AD71+AD79+AD85+AD86+AD87+AD88+AD89)</f>
        <v>108237</v>
      </c>
      <c r="AE91" s="455">
        <f>IF(AC91=0, "    ---- ", IF(ABS(ROUND(100/AC91*AD91-100,1))&lt;999,ROUND(100/AC91*AD91-100,1),IF(ROUND(100/AC91*AD91-100,1)&gt;999,999,-999)))</f>
        <v>6.3</v>
      </c>
      <c r="AF91" s="199">
        <f>SUM(AF68+AF69+AF71+AF79+AF85+AF86+AF87+AF88+AF89)</f>
        <v>2452.5968934799994</v>
      </c>
      <c r="AG91" s="454">
        <f>SUM(AG68+AG69+AG71+AG79+AG85+AG86+AG87+AG88+AG89)</f>
        <v>2784.6441104299997</v>
      </c>
      <c r="AH91" s="455">
        <f>IF(AF91=0, "    ---- ", IF(ABS(ROUND(100/AF91*AG91-100,1))&lt;999,ROUND(100/AF91*AG91-100,1),IF(ROUND(100/AF91*AG91-100,1)&gt;999,999,-999)))</f>
        <v>13.5</v>
      </c>
      <c r="AI91" s="199">
        <f>SUM(AI68+AI69+AI71+AI79+AI85+AI86+AI87+AI88+AI89)</f>
        <v>67103.419011630001</v>
      </c>
      <c r="AJ91" s="454">
        <f>SUM(AJ68+AJ69+AJ71+AJ79+AJ85+AJ86+AJ87+AJ88+AJ89)</f>
        <v>68311.811187619998</v>
      </c>
      <c r="AK91" s="455">
        <f t="shared" si="21"/>
        <v>1.8</v>
      </c>
      <c r="AL91" s="199">
        <f>SUM(AL68+AL69+AL71+AL79+AL85+AL86+AL87+AL88+AL89)</f>
        <v>336212</v>
      </c>
      <c r="AM91" s="454">
        <f>SUM(AM68+AM69+AM71+AM79+AM85+AM86+AM87+AM88+AM89)</f>
        <v>363893</v>
      </c>
      <c r="AN91" s="455">
        <f t="shared" si="29"/>
        <v>8.1999999999999993</v>
      </c>
      <c r="AO91" s="604">
        <f>B91+H91+K91+N91+Q91+W91+E91+Z91+AC91+AI91+AL91</f>
        <v>1654108.4119548299</v>
      </c>
      <c r="AP91" s="604">
        <f>C91+I91+L91+O91+R91+X91+F91+AA91+AD91+AJ91+AM91</f>
        <v>1749366.23556225</v>
      </c>
      <c r="AQ91" s="455">
        <f t="shared" si="24"/>
        <v>5.8</v>
      </c>
      <c r="AR91" s="604">
        <f>B91+H91+K91+N91+Q91+T91+W91+E91+Z91+AC91+AF91+AI91+AL91</f>
        <v>1656707.7211901001</v>
      </c>
      <c r="AS91" s="604">
        <f>C91+I91+L91+O91+R91+U91+X91+F91+AA91+AD91+AG91+AJ91+AM91</f>
        <v>1752302.1080219201</v>
      </c>
      <c r="AT91" s="456">
        <f t="shared" si="27"/>
        <v>5.8</v>
      </c>
      <c r="AU91" s="501"/>
      <c r="AV91" s="495"/>
      <c r="AW91" s="499"/>
    </row>
    <row r="92" spans="1:49" ht="18.75" customHeight="1" x14ac:dyDescent="0.3">
      <c r="A92" s="466" t="s">
        <v>252</v>
      </c>
      <c r="B92" s="466"/>
      <c r="W92" s="466"/>
      <c r="X92" s="468"/>
      <c r="AA92" s="469"/>
      <c r="AB92" s="469"/>
      <c r="AC92" s="469"/>
      <c r="AD92" s="469"/>
      <c r="AE92" s="469"/>
      <c r="AF92" s="469"/>
      <c r="AG92" s="469"/>
      <c r="AH92" s="469"/>
      <c r="AI92" s="466"/>
      <c r="AL92" s="466"/>
    </row>
    <row r="93" spans="1:49" ht="18.75" customHeight="1" x14ac:dyDescent="0.3">
      <c r="A93" s="466" t="s">
        <v>253</v>
      </c>
      <c r="W93" s="466"/>
      <c r="X93" s="468"/>
      <c r="AA93" s="469"/>
      <c r="AB93" s="469"/>
      <c r="AC93" s="469"/>
      <c r="AD93" s="469"/>
      <c r="AE93" s="469"/>
      <c r="AF93" s="469"/>
      <c r="AG93" s="469"/>
      <c r="AH93" s="469"/>
      <c r="AI93" s="466"/>
      <c r="AL93" s="466"/>
    </row>
    <row r="94" spans="1:49" s="470" customFormat="1" ht="18.75" customHeight="1" x14ac:dyDescent="0.3">
      <c r="A94" s="466" t="s">
        <v>254</v>
      </c>
      <c r="W94" s="466"/>
      <c r="X94" s="466"/>
      <c r="AB94" s="471"/>
      <c r="AC94" s="471"/>
      <c r="AD94" s="471"/>
      <c r="AE94" s="471"/>
      <c r="AF94" s="471"/>
      <c r="AG94" s="471"/>
      <c r="AH94" s="471"/>
      <c r="AU94" s="504"/>
      <c r="AV94" s="504"/>
    </row>
    <row r="95" spans="1:49" s="470" customFormat="1" ht="18.75" x14ac:dyDescent="0.3">
      <c r="W95" s="466"/>
      <c r="X95" s="466"/>
    </row>
    <row r="96" spans="1:49" s="470" customFormat="1" ht="18.75" x14ac:dyDescent="0.3">
      <c r="W96" s="466"/>
      <c r="X96" s="466"/>
    </row>
    <row r="97" spans="23:24" s="470" customFormat="1" ht="18.75" x14ac:dyDescent="0.3">
      <c r="W97" s="466"/>
      <c r="X97" s="466"/>
    </row>
    <row r="98" spans="23:24" s="470" customFormat="1" ht="18.75" x14ac:dyDescent="0.3">
      <c r="W98" s="466"/>
      <c r="X98" s="466"/>
    </row>
    <row r="99" spans="23:24" s="470" customFormat="1" ht="18.75" x14ac:dyDescent="0.3">
      <c r="W99" s="466"/>
      <c r="X99" s="466"/>
    </row>
    <row r="100" spans="23:24" s="470" customFormat="1" ht="18.75" x14ac:dyDescent="0.3">
      <c r="W100" s="466"/>
      <c r="X100" s="466"/>
    </row>
    <row r="101" spans="23:24" s="470" customFormat="1" ht="18.75" x14ac:dyDescent="0.3">
      <c r="W101" s="466"/>
      <c r="X101" s="466"/>
    </row>
    <row r="102" spans="23:24" s="470" customFormat="1" ht="18.75" x14ac:dyDescent="0.3">
      <c r="W102" s="466"/>
      <c r="X102" s="466"/>
    </row>
    <row r="103" spans="23:24" s="470" customFormat="1" ht="18.75" x14ac:dyDescent="0.3">
      <c r="W103" s="466"/>
      <c r="X103" s="466"/>
    </row>
    <row r="104" spans="23:24" s="470" customFormat="1" ht="18.75" x14ac:dyDescent="0.3">
      <c r="W104" s="466"/>
      <c r="X104" s="466"/>
    </row>
    <row r="105" spans="23:24" s="470" customFormat="1" ht="18.75" x14ac:dyDescent="0.3">
      <c r="W105" s="466"/>
      <c r="X105" s="466"/>
    </row>
    <row r="106" spans="23:24" s="470" customFormat="1" ht="18.75" x14ac:dyDescent="0.3">
      <c r="W106" s="466"/>
      <c r="X106" s="466"/>
    </row>
    <row r="107" spans="23:24" s="470" customFormat="1" ht="18.75" x14ac:dyDescent="0.3">
      <c r="W107" s="466"/>
      <c r="X107" s="466"/>
    </row>
    <row r="108" spans="23:24" s="470" customFormat="1" ht="18.75" x14ac:dyDescent="0.3">
      <c r="W108" s="466"/>
      <c r="X108" s="466"/>
    </row>
    <row r="109" spans="23:24" s="470" customFormat="1" ht="18.75" x14ac:dyDescent="0.3">
      <c r="W109" s="466"/>
      <c r="X109" s="466"/>
    </row>
    <row r="110" spans="23:24" s="470" customFormat="1" ht="18.75" x14ac:dyDescent="0.3">
      <c r="W110" s="466"/>
      <c r="X110" s="466"/>
    </row>
    <row r="111" spans="23:24" s="506" customFormat="1" ht="15.75" x14ac:dyDescent="0.25">
      <c r="W111" s="505"/>
      <c r="X111" s="505"/>
    </row>
    <row r="112" spans="23:24" s="506" customFormat="1" ht="15.75" x14ac:dyDescent="0.25">
      <c r="W112" s="505"/>
      <c r="X112" s="505"/>
    </row>
    <row r="113" spans="23:24" x14ac:dyDescent="0.2">
      <c r="W113" s="468"/>
      <c r="X113" s="468"/>
    </row>
    <row r="114" spans="23:24" x14ac:dyDescent="0.2">
      <c r="W114" s="468"/>
      <c r="X114" s="468"/>
    </row>
    <row r="115" spans="23:24" x14ac:dyDescent="0.2">
      <c r="W115" s="468"/>
      <c r="X115" s="468"/>
    </row>
    <row r="116" spans="23:24" x14ac:dyDescent="0.2">
      <c r="W116" s="468"/>
      <c r="X116" s="468"/>
    </row>
    <row r="117" spans="23:24" x14ac:dyDescent="0.2">
      <c r="W117" s="468"/>
      <c r="X117" s="468"/>
    </row>
    <row r="118" spans="23:24" x14ac:dyDescent="0.2">
      <c r="W118" s="468"/>
      <c r="X118" s="468"/>
    </row>
    <row r="119" spans="23:24" x14ac:dyDescent="0.2">
      <c r="W119" s="468"/>
      <c r="X119" s="468"/>
    </row>
    <row r="120" spans="23:24" x14ac:dyDescent="0.2">
      <c r="W120" s="468"/>
      <c r="X120" s="468"/>
    </row>
    <row r="121" spans="23:24" x14ac:dyDescent="0.2">
      <c r="W121" s="468"/>
      <c r="X121" s="468"/>
    </row>
    <row r="122" spans="23:24" x14ac:dyDescent="0.2">
      <c r="W122" s="468"/>
      <c r="X122" s="468"/>
    </row>
    <row r="123" spans="23:24" x14ac:dyDescent="0.2">
      <c r="W123" s="468"/>
      <c r="X123" s="468"/>
    </row>
    <row r="124" spans="23:24" x14ac:dyDescent="0.2">
      <c r="W124" s="468"/>
      <c r="X124" s="468"/>
    </row>
    <row r="125" spans="23:24" x14ac:dyDescent="0.2">
      <c r="W125" s="468"/>
      <c r="X125" s="468"/>
    </row>
    <row r="126" spans="23:24" x14ac:dyDescent="0.2">
      <c r="W126" s="468"/>
      <c r="X126" s="468"/>
    </row>
    <row r="127" spans="23:24" x14ac:dyDescent="0.2">
      <c r="W127" s="468"/>
      <c r="X127" s="468"/>
    </row>
    <row r="128" spans="23:24" x14ac:dyDescent="0.2">
      <c r="W128" s="468"/>
      <c r="X128" s="468"/>
    </row>
    <row r="129" spans="23:24" x14ac:dyDescent="0.2">
      <c r="W129" s="468"/>
      <c r="X129" s="468"/>
    </row>
    <row r="130" spans="23:24" x14ac:dyDescent="0.2">
      <c r="W130" s="468"/>
      <c r="X130" s="468"/>
    </row>
  </sheetData>
  <mergeCells count="37">
    <mergeCell ref="K5:M5"/>
    <mergeCell ref="K6:M6"/>
    <mergeCell ref="E5:G5"/>
    <mergeCell ref="BI5:BK5"/>
    <mergeCell ref="AC5:AE5"/>
    <mergeCell ref="AI5:AK5"/>
    <mergeCell ref="AL5:AN5"/>
    <mergeCell ref="AO5:AQ5"/>
    <mergeCell ref="AR5:AT5"/>
    <mergeCell ref="N6:P6"/>
    <mergeCell ref="Q6:S6"/>
    <mergeCell ref="T6:V6"/>
    <mergeCell ref="N5:P5"/>
    <mergeCell ref="Q5:S5"/>
    <mergeCell ref="T5:V5"/>
    <mergeCell ref="BI6:BK6"/>
    <mergeCell ref="B5:D5"/>
    <mergeCell ref="H5:J5"/>
    <mergeCell ref="BC5:BE5"/>
    <mergeCell ref="BF5:BH5"/>
    <mergeCell ref="W6:Y6"/>
    <mergeCell ref="E6:G6"/>
    <mergeCell ref="Z6:AB6"/>
    <mergeCell ref="AC6:AE6"/>
    <mergeCell ref="AF6:AH6"/>
    <mergeCell ref="BC6:BE6"/>
    <mergeCell ref="BF6:BH6"/>
    <mergeCell ref="AW5:AY5"/>
    <mergeCell ref="AZ5:BB5"/>
    <mergeCell ref="B6:D6"/>
    <mergeCell ref="H6:J6"/>
    <mergeCell ref="AI6:AK6"/>
    <mergeCell ref="AL6:AN6"/>
    <mergeCell ref="AO6:AQ6"/>
    <mergeCell ref="AR6:AT6"/>
    <mergeCell ref="AW6:AY6"/>
    <mergeCell ref="AZ6:BB6"/>
  </mergeCells>
  <conditionalFormatting sqref="Q64">
    <cfRule type="expression" dxfId="155" priority="277">
      <formula>#REF! ="64≠29+62"</formula>
    </cfRule>
  </conditionalFormatting>
  <conditionalFormatting sqref="Q91">
    <cfRule type="expression" dxfId="154" priority="278">
      <formula>#REF! = "64≠94"</formula>
    </cfRule>
  </conditionalFormatting>
  <conditionalFormatting sqref="Q91">
    <cfRule type="expression" dxfId="153" priority="279">
      <formula>#REF! = "94≠68+69+71+80+88+89+90+91+92"</formula>
    </cfRule>
  </conditionalFormatting>
  <conditionalFormatting sqref="Q35">
    <cfRule type="expression" dxfId="152" priority="280">
      <formula>#REF! ="35≠36+38"</formula>
    </cfRule>
  </conditionalFormatting>
  <conditionalFormatting sqref="Q39">
    <cfRule type="expression" dxfId="151" priority="281">
      <formula>#REF! ="39≠40+41+42+43+44"</formula>
    </cfRule>
  </conditionalFormatting>
  <conditionalFormatting sqref="Q45">
    <cfRule type="expression" dxfId="150" priority="282">
      <formula>#REF! ="45≠33+34+35+39"</formula>
    </cfRule>
  </conditionalFormatting>
  <conditionalFormatting sqref="Q50">
    <cfRule type="expression" dxfId="149" priority="283">
      <formula>#REF! ="50≠51+53"</formula>
    </cfRule>
  </conditionalFormatting>
  <conditionalFormatting sqref="Q54">
    <cfRule type="expression" dxfId="148" priority="284">
      <formula>#REF! ="54≠55+56+57+58+59"</formula>
    </cfRule>
  </conditionalFormatting>
  <conditionalFormatting sqref="Q60">
    <cfRule type="expression" dxfId="147" priority="285">
      <formula>#REF! ="60≠48+49+50+54"</formula>
    </cfRule>
  </conditionalFormatting>
  <conditionalFormatting sqref="Q62">
    <cfRule type="expression" dxfId="146" priority="286">
      <formula>#REF! ="62≠45+46+60+61"</formula>
    </cfRule>
  </conditionalFormatting>
  <conditionalFormatting sqref="Q79">
    <cfRule type="expression" dxfId="145" priority="287">
      <formula>#REF! ="80≠73+74+75+76+77+78+79"</formula>
    </cfRule>
  </conditionalFormatting>
  <conditionalFormatting sqref="Q85">
    <cfRule type="expression" dxfId="144" priority="288">
      <formula>#REF! ="88≠82+83+84+85+86+87"</formula>
    </cfRule>
  </conditionalFormatting>
  <conditionalFormatting sqref="Z64">
    <cfRule type="expression" dxfId="143" priority="241">
      <formula>#REF! ="64≠29+62"</formula>
    </cfRule>
  </conditionalFormatting>
  <conditionalFormatting sqref="Z91">
    <cfRule type="expression" dxfId="142" priority="242">
      <formula>#REF! = "64≠94"</formula>
    </cfRule>
  </conditionalFormatting>
  <conditionalFormatting sqref="Z91">
    <cfRule type="expression" dxfId="141" priority="243">
      <formula>#REF! = "94≠68+69+71+80+88+89+90+91+92"</formula>
    </cfRule>
  </conditionalFormatting>
  <conditionalFormatting sqref="Z35">
    <cfRule type="expression" dxfId="140" priority="244">
      <formula>#REF! ="35≠36+38"</formula>
    </cfRule>
  </conditionalFormatting>
  <conditionalFormatting sqref="Z39">
    <cfRule type="expression" dxfId="139" priority="245">
      <formula>#REF! ="39≠40+41+42+43+44"</formula>
    </cfRule>
  </conditionalFormatting>
  <conditionalFormatting sqref="Z45">
    <cfRule type="expression" dxfId="138" priority="246">
      <formula>#REF! ="45≠33+34+35+39"</formula>
    </cfRule>
  </conditionalFormatting>
  <conditionalFormatting sqref="Z50">
    <cfRule type="expression" dxfId="137" priority="247">
      <formula>#REF! ="50≠51+53"</formula>
    </cfRule>
  </conditionalFormatting>
  <conditionalFormatting sqref="Z54">
    <cfRule type="expression" dxfId="136" priority="248">
      <formula>#REF! ="54≠55+56+57+58+59"</formula>
    </cfRule>
  </conditionalFormatting>
  <conditionalFormatting sqref="Z60">
    <cfRule type="expression" dxfId="135" priority="249">
      <formula>#REF! ="60≠48+49+50+54"</formula>
    </cfRule>
  </conditionalFormatting>
  <conditionalFormatting sqref="Z62">
    <cfRule type="expression" dxfId="134" priority="250">
      <formula>#REF! ="62≠45+46+60+61"</formula>
    </cfRule>
  </conditionalFormatting>
  <conditionalFormatting sqref="Z79">
    <cfRule type="expression" dxfId="133" priority="251">
      <formula>#REF! ="80≠73+74+75+76+77+78+79"</formula>
    </cfRule>
  </conditionalFormatting>
  <conditionalFormatting sqref="Z85">
    <cfRule type="expression" dxfId="132" priority="252">
      <formula>#REF! ="88≠82+83+84+85+86+87"</formula>
    </cfRule>
  </conditionalFormatting>
  <conditionalFormatting sqref="AI64">
    <cfRule type="expression" dxfId="131" priority="217">
      <formula>#REF! ="64≠29+62"</formula>
    </cfRule>
  </conditionalFormatting>
  <conditionalFormatting sqref="AI91">
    <cfRule type="expression" dxfId="130" priority="218">
      <formula>#REF! = "64≠94"</formula>
    </cfRule>
  </conditionalFormatting>
  <conditionalFormatting sqref="AI91">
    <cfRule type="expression" dxfId="129" priority="219">
      <formula>#REF! = "94≠68+69+71+80+88+89+90+91+92"</formula>
    </cfRule>
  </conditionalFormatting>
  <conditionalFormatting sqref="AI35">
    <cfRule type="expression" dxfId="128" priority="220">
      <formula>#REF! ="35≠36+38"</formula>
    </cfRule>
  </conditionalFormatting>
  <conditionalFormatting sqref="AI39">
    <cfRule type="expression" dxfId="127" priority="221">
      <formula>#REF! ="39≠40+41+42+43+44"</formula>
    </cfRule>
  </conditionalFormatting>
  <conditionalFormatting sqref="AI45">
    <cfRule type="expression" dxfId="126" priority="222">
      <formula>#REF! ="45≠33+34+35+39"</formula>
    </cfRule>
  </conditionalFormatting>
  <conditionalFormatting sqref="AI50">
    <cfRule type="expression" dxfId="125" priority="223">
      <formula>#REF! ="50≠51+53"</formula>
    </cfRule>
  </conditionalFormatting>
  <conditionalFormatting sqref="AI54">
    <cfRule type="expression" dxfId="124" priority="224">
      <formula>#REF! ="54≠55+56+57+58+59"</formula>
    </cfRule>
  </conditionalFormatting>
  <conditionalFormatting sqref="AI60">
    <cfRule type="expression" dxfId="123" priority="225">
      <formula>#REF! ="60≠48+49+50+54"</formula>
    </cfRule>
  </conditionalFormatting>
  <conditionalFormatting sqref="AI62">
    <cfRule type="expression" dxfId="122" priority="226">
      <formula>#REF! ="62≠45+46+60+61"</formula>
    </cfRule>
  </conditionalFormatting>
  <conditionalFormatting sqref="AI79">
    <cfRule type="expression" dxfId="121" priority="227">
      <formula>#REF! ="80≠73+74+75+76+77+78+79"</formula>
    </cfRule>
  </conditionalFormatting>
  <conditionalFormatting sqref="AI85">
    <cfRule type="expression" dxfId="120" priority="228">
      <formula>#REF! ="88≠82+83+84+85+86+87"</formula>
    </cfRule>
  </conditionalFormatting>
  <conditionalFormatting sqref="AL64">
    <cfRule type="expression" dxfId="119" priority="193">
      <formula>#REF! ="64≠29+62"</formula>
    </cfRule>
  </conditionalFormatting>
  <conditionalFormatting sqref="AL91">
    <cfRule type="expression" dxfId="118" priority="194">
      <formula>#REF! = "64≠94"</formula>
    </cfRule>
  </conditionalFormatting>
  <conditionalFormatting sqref="AL91">
    <cfRule type="expression" dxfId="117" priority="195">
      <formula>#REF! = "94≠68+69+71+80+88+89+90+91+92"</formula>
    </cfRule>
  </conditionalFormatting>
  <conditionalFormatting sqref="AL35">
    <cfRule type="expression" dxfId="116" priority="196">
      <formula>#REF! ="35≠36+38"</formula>
    </cfRule>
  </conditionalFormatting>
  <conditionalFormatting sqref="AL39">
    <cfRule type="expression" dxfId="115" priority="197">
      <formula>#REF! ="39≠40+41+42+43+44"</formula>
    </cfRule>
  </conditionalFormatting>
  <conditionalFormatting sqref="AL45">
    <cfRule type="expression" dxfId="114" priority="198">
      <formula>#REF! ="45≠33+34+35+39"</formula>
    </cfRule>
  </conditionalFormatting>
  <conditionalFormatting sqref="AL50">
    <cfRule type="expression" dxfId="113" priority="199">
      <formula>#REF! ="50≠51+53"</formula>
    </cfRule>
  </conditionalFormatting>
  <conditionalFormatting sqref="AL54">
    <cfRule type="expression" dxfId="112" priority="200">
      <formula>#REF! ="54≠55+56+57+58+59"</formula>
    </cfRule>
  </conditionalFormatting>
  <conditionalFormatting sqref="AL60">
    <cfRule type="expression" dxfId="111" priority="201">
      <formula>#REF! ="60≠48+49+50+54"</formula>
    </cfRule>
  </conditionalFormatting>
  <conditionalFormatting sqref="AL62">
    <cfRule type="expression" dxfId="110" priority="202">
      <formula>#REF! ="62≠45+46+60+61"</formula>
    </cfRule>
  </conditionalFormatting>
  <conditionalFormatting sqref="AL79">
    <cfRule type="expression" dxfId="109" priority="203">
      <formula>#REF! ="80≠73+74+75+76+77+78+79"</formula>
    </cfRule>
  </conditionalFormatting>
  <conditionalFormatting sqref="AL85">
    <cfRule type="expression" dxfId="108" priority="204">
      <formula>#REF! ="88≠82+83+84+85+86+87"</formula>
    </cfRule>
  </conditionalFormatting>
  <conditionalFormatting sqref="N64">
    <cfRule type="expression" dxfId="107" priority="169">
      <formula>#REF! ="64≠29+62"</formula>
    </cfRule>
  </conditionalFormatting>
  <conditionalFormatting sqref="N91">
    <cfRule type="expression" dxfId="106" priority="170">
      <formula>#REF! = "64≠94"</formula>
    </cfRule>
  </conditionalFormatting>
  <conditionalFormatting sqref="N91">
    <cfRule type="expression" dxfId="105" priority="171">
      <formula>#REF! = "94≠68+69+71+80+88+89+90+91+92"</formula>
    </cfRule>
  </conditionalFormatting>
  <conditionalFormatting sqref="N35">
    <cfRule type="expression" dxfId="104" priority="172">
      <formula>#REF! ="35≠36+38"</formula>
    </cfRule>
  </conditionalFormatting>
  <conditionalFormatting sqref="N39">
    <cfRule type="expression" dxfId="103" priority="173">
      <formula>#REF! ="39≠40+41+42+43+44"</formula>
    </cfRule>
  </conditionalFormatting>
  <conditionalFormatting sqref="N45">
    <cfRule type="expression" dxfId="102" priority="174">
      <formula>#REF! ="45≠33+34+35+39"</formula>
    </cfRule>
  </conditionalFormatting>
  <conditionalFormatting sqref="N50">
    <cfRule type="expression" dxfId="101" priority="175">
      <formula>#REF! ="50≠51+53"</formula>
    </cfRule>
  </conditionalFormatting>
  <conditionalFormatting sqref="N54">
    <cfRule type="expression" dxfId="100" priority="176">
      <formula>#REF! ="54≠55+56+57+58+59"</formula>
    </cfRule>
  </conditionalFormatting>
  <conditionalFormatting sqref="N60">
    <cfRule type="expression" dxfId="99" priority="177">
      <formula>#REF! ="60≠48+49+50+54"</formula>
    </cfRule>
  </conditionalFormatting>
  <conditionalFormatting sqref="N62">
    <cfRule type="expression" dxfId="98" priority="178">
      <formula>#REF! ="62≠45+46+60+61"</formula>
    </cfRule>
  </conditionalFormatting>
  <conditionalFormatting sqref="N79">
    <cfRule type="expression" dxfId="97" priority="179">
      <formula>#REF! ="80≠73+74+75+76+77+78+79"</formula>
    </cfRule>
  </conditionalFormatting>
  <conditionalFormatting sqref="N85">
    <cfRule type="expression" dxfId="96" priority="180">
      <formula>#REF! ="88≠82+83+84+85+86+87"</formula>
    </cfRule>
  </conditionalFormatting>
  <conditionalFormatting sqref="AC64">
    <cfRule type="expression" dxfId="95" priority="145">
      <formula>#REF! ="64≠29+62"</formula>
    </cfRule>
  </conditionalFormatting>
  <conditionalFormatting sqref="AC91">
    <cfRule type="expression" dxfId="94" priority="146">
      <formula>#REF! = "64≠94"</formula>
    </cfRule>
  </conditionalFormatting>
  <conditionalFormatting sqref="AC91">
    <cfRule type="expression" dxfId="93" priority="147">
      <formula>#REF! = "94≠68+69+71+80+88+89+90+91+92"</formula>
    </cfRule>
  </conditionalFormatting>
  <conditionalFormatting sqref="AC35">
    <cfRule type="expression" dxfId="92" priority="148">
      <formula>#REF! ="35≠36+38"</formula>
    </cfRule>
  </conditionalFormatting>
  <conditionalFormatting sqref="AC39">
    <cfRule type="expression" dxfId="91" priority="149">
      <formula>#REF! ="39≠40+41+42+43+44"</formula>
    </cfRule>
  </conditionalFormatting>
  <conditionalFormatting sqref="AC45">
    <cfRule type="expression" dxfId="90" priority="150">
      <formula>#REF! ="45≠33+34+35+39"</formula>
    </cfRule>
  </conditionalFormatting>
  <conditionalFormatting sqref="AC50">
    <cfRule type="expression" dxfId="89" priority="151">
      <formula>#REF! ="50≠51+53"</formula>
    </cfRule>
  </conditionalFormatting>
  <conditionalFormatting sqref="AC54">
    <cfRule type="expression" dxfId="88" priority="152">
      <formula>#REF! ="54≠55+56+57+58+59"</formula>
    </cfRule>
  </conditionalFormatting>
  <conditionalFormatting sqref="AC60">
    <cfRule type="expression" dxfId="87" priority="153">
      <formula>#REF! ="60≠48+49+50+54"</formula>
    </cfRule>
  </conditionalFormatting>
  <conditionalFormatting sqref="AC62">
    <cfRule type="expression" dxfId="86" priority="154">
      <formula>#REF! ="62≠45+46+60+61"</formula>
    </cfRule>
  </conditionalFormatting>
  <conditionalFormatting sqref="AC79">
    <cfRule type="expression" dxfId="85" priority="155">
      <formula>#REF! ="80≠73+74+75+76+77+78+79"</formula>
    </cfRule>
  </conditionalFormatting>
  <conditionalFormatting sqref="AC85">
    <cfRule type="expression" dxfId="84" priority="156">
      <formula>#REF! ="88≠82+83+84+85+86+87"</formula>
    </cfRule>
  </conditionalFormatting>
  <conditionalFormatting sqref="B64">
    <cfRule type="expression" dxfId="83" priority="121">
      <formula>#REF! ="64≠29+62"</formula>
    </cfRule>
  </conditionalFormatting>
  <conditionalFormatting sqref="B91">
    <cfRule type="expression" dxfId="82" priority="122">
      <formula>#REF! = "64≠94"</formula>
    </cfRule>
  </conditionalFormatting>
  <conditionalFormatting sqref="B91">
    <cfRule type="expression" dxfId="81" priority="123">
      <formula>#REF! = "94≠68+69+71+80+88+89+90+91+92"</formula>
    </cfRule>
  </conditionalFormatting>
  <conditionalFormatting sqref="B35">
    <cfRule type="expression" dxfId="80" priority="124">
      <formula>#REF! ="35≠36+38"</formula>
    </cfRule>
  </conditionalFormatting>
  <conditionalFormatting sqref="B39">
    <cfRule type="expression" dxfId="79" priority="125">
      <formula>#REF! ="39≠40+41+42+43+44"</formula>
    </cfRule>
  </conditionalFormatting>
  <conditionalFormatting sqref="B45">
    <cfRule type="expression" dxfId="78" priority="126">
      <formula>#REF! ="45≠33+34+35+39"</formula>
    </cfRule>
  </conditionalFormatting>
  <conditionalFormatting sqref="B50">
    <cfRule type="expression" dxfId="77" priority="127">
      <formula>#REF! ="50≠51+53"</formula>
    </cfRule>
  </conditionalFormatting>
  <conditionalFormatting sqref="B54">
    <cfRule type="expression" dxfId="76" priority="128">
      <formula>#REF! ="54≠55+56+57+58+59"</formula>
    </cfRule>
  </conditionalFormatting>
  <conditionalFormatting sqref="B60">
    <cfRule type="expression" dxfId="75" priority="129">
      <formula>#REF! ="60≠48+49+50+54"</formula>
    </cfRule>
  </conditionalFormatting>
  <conditionalFormatting sqref="B62">
    <cfRule type="expression" dxfId="74" priority="130">
      <formula>#REF! ="62≠45+46+60+61"</formula>
    </cfRule>
  </conditionalFormatting>
  <conditionalFormatting sqref="B79">
    <cfRule type="expression" dxfId="73" priority="131">
      <formula>#REF! ="80≠73+74+75+76+77+78+79"</formula>
    </cfRule>
  </conditionalFormatting>
  <conditionalFormatting sqref="B85">
    <cfRule type="expression" dxfId="72" priority="132">
      <formula>#REF! ="88≠82+83+84+85+86+87"</formula>
    </cfRule>
  </conditionalFormatting>
  <conditionalFormatting sqref="H64">
    <cfRule type="expression" dxfId="71" priority="97">
      <formula>#REF! ="64≠29+62"</formula>
    </cfRule>
  </conditionalFormatting>
  <conditionalFormatting sqref="H91">
    <cfRule type="expression" dxfId="70" priority="98">
      <formula>#REF! = "64≠94"</formula>
    </cfRule>
  </conditionalFormatting>
  <conditionalFormatting sqref="H91">
    <cfRule type="expression" dxfId="69" priority="99">
      <formula>#REF! = "94≠68+69+71+80+88+89+90+91+92"</formula>
    </cfRule>
  </conditionalFormatting>
  <conditionalFormatting sqref="H35">
    <cfRule type="expression" dxfId="68" priority="100">
      <formula>#REF! ="35≠36+38"</formula>
    </cfRule>
  </conditionalFormatting>
  <conditionalFormatting sqref="H39">
    <cfRule type="expression" dxfId="67" priority="101">
      <formula>#REF! ="39≠40+41+42+43+44"</formula>
    </cfRule>
  </conditionalFormatting>
  <conditionalFormatting sqref="H45">
    <cfRule type="expression" dxfId="66" priority="102">
      <formula>#REF! ="45≠33+34+35+39"</formula>
    </cfRule>
  </conditionalFormatting>
  <conditionalFormatting sqref="H50">
    <cfRule type="expression" dxfId="65" priority="103">
      <formula>#REF! ="50≠51+53"</formula>
    </cfRule>
  </conditionalFormatting>
  <conditionalFormatting sqref="H54">
    <cfRule type="expression" dxfId="64" priority="104">
      <formula>#REF! ="54≠55+56+57+58+59"</formula>
    </cfRule>
  </conditionalFormatting>
  <conditionalFormatting sqref="H60">
    <cfRule type="expression" dxfId="63" priority="105">
      <formula>#REF! ="60≠48+49+50+54"</formula>
    </cfRule>
  </conditionalFormatting>
  <conditionalFormatting sqref="H62">
    <cfRule type="expression" dxfId="62" priority="106">
      <formula>#REF! ="62≠45+46+60+61"</formula>
    </cfRule>
  </conditionalFormatting>
  <conditionalFormatting sqref="H79">
    <cfRule type="expression" dxfId="61" priority="107">
      <formula>#REF! ="80≠73+74+75+76+77+78+79"</formula>
    </cfRule>
  </conditionalFormatting>
  <conditionalFormatting sqref="H85">
    <cfRule type="expression" dxfId="60" priority="108">
      <formula>#REF! ="88≠82+83+84+85+86+87"</formula>
    </cfRule>
  </conditionalFormatting>
  <conditionalFormatting sqref="AF64">
    <cfRule type="expression" dxfId="59" priority="73">
      <formula>#REF! ="64≠29+62"</formula>
    </cfRule>
  </conditionalFormatting>
  <conditionalFormatting sqref="AF91">
    <cfRule type="expression" dxfId="58" priority="74">
      <formula>#REF! = "64≠94"</formula>
    </cfRule>
  </conditionalFormatting>
  <conditionalFormatting sqref="AF91">
    <cfRule type="expression" dxfId="57" priority="75">
      <formula>#REF! = "94≠68+69+71+80+88+89+90+91+92"</formula>
    </cfRule>
  </conditionalFormatting>
  <conditionalFormatting sqref="AF35">
    <cfRule type="expression" dxfId="56" priority="76">
      <formula>#REF! ="35≠36+38"</formula>
    </cfRule>
  </conditionalFormatting>
  <conditionalFormatting sqref="AF39">
    <cfRule type="expression" dxfId="55" priority="77">
      <formula>#REF! ="39≠40+41+42+43+44"</formula>
    </cfRule>
  </conditionalFormatting>
  <conditionalFormatting sqref="AF45">
    <cfRule type="expression" dxfId="54" priority="78">
      <formula>#REF! ="45≠33+34+35+39"</formula>
    </cfRule>
  </conditionalFormatting>
  <conditionalFormatting sqref="AF50">
    <cfRule type="expression" dxfId="53" priority="79">
      <formula>#REF! ="50≠51+53"</formula>
    </cfRule>
  </conditionalFormatting>
  <conditionalFormatting sqref="AF54">
    <cfRule type="expression" dxfId="52" priority="80">
      <formula>#REF! ="54≠55+56+57+58+59"</formula>
    </cfRule>
  </conditionalFormatting>
  <conditionalFormatting sqref="AF60">
    <cfRule type="expression" dxfId="51" priority="81">
      <formula>#REF! ="60≠48+49+50+54"</formula>
    </cfRule>
  </conditionalFormatting>
  <conditionalFormatting sqref="AF62">
    <cfRule type="expression" dxfId="50" priority="82">
      <formula>#REF! ="62≠45+46+60+61"</formula>
    </cfRule>
  </conditionalFormatting>
  <conditionalFormatting sqref="AF79">
    <cfRule type="expression" dxfId="49" priority="83">
      <formula>#REF! ="80≠73+74+75+76+77+78+79"</formula>
    </cfRule>
  </conditionalFormatting>
  <conditionalFormatting sqref="AF85">
    <cfRule type="expression" dxfId="48" priority="84">
      <formula>#REF! ="88≠82+83+84+85+86+87"</formula>
    </cfRule>
  </conditionalFormatting>
  <conditionalFormatting sqref="T64">
    <cfRule type="expression" dxfId="47" priority="49">
      <formula>#REF! ="64≠29+62"</formula>
    </cfRule>
  </conditionalFormatting>
  <conditionalFormatting sqref="T91">
    <cfRule type="expression" dxfId="46" priority="50">
      <formula>#REF! = "64≠94"</formula>
    </cfRule>
  </conditionalFormatting>
  <conditionalFormatting sqref="T91">
    <cfRule type="expression" dxfId="45" priority="51">
      <formula>#REF! = "94≠68+69+71+80+88+89+90+91+92"</formula>
    </cfRule>
  </conditionalFormatting>
  <conditionalFormatting sqref="T35">
    <cfRule type="expression" dxfId="44" priority="52">
      <formula>#REF! ="35≠36+38"</formula>
    </cfRule>
  </conditionalFormatting>
  <conditionalFormatting sqref="T39">
    <cfRule type="expression" dxfId="43" priority="53">
      <formula>#REF! ="39≠40+41+42+43+44"</formula>
    </cfRule>
  </conditionalFormatting>
  <conditionalFormatting sqref="T45">
    <cfRule type="expression" dxfId="42" priority="54">
      <formula>#REF! ="45≠33+34+35+39"</formula>
    </cfRule>
  </conditionalFormatting>
  <conditionalFormatting sqref="T50">
    <cfRule type="expression" dxfId="41" priority="55">
      <formula>#REF! ="50≠51+53"</formula>
    </cfRule>
  </conditionalFormatting>
  <conditionalFormatting sqref="T54">
    <cfRule type="expression" dxfId="40" priority="56">
      <formula>#REF! ="54≠55+56+57+58+59"</formula>
    </cfRule>
  </conditionalFormatting>
  <conditionalFormatting sqref="T60">
    <cfRule type="expression" dxfId="39" priority="57">
      <formula>#REF! ="60≠48+49+50+54"</formula>
    </cfRule>
  </conditionalFormatting>
  <conditionalFormatting sqref="T62">
    <cfRule type="expression" dxfId="38" priority="58">
      <formula>#REF! ="62≠45+46+60+61"</formula>
    </cfRule>
  </conditionalFormatting>
  <conditionalFormatting sqref="T79">
    <cfRule type="expression" dxfId="37" priority="59">
      <formula>#REF! ="80≠73+74+75+76+77+78+79"</formula>
    </cfRule>
  </conditionalFormatting>
  <conditionalFormatting sqref="T85">
    <cfRule type="expression" dxfId="36" priority="60">
      <formula>#REF! ="88≠82+83+84+85+86+87"</formula>
    </cfRule>
  </conditionalFormatting>
  <conditionalFormatting sqref="E64">
    <cfRule type="expression" dxfId="35" priority="25">
      <formula>#REF! ="64≠29+62"</formula>
    </cfRule>
  </conditionalFormatting>
  <conditionalFormatting sqref="E91">
    <cfRule type="expression" dxfId="34" priority="26">
      <formula>#REF! = "64≠94"</formula>
    </cfRule>
  </conditionalFormatting>
  <conditionalFormatting sqref="E91">
    <cfRule type="expression" dxfId="33" priority="27">
      <formula>#REF! = "94≠68+69+71+80+88+89+90+91+92"</formula>
    </cfRule>
  </conditionalFormatting>
  <conditionalFormatting sqref="E35">
    <cfRule type="expression" dxfId="32" priority="28">
      <formula>#REF! ="35≠36+38"</formula>
    </cfRule>
  </conditionalFormatting>
  <conditionalFormatting sqref="E39">
    <cfRule type="expression" dxfId="31" priority="29">
      <formula>#REF! ="39≠40+41+42+43+44"</formula>
    </cfRule>
  </conditionalFormatting>
  <conditionalFormatting sqref="E45">
    <cfRule type="expression" dxfId="30" priority="30">
      <formula>#REF! ="45≠33+34+35+39"</formula>
    </cfRule>
  </conditionalFormatting>
  <conditionalFormatting sqref="E50">
    <cfRule type="expression" dxfId="29" priority="31">
      <formula>#REF! ="50≠51+53"</formula>
    </cfRule>
  </conditionalFormatting>
  <conditionalFormatting sqref="E54">
    <cfRule type="expression" dxfId="28" priority="32">
      <formula>#REF! ="54≠55+56+57+58+59"</formula>
    </cfRule>
  </conditionalFormatting>
  <conditionalFormatting sqref="E60">
    <cfRule type="expression" dxfId="27" priority="33">
      <formula>#REF! ="60≠48+49+50+54"</formula>
    </cfRule>
  </conditionalFormatting>
  <conditionalFormatting sqref="E62">
    <cfRule type="expression" dxfId="26" priority="34">
      <formula>#REF! ="62≠45+46+60+61"</formula>
    </cfRule>
  </conditionalFormatting>
  <conditionalFormatting sqref="E79">
    <cfRule type="expression" dxfId="25" priority="35">
      <formula>#REF! ="80≠73+74+75+76+77+78+79"</formula>
    </cfRule>
  </conditionalFormatting>
  <conditionalFormatting sqref="E85">
    <cfRule type="expression" dxfId="24" priority="36">
      <formula>#REF! ="88≠82+83+84+85+86+87"</formula>
    </cfRule>
  </conditionalFormatting>
  <conditionalFormatting sqref="W64">
    <cfRule type="expression" dxfId="23" priority="1">
      <formula>#REF! ="64≠29+62"</formula>
    </cfRule>
  </conditionalFormatting>
  <conditionalFormatting sqref="W91">
    <cfRule type="expression" dxfId="22" priority="2">
      <formula>#REF! = "64≠94"</formula>
    </cfRule>
  </conditionalFormatting>
  <conditionalFormatting sqref="W91">
    <cfRule type="expression" dxfId="21" priority="3">
      <formula>#REF! = "94≠68+69+71+80+88+89+90+91+92"</formula>
    </cfRule>
  </conditionalFormatting>
  <conditionalFormatting sqref="W35">
    <cfRule type="expression" dxfId="20" priority="4">
      <formula>#REF! ="35≠36+38"</formula>
    </cfRule>
  </conditionalFormatting>
  <conditionalFormatting sqref="W39">
    <cfRule type="expression" dxfId="19" priority="5">
      <formula>#REF! ="39≠40+41+42+43+44"</formula>
    </cfRule>
  </conditionalFormatting>
  <conditionalFormatting sqref="W45">
    <cfRule type="expression" dxfId="18" priority="6">
      <formula>#REF! ="45≠33+34+35+39"</formula>
    </cfRule>
  </conditionalFormatting>
  <conditionalFormatting sqref="W50">
    <cfRule type="expression" dxfId="17" priority="7">
      <formula>#REF! ="50≠51+53"</formula>
    </cfRule>
  </conditionalFormatting>
  <conditionalFormatting sqref="W54">
    <cfRule type="expression" dxfId="16" priority="8">
      <formula>#REF! ="54≠55+56+57+58+59"</formula>
    </cfRule>
  </conditionalFormatting>
  <conditionalFormatting sqref="W60">
    <cfRule type="expression" dxfId="15" priority="9">
      <formula>#REF! ="60≠48+49+50+54"</formula>
    </cfRule>
  </conditionalFormatting>
  <conditionalFormatting sqref="W62">
    <cfRule type="expression" dxfId="14" priority="10">
      <formula>#REF! ="62≠45+46+60+61"</formula>
    </cfRule>
  </conditionalFormatting>
  <conditionalFormatting sqref="W79">
    <cfRule type="expression" dxfId="13" priority="11">
      <formula>#REF! ="80≠73+74+75+76+77+78+79"</formula>
    </cfRule>
  </conditionalFormatting>
  <conditionalFormatting sqref="W85">
    <cfRule type="expression" dxfId="12" priority="12">
      <formula>#REF! ="88≠82+83+84+85+86+87"</formula>
    </cfRule>
  </conditionalFormatting>
  <conditionalFormatting sqref="F35 R35 K35:L35 AA35 AJ35 AM35 O35 AD35 C35 I35 AG35 U35 X35">
    <cfRule type="expression" dxfId="11" priority="970">
      <formula>#REF! ="35≠36+38"</formula>
    </cfRule>
  </conditionalFormatting>
  <conditionalFormatting sqref="F39 R39 K39:L39 AA39 AJ39 AM39 O39 AD39 C39 I39 AG39 U39 X39">
    <cfRule type="expression" dxfId="10" priority="972">
      <formula>#REF! ="39≠40+41+42+43+44"</formula>
    </cfRule>
  </conditionalFormatting>
  <conditionalFormatting sqref="F45 R45 K45:L45 AA45 AJ45 AM45 O45 AD45 C45 I45 AG45 U45 X45">
    <cfRule type="expression" dxfId="9" priority="974">
      <formula>#REF! ="45≠33+34+35+39"</formula>
    </cfRule>
  </conditionalFormatting>
  <conditionalFormatting sqref="F50 R50 K50:L50 AA50 AJ50 AM50 O50 AD50 C50 I50 AG50 U50 X50">
    <cfRule type="expression" dxfId="8" priority="976">
      <formula>#REF! ="50≠51+53"</formula>
    </cfRule>
  </conditionalFormatting>
  <conditionalFormatting sqref="F54 R54 K54:L54 AA54 AJ54 AM54 O54 AD54 C54 I54 AG54 U54 X54">
    <cfRule type="expression" dxfId="7" priority="978">
      <formula>#REF! ="54≠55+56+57+58+59"</formula>
    </cfRule>
  </conditionalFormatting>
  <conditionalFormatting sqref="F60 R60 K60:L60 AA60 AJ60 AM60 O60 AD60 C60 I60 AG60 U60 X60">
    <cfRule type="expression" dxfId="6" priority="980">
      <formula>#REF! ="60≠48+49+50+54"</formula>
    </cfRule>
  </conditionalFormatting>
  <conditionalFormatting sqref="F62 R62 K62:L62 AA62 AJ62 AM62 O62 AD62 C62 I62 AG62 U62 X62">
    <cfRule type="expression" dxfId="5" priority="982">
      <formula>#REF! ="62≠45+46+60+61"</formula>
    </cfRule>
  </conditionalFormatting>
  <conditionalFormatting sqref="F64 R64 K64:L64 AA64 AJ64 AM64 O64 AD64 C64 I64 AG64 U64 X64">
    <cfRule type="expression" dxfId="4" priority="984">
      <formula>#REF! ="64≠29+62"</formula>
    </cfRule>
  </conditionalFormatting>
  <conditionalFormatting sqref="F79 R79 K79:L79 AA79 AJ79 AM79 O79 AD79 C79 I79 AG79 U79 X79">
    <cfRule type="expression" dxfId="3" priority="986">
      <formula>#REF! ="80≠73+74+75+76+77+78+79"</formula>
    </cfRule>
  </conditionalFormatting>
  <conditionalFormatting sqref="F85 R85 K85:L85 AA85 AJ85 AM85 O85 AD85 C85 I85 AG85 U85 X85">
    <cfRule type="expression" dxfId="2" priority="988">
      <formula>#REF! ="88≠82+83+84+85+86+87"</formula>
    </cfRule>
  </conditionalFormatting>
  <conditionalFormatting sqref="F91 R91 K91:L91 AA91 AJ91 AM91 O91 AD91 C91 I91 AG91 U91 X91">
    <cfRule type="expression" dxfId="1" priority="990">
      <formula>#REF! = "64≠94"</formula>
    </cfRule>
  </conditionalFormatting>
  <conditionalFormatting sqref="F91 R91 K91:L91 AA91 AJ91 AM91 O91 AD91 C91 I91 AG91 U91 X91">
    <cfRule type="expression" dxfId="0" priority="992">
      <formula>#REF! = "94≠68+69+71+80+88+89+90+91+92"</formula>
    </cfRule>
  </conditionalFormatting>
  <hyperlinks>
    <hyperlink ref="B1" location="Innhold!A1" display="Tilbake" xr:uid="{00000000-0004-0000-22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49ECC-34D8-449C-A45F-BABDDACF2022}">
  <dimension ref="A1:BB18"/>
  <sheetViews>
    <sheetView showGridLines="0" zoomScale="60" zoomScaleNormal="60" workbookViewId="0">
      <pane xSplit="1" ySplit="8" topLeftCell="B9" activePane="bottomRight" state="frozen"/>
      <selection pane="topRight" activeCell="B1" sqref="B1"/>
      <selection pane="bottomLeft" activeCell="A9" sqref="A9"/>
      <selection pane="bottomRight" activeCell="A5" sqref="A5"/>
    </sheetView>
  </sheetViews>
  <sheetFormatPr baseColWidth="10" defaultColWidth="11.42578125" defaultRowHeight="12.75" x14ac:dyDescent="0.2"/>
  <cols>
    <col min="1" max="1" width="62" style="623" customWidth="1"/>
    <col min="2" max="37" width="11.7109375" style="623" customWidth="1"/>
    <col min="38" max="256" width="11.42578125" style="623"/>
    <col min="257" max="257" width="62" style="623" customWidth="1"/>
    <col min="258" max="293" width="11.7109375" style="623" customWidth="1"/>
    <col min="294" max="512" width="11.42578125" style="623"/>
    <col min="513" max="513" width="62" style="623" customWidth="1"/>
    <col min="514" max="549" width="11.7109375" style="623" customWidth="1"/>
    <col min="550" max="768" width="11.42578125" style="623"/>
    <col min="769" max="769" width="62" style="623" customWidth="1"/>
    <col min="770" max="805" width="11.7109375" style="623" customWidth="1"/>
    <col min="806" max="1024" width="11.42578125" style="623"/>
    <col min="1025" max="1025" width="62" style="623" customWidth="1"/>
    <col min="1026" max="1061" width="11.7109375" style="623" customWidth="1"/>
    <col min="1062" max="1280" width="11.42578125" style="623"/>
    <col min="1281" max="1281" width="62" style="623" customWidth="1"/>
    <col min="1282" max="1317" width="11.7109375" style="623" customWidth="1"/>
    <col min="1318" max="1536" width="11.42578125" style="623"/>
    <col min="1537" max="1537" width="62" style="623" customWidth="1"/>
    <col min="1538" max="1573" width="11.7109375" style="623" customWidth="1"/>
    <col min="1574" max="1792" width="11.42578125" style="623"/>
    <col min="1793" max="1793" width="62" style="623" customWidth="1"/>
    <col min="1794" max="1829" width="11.7109375" style="623" customWidth="1"/>
    <col min="1830" max="2048" width="11.42578125" style="623"/>
    <col min="2049" max="2049" width="62" style="623" customWidth="1"/>
    <col min="2050" max="2085" width="11.7109375" style="623" customWidth="1"/>
    <col min="2086" max="2304" width="11.42578125" style="623"/>
    <col min="2305" max="2305" width="62" style="623" customWidth="1"/>
    <col min="2306" max="2341" width="11.7109375" style="623" customWidth="1"/>
    <col min="2342" max="2560" width="11.42578125" style="623"/>
    <col min="2561" max="2561" width="62" style="623" customWidth="1"/>
    <col min="2562" max="2597" width="11.7109375" style="623" customWidth="1"/>
    <col min="2598" max="2816" width="11.42578125" style="623"/>
    <col min="2817" max="2817" width="62" style="623" customWidth="1"/>
    <col min="2818" max="2853" width="11.7109375" style="623" customWidth="1"/>
    <col min="2854" max="3072" width="11.42578125" style="623"/>
    <col min="3073" max="3073" width="62" style="623" customWidth="1"/>
    <col min="3074" max="3109" width="11.7109375" style="623" customWidth="1"/>
    <col min="3110" max="3328" width="11.42578125" style="623"/>
    <col min="3329" max="3329" width="62" style="623" customWidth="1"/>
    <col min="3330" max="3365" width="11.7109375" style="623" customWidth="1"/>
    <col min="3366" max="3584" width="11.42578125" style="623"/>
    <col min="3585" max="3585" width="62" style="623" customWidth="1"/>
    <col min="3586" max="3621" width="11.7109375" style="623" customWidth="1"/>
    <col min="3622" max="3840" width="11.42578125" style="623"/>
    <col min="3841" max="3841" width="62" style="623" customWidth="1"/>
    <col min="3842" max="3877" width="11.7109375" style="623" customWidth="1"/>
    <col min="3878" max="4096" width="11.42578125" style="623"/>
    <col min="4097" max="4097" width="62" style="623" customWidth="1"/>
    <col min="4098" max="4133" width="11.7109375" style="623" customWidth="1"/>
    <col min="4134" max="4352" width="11.42578125" style="623"/>
    <col min="4353" max="4353" width="62" style="623" customWidth="1"/>
    <col min="4354" max="4389" width="11.7109375" style="623" customWidth="1"/>
    <col min="4390" max="4608" width="11.42578125" style="623"/>
    <col min="4609" max="4609" width="62" style="623" customWidth="1"/>
    <col min="4610" max="4645" width="11.7109375" style="623" customWidth="1"/>
    <col min="4646" max="4864" width="11.42578125" style="623"/>
    <col min="4865" max="4865" width="62" style="623" customWidth="1"/>
    <col min="4866" max="4901" width="11.7109375" style="623" customWidth="1"/>
    <col min="4902" max="5120" width="11.42578125" style="623"/>
    <col min="5121" max="5121" width="62" style="623" customWidth="1"/>
    <col min="5122" max="5157" width="11.7109375" style="623" customWidth="1"/>
    <col min="5158" max="5376" width="11.42578125" style="623"/>
    <col min="5377" max="5377" width="62" style="623" customWidth="1"/>
    <col min="5378" max="5413" width="11.7109375" style="623" customWidth="1"/>
    <col min="5414" max="5632" width="11.42578125" style="623"/>
    <col min="5633" max="5633" width="62" style="623" customWidth="1"/>
    <col min="5634" max="5669" width="11.7109375" style="623" customWidth="1"/>
    <col min="5670" max="5888" width="11.42578125" style="623"/>
    <col min="5889" max="5889" width="62" style="623" customWidth="1"/>
    <col min="5890" max="5925" width="11.7109375" style="623" customWidth="1"/>
    <col min="5926" max="6144" width="11.42578125" style="623"/>
    <col min="6145" max="6145" width="62" style="623" customWidth="1"/>
    <col min="6146" max="6181" width="11.7109375" style="623" customWidth="1"/>
    <col min="6182" max="6400" width="11.42578125" style="623"/>
    <col min="6401" max="6401" width="62" style="623" customWidth="1"/>
    <col min="6402" max="6437" width="11.7109375" style="623" customWidth="1"/>
    <col min="6438" max="6656" width="11.42578125" style="623"/>
    <col min="6657" max="6657" width="62" style="623" customWidth="1"/>
    <col min="6658" max="6693" width="11.7109375" style="623" customWidth="1"/>
    <col min="6694" max="6912" width="11.42578125" style="623"/>
    <col min="6913" max="6913" width="62" style="623" customWidth="1"/>
    <col min="6914" max="6949" width="11.7109375" style="623" customWidth="1"/>
    <col min="6950" max="7168" width="11.42578125" style="623"/>
    <col min="7169" max="7169" width="62" style="623" customWidth="1"/>
    <col min="7170" max="7205" width="11.7109375" style="623" customWidth="1"/>
    <col min="7206" max="7424" width="11.42578125" style="623"/>
    <col min="7425" max="7425" width="62" style="623" customWidth="1"/>
    <col min="7426" max="7461" width="11.7109375" style="623" customWidth="1"/>
    <col min="7462" max="7680" width="11.42578125" style="623"/>
    <col min="7681" max="7681" width="62" style="623" customWidth="1"/>
    <col min="7682" max="7717" width="11.7109375" style="623" customWidth="1"/>
    <col min="7718" max="7936" width="11.42578125" style="623"/>
    <col min="7937" max="7937" width="62" style="623" customWidth="1"/>
    <col min="7938" max="7973" width="11.7109375" style="623" customWidth="1"/>
    <col min="7974" max="8192" width="11.42578125" style="623"/>
    <col min="8193" max="8193" width="62" style="623" customWidth="1"/>
    <col min="8194" max="8229" width="11.7109375" style="623" customWidth="1"/>
    <col min="8230" max="8448" width="11.42578125" style="623"/>
    <col min="8449" max="8449" width="62" style="623" customWidth="1"/>
    <col min="8450" max="8485" width="11.7109375" style="623" customWidth="1"/>
    <col min="8486" max="8704" width="11.42578125" style="623"/>
    <col min="8705" max="8705" width="62" style="623" customWidth="1"/>
    <col min="8706" max="8741" width="11.7109375" style="623" customWidth="1"/>
    <col min="8742" max="8960" width="11.42578125" style="623"/>
    <col min="8961" max="8961" width="62" style="623" customWidth="1"/>
    <col min="8962" max="8997" width="11.7109375" style="623" customWidth="1"/>
    <col min="8998" max="9216" width="11.42578125" style="623"/>
    <col min="9217" max="9217" width="62" style="623" customWidth="1"/>
    <col min="9218" max="9253" width="11.7109375" style="623" customWidth="1"/>
    <col min="9254" max="9472" width="11.42578125" style="623"/>
    <col min="9473" max="9473" width="62" style="623" customWidth="1"/>
    <col min="9474" max="9509" width="11.7109375" style="623" customWidth="1"/>
    <col min="9510" max="9728" width="11.42578125" style="623"/>
    <col min="9729" max="9729" width="62" style="623" customWidth="1"/>
    <col min="9730" max="9765" width="11.7109375" style="623" customWidth="1"/>
    <col min="9766" max="9984" width="11.42578125" style="623"/>
    <col min="9985" max="9985" width="62" style="623" customWidth="1"/>
    <col min="9986" max="10021" width="11.7109375" style="623" customWidth="1"/>
    <col min="10022" max="10240" width="11.42578125" style="623"/>
    <col min="10241" max="10241" width="62" style="623" customWidth="1"/>
    <col min="10242" max="10277" width="11.7109375" style="623" customWidth="1"/>
    <col min="10278" max="10496" width="11.42578125" style="623"/>
    <col min="10497" max="10497" width="62" style="623" customWidth="1"/>
    <col min="10498" max="10533" width="11.7109375" style="623" customWidth="1"/>
    <col min="10534" max="10752" width="11.42578125" style="623"/>
    <col min="10753" max="10753" width="62" style="623" customWidth="1"/>
    <col min="10754" max="10789" width="11.7109375" style="623" customWidth="1"/>
    <col min="10790" max="11008" width="11.42578125" style="623"/>
    <col min="11009" max="11009" width="62" style="623" customWidth="1"/>
    <col min="11010" max="11045" width="11.7109375" style="623" customWidth="1"/>
    <col min="11046" max="11264" width="11.42578125" style="623"/>
    <col min="11265" max="11265" width="62" style="623" customWidth="1"/>
    <col min="11266" max="11301" width="11.7109375" style="623" customWidth="1"/>
    <col min="11302" max="11520" width="11.42578125" style="623"/>
    <col min="11521" max="11521" width="62" style="623" customWidth="1"/>
    <col min="11522" max="11557" width="11.7109375" style="623" customWidth="1"/>
    <col min="11558" max="11776" width="11.42578125" style="623"/>
    <col min="11777" max="11777" width="62" style="623" customWidth="1"/>
    <col min="11778" max="11813" width="11.7109375" style="623" customWidth="1"/>
    <col min="11814" max="12032" width="11.42578125" style="623"/>
    <col min="12033" max="12033" width="62" style="623" customWidth="1"/>
    <col min="12034" max="12069" width="11.7109375" style="623" customWidth="1"/>
    <col min="12070" max="12288" width="11.42578125" style="623"/>
    <col min="12289" max="12289" width="62" style="623" customWidth="1"/>
    <col min="12290" max="12325" width="11.7109375" style="623" customWidth="1"/>
    <col min="12326" max="12544" width="11.42578125" style="623"/>
    <col min="12545" max="12545" width="62" style="623" customWidth="1"/>
    <col min="12546" max="12581" width="11.7109375" style="623" customWidth="1"/>
    <col min="12582" max="12800" width="11.42578125" style="623"/>
    <col min="12801" max="12801" width="62" style="623" customWidth="1"/>
    <col min="12802" max="12837" width="11.7109375" style="623" customWidth="1"/>
    <col min="12838" max="13056" width="11.42578125" style="623"/>
    <col min="13057" max="13057" width="62" style="623" customWidth="1"/>
    <col min="13058" max="13093" width="11.7109375" style="623" customWidth="1"/>
    <col min="13094" max="13312" width="11.42578125" style="623"/>
    <col min="13313" max="13313" width="62" style="623" customWidth="1"/>
    <col min="13314" max="13349" width="11.7109375" style="623" customWidth="1"/>
    <col min="13350" max="13568" width="11.42578125" style="623"/>
    <col min="13569" max="13569" width="62" style="623" customWidth="1"/>
    <col min="13570" max="13605" width="11.7109375" style="623" customWidth="1"/>
    <col min="13606" max="13824" width="11.42578125" style="623"/>
    <col min="13825" max="13825" width="62" style="623" customWidth="1"/>
    <col min="13826" max="13861" width="11.7109375" style="623" customWidth="1"/>
    <col min="13862" max="14080" width="11.42578125" style="623"/>
    <col min="14081" max="14081" width="62" style="623" customWidth="1"/>
    <col min="14082" max="14117" width="11.7109375" style="623" customWidth="1"/>
    <col min="14118" max="14336" width="11.42578125" style="623"/>
    <col min="14337" max="14337" width="62" style="623" customWidth="1"/>
    <col min="14338" max="14373" width="11.7109375" style="623" customWidth="1"/>
    <col min="14374" max="14592" width="11.42578125" style="623"/>
    <col min="14593" max="14593" width="62" style="623" customWidth="1"/>
    <col min="14594" max="14629" width="11.7109375" style="623" customWidth="1"/>
    <col min="14630" max="14848" width="11.42578125" style="623"/>
    <col min="14849" max="14849" width="62" style="623" customWidth="1"/>
    <col min="14850" max="14885" width="11.7109375" style="623" customWidth="1"/>
    <col min="14886" max="15104" width="11.42578125" style="623"/>
    <col min="15105" max="15105" width="62" style="623" customWidth="1"/>
    <col min="15106" max="15141" width="11.7109375" style="623" customWidth="1"/>
    <col min="15142" max="15360" width="11.42578125" style="623"/>
    <col min="15361" max="15361" width="62" style="623" customWidth="1"/>
    <col min="15362" max="15397" width="11.7109375" style="623" customWidth="1"/>
    <col min="15398" max="15616" width="11.42578125" style="623"/>
    <col min="15617" max="15617" width="62" style="623" customWidth="1"/>
    <col min="15618" max="15653" width="11.7109375" style="623" customWidth="1"/>
    <col min="15654" max="15872" width="11.42578125" style="623"/>
    <col min="15873" max="15873" width="62" style="623" customWidth="1"/>
    <col min="15874" max="15909" width="11.7109375" style="623" customWidth="1"/>
    <col min="15910" max="16128" width="11.42578125" style="623"/>
    <col min="16129" max="16129" width="62" style="623" customWidth="1"/>
    <col min="16130" max="16165" width="11.7109375" style="623" customWidth="1"/>
    <col min="16166" max="16384" width="11.42578125" style="623"/>
  </cols>
  <sheetData>
    <row r="1" spans="1:54" ht="20.25" x14ac:dyDescent="0.3">
      <c r="A1" s="621" t="s">
        <v>172</v>
      </c>
      <c r="B1" s="622" t="s">
        <v>52</v>
      </c>
      <c r="AL1" s="624"/>
    </row>
    <row r="2" spans="1:54" ht="20.25" x14ac:dyDescent="0.3">
      <c r="A2" s="621" t="s">
        <v>269</v>
      </c>
      <c r="AL2" s="624"/>
    </row>
    <row r="3" spans="1:54" ht="18.75" x14ac:dyDescent="0.3">
      <c r="A3" s="625" t="s">
        <v>337</v>
      </c>
      <c r="AL3" s="624"/>
    </row>
    <row r="4" spans="1:54" ht="18.75" x14ac:dyDescent="0.3">
      <c r="A4" s="626" t="s">
        <v>420</v>
      </c>
      <c r="B4" s="627"/>
      <c r="C4" s="628"/>
      <c r="D4" s="629"/>
      <c r="E4" s="627"/>
      <c r="F4" s="628"/>
      <c r="G4" s="629"/>
      <c r="H4" s="627"/>
      <c r="I4" s="628"/>
      <c r="J4" s="629"/>
      <c r="K4" s="628"/>
      <c r="L4" s="628"/>
      <c r="M4" s="629"/>
      <c r="N4" s="628"/>
      <c r="O4" s="628"/>
      <c r="P4" s="629"/>
      <c r="Q4" s="627"/>
      <c r="R4" s="628"/>
      <c r="S4" s="629"/>
      <c r="T4" s="627"/>
      <c r="U4" s="628"/>
      <c r="V4" s="629"/>
      <c r="W4" s="627"/>
      <c r="X4" s="628"/>
      <c r="Y4" s="629"/>
      <c r="Z4" s="627"/>
      <c r="AA4" s="628"/>
      <c r="AB4" s="629"/>
      <c r="AC4" s="627"/>
      <c r="AD4" s="628"/>
      <c r="AE4" s="629"/>
      <c r="AF4" s="627"/>
      <c r="AG4" s="628"/>
      <c r="AH4" s="629"/>
      <c r="AI4" s="627"/>
      <c r="AJ4" s="630"/>
      <c r="AK4" s="629"/>
      <c r="AL4" s="631"/>
      <c r="AM4" s="632"/>
      <c r="AN4" s="632"/>
      <c r="AO4" s="632"/>
      <c r="AP4" s="632"/>
      <c r="AQ4" s="632"/>
      <c r="AR4" s="632"/>
      <c r="AS4" s="632"/>
      <c r="AT4" s="632"/>
      <c r="AU4" s="632"/>
      <c r="AV4" s="632"/>
      <c r="AW4" s="632"/>
      <c r="AX4" s="632"/>
      <c r="AY4" s="632"/>
      <c r="AZ4" s="632"/>
      <c r="BA4" s="632"/>
      <c r="BB4" s="632"/>
    </row>
    <row r="5" spans="1:54" ht="18.75" x14ac:dyDescent="0.3">
      <c r="A5" s="633"/>
      <c r="B5" s="765" t="s">
        <v>175</v>
      </c>
      <c r="C5" s="766"/>
      <c r="D5" s="767"/>
      <c r="E5" s="765" t="s">
        <v>176</v>
      </c>
      <c r="F5" s="766"/>
      <c r="G5" s="767"/>
      <c r="H5" s="765" t="s">
        <v>176</v>
      </c>
      <c r="I5" s="766"/>
      <c r="J5" s="767"/>
      <c r="K5" s="766"/>
      <c r="L5" s="766"/>
      <c r="M5" s="767"/>
      <c r="N5" s="766" t="s">
        <v>177</v>
      </c>
      <c r="O5" s="766"/>
      <c r="P5" s="767"/>
      <c r="Q5" s="765" t="s">
        <v>178</v>
      </c>
      <c r="R5" s="766"/>
      <c r="S5" s="767"/>
      <c r="T5" s="698" t="s">
        <v>179</v>
      </c>
      <c r="U5" s="699"/>
      <c r="V5" s="700"/>
      <c r="W5" s="688"/>
      <c r="X5" s="689"/>
      <c r="Y5" s="690"/>
      <c r="Z5" s="765" t="s">
        <v>180</v>
      </c>
      <c r="AA5" s="766"/>
      <c r="AB5" s="767"/>
      <c r="AC5" s="765"/>
      <c r="AD5" s="766"/>
      <c r="AE5" s="767"/>
      <c r="AF5" s="765" t="s">
        <v>72</v>
      </c>
      <c r="AG5" s="766"/>
      <c r="AH5" s="767"/>
      <c r="AI5" s="768" t="s">
        <v>287</v>
      </c>
      <c r="AJ5" s="769"/>
      <c r="AK5" s="770"/>
      <c r="AM5" s="634"/>
      <c r="AN5" s="758"/>
      <c r="AO5" s="758"/>
      <c r="AP5" s="758"/>
      <c r="AQ5" s="758"/>
      <c r="AR5" s="758"/>
      <c r="AS5" s="758"/>
      <c r="AT5" s="758"/>
      <c r="AU5" s="758"/>
      <c r="AV5" s="758"/>
      <c r="AW5" s="758"/>
      <c r="AX5" s="758"/>
      <c r="AY5" s="758"/>
      <c r="AZ5" s="758"/>
      <c r="BA5" s="758"/>
      <c r="BB5" s="758"/>
    </row>
    <row r="6" spans="1:54" ht="18.75" x14ac:dyDescent="0.3">
      <c r="A6" s="635"/>
      <c r="B6" s="759" t="s">
        <v>181</v>
      </c>
      <c r="C6" s="760"/>
      <c r="D6" s="761"/>
      <c r="E6" s="759" t="s">
        <v>419</v>
      </c>
      <c r="F6" s="760"/>
      <c r="G6" s="761"/>
      <c r="H6" s="759" t="s">
        <v>182</v>
      </c>
      <c r="I6" s="760"/>
      <c r="J6" s="761"/>
      <c r="K6" s="760" t="s">
        <v>408</v>
      </c>
      <c r="L6" s="760"/>
      <c r="M6" s="761"/>
      <c r="N6" s="760" t="s">
        <v>182</v>
      </c>
      <c r="O6" s="760"/>
      <c r="P6" s="761"/>
      <c r="Q6" s="759" t="s">
        <v>183</v>
      </c>
      <c r="R6" s="760"/>
      <c r="S6" s="761"/>
      <c r="T6" s="759" t="s">
        <v>63</v>
      </c>
      <c r="U6" s="760"/>
      <c r="V6" s="761"/>
      <c r="W6" s="759" t="s">
        <v>65</v>
      </c>
      <c r="X6" s="760"/>
      <c r="Y6" s="761"/>
      <c r="Z6" s="759" t="s">
        <v>181</v>
      </c>
      <c r="AA6" s="760"/>
      <c r="AB6" s="761"/>
      <c r="AC6" s="759" t="s">
        <v>67</v>
      </c>
      <c r="AD6" s="760"/>
      <c r="AE6" s="761"/>
      <c r="AF6" s="759" t="s">
        <v>182</v>
      </c>
      <c r="AG6" s="760"/>
      <c r="AH6" s="761"/>
      <c r="AI6" s="762" t="s">
        <v>288</v>
      </c>
      <c r="AJ6" s="763"/>
      <c r="AK6" s="764"/>
      <c r="AM6" s="634"/>
      <c r="AN6" s="758"/>
      <c r="AO6" s="758"/>
      <c r="AP6" s="758"/>
      <c r="AQ6" s="758"/>
      <c r="AR6" s="758"/>
      <c r="AS6" s="758"/>
      <c r="AT6" s="758"/>
      <c r="AU6" s="758"/>
      <c r="AV6" s="758"/>
      <c r="AW6" s="758"/>
      <c r="AX6" s="758"/>
      <c r="AY6" s="758"/>
      <c r="AZ6" s="758"/>
      <c r="BA6" s="758"/>
      <c r="BB6" s="758"/>
    </row>
    <row r="7" spans="1:54" ht="18.75" x14ac:dyDescent="0.3">
      <c r="A7" s="635"/>
      <c r="B7" s="636"/>
      <c r="C7" s="636"/>
      <c r="D7" s="637" t="s">
        <v>80</v>
      </c>
      <c r="E7" s="636"/>
      <c r="F7" s="636"/>
      <c r="G7" s="637" t="s">
        <v>80</v>
      </c>
      <c r="H7" s="636"/>
      <c r="I7" s="636"/>
      <c r="J7" s="637" t="s">
        <v>80</v>
      </c>
      <c r="K7" s="636"/>
      <c r="L7" s="636"/>
      <c r="M7" s="637" t="s">
        <v>80</v>
      </c>
      <c r="N7" s="636"/>
      <c r="O7" s="636"/>
      <c r="P7" s="637" t="s">
        <v>80</v>
      </c>
      <c r="Q7" s="636"/>
      <c r="R7" s="636"/>
      <c r="S7" s="637" t="s">
        <v>80</v>
      </c>
      <c r="T7" s="636"/>
      <c r="U7" s="636"/>
      <c r="V7" s="637" t="s">
        <v>80</v>
      </c>
      <c r="W7" s="636"/>
      <c r="X7" s="636"/>
      <c r="Y7" s="637" t="s">
        <v>80</v>
      </c>
      <c r="Z7" s="636"/>
      <c r="AA7" s="636"/>
      <c r="AB7" s="637" t="s">
        <v>80</v>
      </c>
      <c r="AC7" s="636"/>
      <c r="AD7" s="636"/>
      <c r="AE7" s="637" t="s">
        <v>80</v>
      </c>
      <c r="AF7" s="636"/>
      <c r="AG7" s="636"/>
      <c r="AH7" s="637" t="s">
        <v>80</v>
      </c>
      <c r="AI7" s="636"/>
      <c r="AJ7" s="636"/>
      <c r="AK7" s="637" t="s">
        <v>80</v>
      </c>
      <c r="AM7" s="634"/>
      <c r="AN7" s="634"/>
      <c r="AO7" s="634"/>
      <c r="AP7" s="634"/>
      <c r="AQ7" s="634"/>
      <c r="AR7" s="634"/>
      <c r="AS7" s="634"/>
      <c r="AT7" s="634"/>
      <c r="AU7" s="634"/>
      <c r="AV7" s="634"/>
      <c r="AW7" s="634"/>
      <c r="AX7" s="634"/>
      <c r="AY7" s="634"/>
      <c r="AZ7" s="634"/>
      <c r="BA7" s="634"/>
      <c r="BB7" s="634"/>
    </row>
    <row r="8" spans="1:54" ht="15.75" x14ac:dyDescent="0.25">
      <c r="A8" s="638" t="s">
        <v>290</v>
      </c>
      <c r="B8" s="639">
        <v>2019</v>
      </c>
      <c r="C8" s="639">
        <v>2020</v>
      </c>
      <c r="D8" s="640" t="s">
        <v>82</v>
      </c>
      <c r="E8" s="639">
        <v>2019</v>
      </c>
      <c r="F8" s="639">
        <v>2020</v>
      </c>
      <c r="G8" s="640" t="s">
        <v>82</v>
      </c>
      <c r="H8" s="639">
        <v>2019</v>
      </c>
      <c r="I8" s="639">
        <v>2020</v>
      </c>
      <c r="J8" s="640" t="s">
        <v>82</v>
      </c>
      <c r="K8" s="639">
        <v>2019</v>
      </c>
      <c r="L8" s="639">
        <v>2020</v>
      </c>
      <c r="M8" s="640" t="s">
        <v>82</v>
      </c>
      <c r="N8" s="639">
        <v>2019</v>
      </c>
      <c r="O8" s="639">
        <v>2020</v>
      </c>
      <c r="P8" s="640" t="s">
        <v>82</v>
      </c>
      <c r="Q8" s="639">
        <v>2019</v>
      </c>
      <c r="R8" s="639">
        <v>2020</v>
      </c>
      <c r="S8" s="640" t="s">
        <v>82</v>
      </c>
      <c r="T8" s="639">
        <v>2019</v>
      </c>
      <c r="U8" s="639">
        <v>2020</v>
      </c>
      <c r="V8" s="640" t="s">
        <v>82</v>
      </c>
      <c r="W8" s="639">
        <v>2019</v>
      </c>
      <c r="X8" s="639">
        <v>2020</v>
      </c>
      <c r="Y8" s="640" t="s">
        <v>82</v>
      </c>
      <c r="Z8" s="639">
        <v>2019</v>
      </c>
      <c r="AA8" s="639">
        <v>2020</v>
      </c>
      <c r="AB8" s="640" t="s">
        <v>82</v>
      </c>
      <c r="AC8" s="639">
        <v>2019</v>
      </c>
      <c r="AD8" s="639">
        <v>2020</v>
      </c>
      <c r="AE8" s="640" t="s">
        <v>82</v>
      </c>
      <c r="AF8" s="639">
        <v>2019</v>
      </c>
      <c r="AG8" s="639">
        <v>2020</v>
      </c>
      <c r="AH8" s="640" t="s">
        <v>82</v>
      </c>
      <c r="AI8" s="639">
        <v>2019</v>
      </c>
      <c r="AJ8" s="639">
        <v>2020</v>
      </c>
      <c r="AK8" s="640" t="s">
        <v>82</v>
      </c>
      <c r="AM8" s="641"/>
      <c r="AN8" s="642"/>
      <c r="AO8" s="642"/>
      <c r="AP8" s="641"/>
      <c r="AQ8" s="642"/>
      <c r="AR8" s="642"/>
      <c r="AS8" s="641"/>
      <c r="AT8" s="642"/>
      <c r="AU8" s="642"/>
      <c r="AV8" s="641"/>
      <c r="AW8" s="642"/>
      <c r="AX8" s="642"/>
      <c r="AY8" s="641"/>
      <c r="AZ8" s="642"/>
      <c r="BA8" s="642"/>
      <c r="BB8" s="641"/>
    </row>
    <row r="9" spans="1:54" s="596" customFormat="1" ht="18.75" x14ac:dyDescent="0.3">
      <c r="A9" s="643"/>
      <c r="B9" s="644"/>
      <c r="C9" s="645"/>
      <c r="D9" s="645"/>
      <c r="E9" s="647"/>
      <c r="F9" s="597"/>
      <c r="G9" s="600"/>
      <c r="H9" s="646"/>
      <c r="I9" s="673"/>
      <c r="J9" s="600"/>
      <c r="K9" s="646"/>
      <c r="L9" s="673"/>
      <c r="M9" s="600"/>
      <c r="N9" s="646"/>
      <c r="O9" s="673"/>
      <c r="P9" s="600"/>
      <c r="Q9" s="647"/>
      <c r="R9" s="600"/>
      <c r="S9" s="600"/>
      <c r="T9" s="646"/>
      <c r="U9" s="673"/>
      <c r="V9" s="600"/>
      <c r="W9" s="647"/>
      <c r="X9" s="597"/>
      <c r="Y9" s="600"/>
      <c r="Z9" s="646"/>
      <c r="AA9" s="673"/>
      <c r="AB9" s="600"/>
      <c r="AC9" s="646"/>
      <c r="AD9" s="673"/>
      <c r="AE9" s="600"/>
      <c r="AF9" s="646"/>
      <c r="AG9" s="673"/>
      <c r="AH9" s="600"/>
      <c r="AI9" s="645"/>
      <c r="AJ9" s="645"/>
      <c r="AK9" s="645"/>
    </row>
    <row r="10" spans="1:54" s="596" customFormat="1" ht="18.75" x14ac:dyDescent="0.3">
      <c r="A10" s="648" t="s">
        <v>409</v>
      </c>
      <c r="B10" s="646"/>
      <c r="C10" s="673"/>
      <c r="D10" s="600"/>
      <c r="E10" s="647"/>
      <c r="F10" s="597"/>
      <c r="G10" s="600"/>
      <c r="H10" s="646"/>
      <c r="I10" s="673"/>
      <c r="J10" s="600"/>
      <c r="K10" s="600"/>
      <c r="L10" s="673"/>
      <c r="M10" s="600"/>
      <c r="N10" s="646"/>
      <c r="O10" s="673"/>
      <c r="P10" s="600"/>
      <c r="Q10" s="647"/>
      <c r="R10" s="600"/>
      <c r="S10" s="600"/>
      <c r="T10" s="646"/>
      <c r="U10" s="673"/>
      <c r="V10" s="600"/>
      <c r="W10" s="647"/>
      <c r="X10" s="597"/>
      <c r="Y10" s="600"/>
      <c r="Z10" s="647"/>
      <c r="AA10" s="597"/>
      <c r="AB10" s="600"/>
      <c r="AC10" s="647"/>
      <c r="AD10" s="597"/>
      <c r="AE10" s="600"/>
      <c r="AF10" s="647"/>
      <c r="AG10" s="597"/>
      <c r="AH10" s="600"/>
      <c r="AI10" s="600"/>
      <c r="AJ10" s="600"/>
      <c r="AK10" s="601"/>
    </row>
    <row r="11" spans="1:54" ht="22.5" x14ac:dyDescent="0.3">
      <c r="A11" s="648" t="s">
        <v>410</v>
      </c>
      <c r="B11" s="646">
        <v>1.48</v>
      </c>
      <c r="C11" s="673">
        <v>1.29</v>
      </c>
      <c r="D11" s="601">
        <f>IF(B11=0, "    ---- ", IF(ABS(ROUND(100/B11*C11-100,1))&lt;999,ROUND(100/B11*C11-100,1),IF(ROUND(100/B11*C11-100,1)&gt;999,999,-999)))</f>
        <v>-12.8</v>
      </c>
      <c r="E11" s="647">
        <v>2.44</v>
      </c>
      <c r="F11" s="597">
        <v>1.1000000000000001</v>
      </c>
      <c r="G11" s="600"/>
      <c r="H11" s="646">
        <v>2.9</v>
      </c>
      <c r="I11" s="673">
        <v>1.02</v>
      </c>
      <c r="J11" s="601">
        <f>IF(H11=0, "    ---- ", IF(ABS(ROUND(100/H11*I11-100,1))&lt;999,ROUND(100/H11*I11-100,1),IF(ROUND(100/H11*I11-100,1)&gt;999,999,-999)))</f>
        <v>-64.8</v>
      </c>
      <c r="K11" s="600"/>
      <c r="L11" s="673">
        <v>1.5</v>
      </c>
      <c r="M11" s="600"/>
      <c r="N11" s="646"/>
      <c r="O11" s="673"/>
      <c r="P11" s="600"/>
      <c r="Q11" s="647">
        <v>2.86</v>
      </c>
      <c r="R11" s="600">
        <v>1.71</v>
      </c>
      <c r="S11" s="600"/>
      <c r="T11" s="646">
        <v>2.6987502087078701</v>
      </c>
      <c r="U11" s="673">
        <v>3.1641821479754695</v>
      </c>
      <c r="V11" s="600"/>
      <c r="W11" s="647">
        <v>2.5</v>
      </c>
      <c r="X11" s="597">
        <v>3</v>
      </c>
      <c r="Y11" s="600"/>
      <c r="Z11" s="647">
        <v>1.36</v>
      </c>
      <c r="AA11" s="597"/>
      <c r="AB11" s="600"/>
      <c r="AC11" s="647">
        <v>5.6475669069215204</v>
      </c>
      <c r="AD11" s="597">
        <v>1.29431072290409</v>
      </c>
      <c r="AE11" s="600"/>
      <c r="AF11" s="647">
        <v>2.61</v>
      </c>
      <c r="AG11" s="597">
        <v>2.83</v>
      </c>
      <c r="AH11" s="600"/>
      <c r="AI11" s="601"/>
      <c r="AJ11" s="601"/>
      <c r="AK11" s="601" t="str">
        <f>IF(AI11=0, "    ---- ", IF(ABS(ROUND(100/AI11*AJ11-100,1))&lt;999,ROUND(100/AI11*AJ11-100,1),IF(ROUND(100/AI11*AJ11-100,1)&gt;999,999,-999)))</f>
        <v xml:space="preserve">    ---- </v>
      </c>
    </row>
    <row r="12" spans="1:54" ht="18.75" x14ac:dyDescent="0.3">
      <c r="A12" s="648" t="s">
        <v>411</v>
      </c>
      <c r="B12" s="646">
        <v>4.13</v>
      </c>
      <c r="C12" s="673">
        <v>3.79</v>
      </c>
      <c r="D12" s="601">
        <f>IF(B12=0, "    ---- ", IF(ABS(ROUND(100/B12*C12-100,1))&lt;999,ROUND(100/B12*C12-100,1),IF(ROUND(100/B12*C12-100,1)&gt;999,999,-999)))</f>
        <v>-8.1999999999999993</v>
      </c>
      <c r="E12" s="647">
        <v>2.93</v>
      </c>
      <c r="F12" s="597">
        <v>1</v>
      </c>
      <c r="G12" s="600"/>
      <c r="H12" s="646">
        <v>4.47</v>
      </c>
      <c r="I12" s="673">
        <v>-0.15</v>
      </c>
      <c r="J12" s="601">
        <f>IF(H12=0, "    ---- ", IF(ABS(ROUND(100/H12*I12-100,1))&lt;999,ROUND(100/H12*I12-100,1),IF(ROUND(100/H12*I12-100,1)&gt;999,999,-999)))</f>
        <v>-103.4</v>
      </c>
      <c r="K12" s="600"/>
      <c r="L12" s="673">
        <v>1.81</v>
      </c>
      <c r="M12" s="600"/>
      <c r="N12" s="646"/>
      <c r="O12" s="673"/>
      <c r="P12" s="600"/>
      <c r="Q12" s="647">
        <v>3.17</v>
      </c>
      <c r="R12" s="600">
        <v>1.43</v>
      </c>
      <c r="S12" s="600"/>
      <c r="T12" s="646">
        <v>6.6323422204499698</v>
      </c>
      <c r="U12" s="673">
        <v>1.3974375502501024</v>
      </c>
      <c r="V12" s="600"/>
      <c r="W12" s="647">
        <v>4.3</v>
      </c>
      <c r="X12" s="597">
        <v>3</v>
      </c>
      <c r="Y12" s="600"/>
      <c r="Z12" s="647">
        <v>6.68</v>
      </c>
      <c r="AA12" s="597"/>
      <c r="AB12" s="600"/>
      <c r="AC12" s="647">
        <v>8.5755970154294303</v>
      </c>
      <c r="AD12" s="597">
        <v>1.42805839118392</v>
      </c>
      <c r="AE12" s="600"/>
      <c r="AF12" s="647">
        <v>4.55</v>
      </c>
      <c r="AG12" s="597">
        <v>4.12</v>
      </c>
      <c r="AH12" s="600"/>
      <c r="AI12" s="601"/>
      <c r="AJ12" s="601"/>
      <c r="AK12" s="601" t="str">
        <f>IF(AI12=0, "    ---- ", IF(ABS(ROUND(100/AI12*AJ12-100,1))&lt;999,ROUND(100/AI12*AJ12-100,1),IF(ROUND(100/AI12*AJ12-100,1)&gt;999,999,-999)))</f>
        <v xml:space="preserve">    ---- </v>
      </c>
    </row>
    <row r="13" spans="1:54" ht="18.75" x14ac:dyDescent="0.3">
      <c r="A13" s="648"/>
      <c r="B13" s="646"/>
      <c r="C13" s="673"/>
      <c r="D13" s="600"/>
      <c r="E13" s="647"/>
      <c r="F13" s="597"/>
      <c r="G13" s="600"/>
      <c r="H13" s="646"/>
      <c r="I13" s="673"/>
      <c r="J13" s="600"/>
      <c r="K13" s="600"/>
      <c r="L13" s="673"/>
      <c r="M13" s="600"/>
      <c r="N13" s="646"/>
      <c r="O13" s="673"/>
      <c r="P13" s="600"/>
      <c r="Q13" s="647"/>
      <c r="R13" s="600"/>
      <c r="S13" s="600"/>
      <c r="T13" s="646"/>
      <c r="U13" s="673"/>
      <c r="V13" s="600"/>
      <c r="W13" s="647"/>
      <c r="X13" s="597"/>
      <c r="Y13" s="600"/>
      <c r="Z13" s="647"/>
      <c r="AA13" s="597"/>
      <c r="AB13" s="600"/>
      <c r="AC13" s="647"/>
      <c r="AD13" s="597"/>
      <c r="AE13" s="600"/>
      <c r="AF13" s="647"/>
      <c r="AG13" s="597"/>
      <c r="AH13" s="600"/>
      <c r="AI13" s="600"/>
      <c r="AJ13" s="600"/>
      <c r="AK13" s="600"/>
    </row>
    <row r="14" spans="1:54" ht="18.75" x14ac:dyDescent="0.3">
      <c r="A14" s="648" t="s">
        <v>412</v>
      </c>
      <c r="B14" s="646"/>
      <c r="C14" s="673"/>
      <c r="D14" s="601"/>
      <c r="E14" s="647">
        <v>42.8</v>
      </c>
      <c r="F14" s="701">
        <v>52.4</v>
      </c>
      <c r="G14" s="601">
        <f>IF(E14=0, "    ---- ", IF(ABS(ROUND(100/E14*F14-100,1))&lt;999,ROUND(100/E14*F14-100,1),IF(ROUND(100/E14*F14-100,1)&gt;999,999,-999)))</f>
        <v>22.4</v>
      </c>
      <c r="H14" s="646">
        <v>24.96</v>
      </c>
      <c r="I14" s="673">
        <v>24.91</v>
      </c>
      <c r="J14" s="601">
        <f>IF(H14=0, "    ---- ", IF(ABS(ROUND(100/H14*I14-100,1))&lt;999,ROUND(100/H14*I14-100,1),IF(ROUND(100/H14*I14-100,1)&gt;999,999,-999)))</f>
        <v>-0.2</v>
      </c>
      <c r="K14" s="600"/>
      <c r="L14" s="673">
        <v>42.17</v>
      </c>
      <c r="M14" s="601" t="str">
        <f>IF(K14=0, "    ---- ", IF(ABS(ROUND(100/K14*L14-100,1))&lt;999,ROUND(100/K14*L14-100,1),IF(ROUND(100/K14*L14-100,1)&gt;999,999,-999)))</f>
        <v xml:space="preserve">    ---- </v>
      </c>
      <c r="N14" s="646">
        <v>38.700000000000003</v>
      </c>
      <c r="O14" s="673">
        <v>50</v>
      </c>
      <c r="P14" s="601">
        <f>IF(N14=0, "    ---- ", IF(ABS(ROUND(100/N14*O14-100,1))&lt;999,ROUND(100/N14*O14-100,1),IF(ROUND(100/N14*O14-100,1)&gt;999,999,-999)))</f>
        <v>29.2</v>
      </c>
      <c r="Q14" s="647">
        <v>19.7</v>
      </c>
      <c r="R14" s="600">
        <v>23.14</v>
      </c>
      <c r="S14" s="601">
        <f>IF(Q14=0, "    ---- ", IF(ABS(ROUND(100/Q14*R14-100,1))&lt;999,ROUND(100/Q14*R14-100,1),IF(ROUND(100/Q14*R14-100,1)&gt;999,999,-999)))</f>
        <v>17.5</v>
      </c>
      <c r="T14" s="646">
        <v>28.604399224903055</v>
      </c>
      <c r="U14" s="673">
        <v>22.7</v>
      </c>
      <c r="V14" s="601">
        <f>IF(T14=0, "    ---- ", IF(ABS(ROUND(100/T14*U14-100,1))&lt;999,ROUND(100/T14*U14-100,1),IF(ROUND(100/T14*U14-100,1)&gt;999,999,-999)))</f>
        <v>-20.6</v>
      </c>
      <c r="W14" s="647">
        <v>35.5</v>
      </c>
      <c r="X14" s="597">
        <v>39.4</v>
      </c>
      <c r="Y14" s="601">
        <f>IF(W14=0, "    ---- ", IF(ABS(ROUND(100/W14*X14-100,1))&lt;999,ROUND(100/W14*X14-100,1),IF(ROUND(100/W14*X14-100,1)&gt;999,999,-999)))</f>
        <v>11</v>
      </c>
      <c r="Z14" s="646">
        <f>(1430+7651+1240+7503+13966+856)/(64784+1299)*100</f>
        <v>49.401510221993554</v>
      </c>
      <c r="AA14" s="673">
        <f>(1430+8579+1240+7228+15433+1516)/(67952+1696)*100</f>
        <v>50.864346427750974</v>
      </c>
      <c r="AB14" s="601">
        <f>IF(Z14=0, "    ---- ", IF(ABS(ROUND(100/Z14*AA14-100,1))&lt;999,ROUND(100/Z14*AA14-100,1),IF(ROUND(100/Z14*AA14-100,1)&gt;999,999,-999)))</f>
        <v>3</v>
      </c>
      <c r="AC14" s="647">
        <f>('[2]Tabell 6'!AI68+'[2]Tabell 6'!AI69+'[2]Tabell 6'!AI71+'[2]Tabell 6'!AI74+'[2]Tabell 6'!AI75+'[2]Tabell 6'!AI78+443.253)/('[2]Tabell 6'!AI79)*100</f>
        <v>24.961168489944622</v>
      </c>
      <c r="AD14" s="597" t="e">
        <f>('[3]Tabell 6'!AM68+'[3]Tabell 6'!AM71+'[3]Tabell 6'!AM74+'[3]Tabell 6'!AM75+'[3]Tabell 6'!AM78+819.027)/('[3]Tabell 6'!AM79)*100</f>
        <v>#DIV/0!</v>
      </c>
      <c r="AE14" s="601" t="e">
        <f>IF(AC14=0, "    ---- ", IF(ABS(ROUND(100/AC14*AD14-100,1))&lt;999,ROUND(100/AC14*AD14-100,1),IF(ROUND(100/AC14*AD14-100,1)&gt;999,999,-999)))</f>
        <v>#DIV/0!</v>
      </c>
      <c r="AF14" s="647">
        <v>24.9</v>
      </c>
      <c r="AG14" s="597">
        <v>27.9</v>
      </c>
      <c r="AH14" s="601">
        <f>IF(AF14=0, "    ---- ", IF(ABS(ROUND(100/AF14*AG14-100,1))&lt;999,ROUND(100/AF14*AG14-100,1),IF(ROUND(100/AF14*AG14-100,1)&gt;999,999,-999)))</f>
        <v>12</v>
      </c>
      <c r="AI14" s="601"/>
      <c r="AJ14" s="601"/>
      <c r="AK14" s="601" t="str">
        <f>IF(AI14=0, "    ---- ", IF(ABS(ROUND(100/AI14*AJ14-100,1))&lt;999,ROUND(100/AI14*AJ14-100,1),IF(ROUND(100/AI14*AJ14-100,1)&gt;999,999,-999)))</f>
        <v xml:space="preserve">    ---- </v>
      </c>
    </row>
    <row r="15" spans="1:54" ht="18.75" x14ac:dyDescent="0.3">
      <c r="A15" s="648"/>
      <c r="B15" s="646"/>
      <c r="C15" s="673"/>
      <c r="D15" s="600"/>
      <c r="E15" s="647"/>
      <c r="F15" s="597"/>
      <c r="G15" s="600"/>
      <c r="H15" s="646"/>
      <c r="I15" s="673"/>
      <c r="J15" s="600"/>
      <c r="K15" s="600"/>
      <c r="L15" s="673"/>
      <c r="M15" s="600"/>
      <c r="N15" s="646"/>
      <c r="O15" s="673"/>
      <c r="P15" s="600"/>
      <c r="Q15" s="647"/>
      <c r="R15" s="600"/>
      <c r="S15" s="600"/>
      <c r="T15" s="646"/>
      <c r="U15" s="673"/>
      <c r="V15" s="600"/>
      <c r="W15" s="647"/>
      <c r="X15" s="597"/>
      <c r="Y15" s="600"/>
      <c r="Z15" s="647"/>
      <c r="AA15" s="597"/>
      <c r="AB15" s="600"/>
      <c r="AC15" s="647"/>
      <c r="AD15" s="597"/>
      <c r="AE15" s="600"/>
      <c r="AF15" s="647"/>
      <c r="AG15" s="597"/>
      <c r="AH15" s="600"/>
      <c r="AI15" s="600"/>
      <c r="AJ15" s="600"/>
      <c r="AK15" s="600"/>
    </row>
    <row r="16" spans="1:54" ht="18.75" x14ac:dyDescent="0.3">
      <c r="A16" s="648" t="s">
        <v>346</v>
      </c>
      <c r="B16" s="649">
        <v>43.970999999999997</v>
      </c>
      <c r="C16" s="674">
        <v>68.054000000000002</v>
      </c>
      <c r="D16" s="601">
        <f>IF(B16=0, "    ---- ", IF(ABS(ROUND(100/B16*C16-100,1))&lt;999,ROUND(100/B16*C16-100,1),IF(ROUND(100/B16*C16-100,1)&gt;999,999,-999)))</f>
        <v>54.8</v>
      </c>
      <c r="E16" s="650">
        <v>16</v>
      </c>
      <c r="F16" s="598">
        <v>19</v>
      </c>
      <c r="G16" s="601"/>
      <c r="H16" s="649">
        <v>4702.4532689999996</v>
      </c>
      <c r="I16" s="674">
        <v>3292.319</v>
      </c>
      <c r="J16" s="601">
        <f>IF(H16=0, "    ---- ", IF(ABS(ROUND(100/H16*I16-100,1))&lt;999,ROUND(100/H16*I16-100,1),IF(ROUND(100/H16*I16-100,1)&gt;999,999,-999)))</f>
        <v>-30</v>
      </c>
      <c r="K16" s="601"/>
      <c r="L16" s="674">
        <v>23</v>
      </c>
      <c r="M16" s="601"/>
      <c r="N16" s="649"/>
      <c r="O16" s="674"/>
      <c r="P16" s="601"/>
      <c r="Q16" s="650">
        <v>22.268999999999998</v>
      </c>
      <c r="R16" s="601">
        <v>2.2730000000000001</v>
      </c>
      <c r="S16" s="601"/>
      <c r="T16" s="649">
        <v>54475.754281000001</v>
      </c>
      <c r="U16" s="674">
        <v>47456.172450999999</v>
      </c>
      <c r="V16" s="601"/>
      <c r="W16" s="650">
        <v>1899</v>
      </c>
      <c r="X16" s="598">
        <v>1661</v>
      </c>
      <c r="Y16" s="601"/>
      <c r="Z16" s="650">
        <v>13966</v>
      </c>
      <c r="AA16" s="598">
        <v>15433</v>
      </c>
      <c r="AB16" s="601"/>
      <c r="AC16" s="650">
        <v>2204.0650000000001</v>
      </c>
      <c r="AD16" s="598">
        <v>2354.748</v>
      </c>
      <c r="AE16" s="601"/>
      <c r="AF16" s="650">
        <v>5893</v>
      </c>
      <c r="AG16" s="598">
        <v>8092</v>
      </c>
      <c r="AH16" s="601"/>
      <c r="AI16" s="601">
        <f>B16+H16+K16+N16+Q16+T16+E16+W16+Z16+AC16+AF16</f>
        <v>83222.512549999999</v>
      </c>
      <c r="AJ16" s="601">
        <f>C16+I16+L16+O16+R16+U16+F16+X16+AA16+AD16+AG16</f>
        <v>78401.566451000006</v>
      </c>
      <c r="AK16" s="601">
        <f>IF(AI16=0, "    ---- ", IF(ABS(ROUND(100/AI16*AJ16-100,1))&lt;999,ROUND(100/AI16*AJ16-100,1),IF(ROUND(100/AI16*AJ16-100,1)&gt;999,999,-999)))</f>
        <v>-5.8</v>
      </c>
    </row>
    <row r="17" spans="1:37" ht="18.75" x14ac:dyDescent="0.3">
      <c r="A17" s="648"/>
      <c r="B17" s="649"/>
      <c r="C17" s="674"/>
      <c r="D17" s="601"/>
      <c r="E17" s="650"/>
      <c r="F17" s="598"/>
      <c r="G17" s="601"/>
      <c r="H17" s="649"/>
      <c r="I17" s="674"/>
      <c r="J17" s="601"/>
      <c r="K17" s="601"/>
      <c r="L17" s="674"/>
      <c r="M17" s="601"/>
      <c r="N17" s="649"/>
      <c r="O17" s="674"/>
      <c r="P17" s="601"/>
      <c r="Q17" s="650"/>
      <c r="R17" s="601"/>
      <c r="S17" s="601"/>
      <c r="T17" s="649"/>
      <c r="U17" s="674"/>
      <c r="V17" s="601"/>
      <c r="W17" s="650"/>
      <c r="X17" s="598"/>
      <c r="Y17" s="601"/>
      <c r="Z17" s="650"/>
      <c r="AA17" s="598"/>
      <c r="AB17" s="601"/>
      <c r="AC17" s="650"/>
      <c r="AD17" s="598"/>
      <c r="AE17" s="601"/>
      <c r="AF17" s="650"/>
      <c r="AG17" s="598"/>
      <c r="AH17" s="601"/>
      <c r="AI17" s="601"/>
      <c r="AJ17" s="601"/>
      <c r="AK17" s="601"/>
    </row>
    <row r="18" spans="1:37" ht="18.75" x14ac:dyDescent="0.3">
      <c r="A18" s="651" t="s">
        <v>413</v>
      </c>
      <c r="B18" s="652"/>
      <c r="C18" s="675"/>
      <c r="D18" s="602"/>
      <c r="E18" s="654">
        <v>70</v>
      </c>
      <c r="F18" s="599">
        <v>154</v>
      </c>
      <c r="G18" s="602"/>
      <c r="H18" s="652">
        <v>6659.4449999999997</v>
      </c>
      <c r="I18" s="675">
        <v>9086.7749999999996</v>
      </c>
      <c r="J18" s="602">
        <f>IF(H18=0, "    ---- ", IF(ABS(ROUND(100/H18*I18-100,1))&lt;999,ROUND(100/H18*I18-100,1),IF(ROUND(100/H18*I18-100,1)&gt;999,999,-999)))</f>
        <v>36.4</v>
      </c>
      <c r="K18" s="602"/>
      <c r="L18" s="691">
        <v>1.6</v>
      </c>
      <c r="M18" s="602"/>
      <c r="N18" s="652"/>
      <c r="O18" s="675"/>
      <c r="P18" s="602"/>
      <c r="Q18" s="653"/>
      <c r="R18" s="602">
        <v>7.8109999999999999</v>
      </c>
      <c r="S18" s="602"/>
      <c r="T18" s="652">
        <v>691.26632307353998</v>
      </c>
      <c r="U18" s="675">
        <v>1329</v>
      </c>
      <c r="V18" s="602"/>
      <c r="W18" s="654">
        <v>1854</v>
      </c>
      <c r="X18" s="599">
        <v>3388</v>
      </c>
      <c r="Y18" s="602"/>
      <c r="Z18" s="654">
        <v>856</v>
      </c>
      <c r="AA18" s="599">
        <v>1516</v>
      </c>
      <c r="AB18" s="602"/>
      <c r="AC18" s="654">
        <v>54.088999999999999</v>
      </c>
      <c r="AD18" s="599">
        <v>112.59399999999999</v>
      </c>
      <c r="AE18" s="602"/>
      <c r="AF18" s="654">
        <v>6495</v>
      </c>
      <c r="AG18" s="599">
        <v>10476</v>
      </c>
      <c r="AH18" s="602"/>
      <c r="AI18" s="602">
        <f>B18+H18+K18+N18+Q18+T18+E18+W18+Z18+AC18+AF18</f>
        <v>16679.800323073541</v>
      </c>
      <c r="AJ18" s="602">
        <f>C18+I18+L18+O18+R18+U18+F18+X18+AA18+AD18+AG18</f>
        <v>26071.78</v>
      </c>
      <c r="AK18" s="602">
        <f>IF(AI18=0, "    ---- ", IF(ABS(ROUND(100/AI18*AJ18-100,1))&lt;999,ROUND(100/AI18*AJ18-100,1),IF(ROUND(100/AI18*AJ18-100,1)&gt;999,999,-999)))</f>
        <v>56.3</v>
      </c>
    </row>
  </sheetData>
  <protectedRanges>
    <protectedRange sqref="K9:K13 K15:K18" name="Område1_9_3"/>
    <protectedRange sqref="K14" name="Område1_4_2_3"/>
    <protectedRange sqref="R9:R13 R15:R18" name="Område1_9_6"/>
    <protectedRange sqref="R14" name="Område1_4_2_6"/>
    <protectedRange sqref="Q9:Q10" name="Område1_9_1_1"/>
    <protectedRange sqref="Q11:Q18" name="Område1_7_1_1"/>
    <protectedRange sqref="L9:L10" name="Område1_13_5"/>
    <protectedRange sqref="L11:L18" name="Område1_2_1_2"/>
    <protectedRange sqref="W9:X10" name="Område1_13_3_1"/>
    <protectedRange sqref="W11:X18" name="Område1_5_1_2"/>
    <protectedRange sqref="AC9:AD18" name="Område1_11_1_1"/>
    <protectedRange sqref="AF9:AG10" name="Område1_10_1_1"/>
    <protectedRange sqref="AF11:AG18" name="Område1_8_1_1_1"/>
    <protectedRange sqref="N9:O13 N15:O18" name="Område1_13_1_1"/>
    <protectedRange sqref="N14:O14" name="Område1_4_1_2"/>
    <protectedRange sqref="Z9:AA10" name="Område1_13_4_1"/>
    <protectedRange sqref="Z11:AA13 Z15:AA18 Z14" name="Område1_6_1_2"/>
    <protectedRange sqref="AA14" name="Område1_4_2_1"/>
    <protectedRange sqref="B9:C10 B17:C18" name="Område1_12_1_1"/>
    <protectedRange sqref="B11:C16" name="Område1_1_1_1_1"/>
    <protectedRange sqref="H9:I10" name="Område1_13_5_1"/>
    <protectedRange sqref="H11:I18" name="Område1_2_1_2_1"/>
    <protectedRange sqref="T9:U10" name="Område1_13_2_1"/>
    <protectedRange sqref="T11:U18" name="Område1_3_1_2"/>
  </protectedRanges>
  <mergeCells count="32">
    <mergeCell ref="Q5:S5"/>
    <mergeCell ref="E5:G5"/>
    <mergeCell ref="B5:D5"/>
    <mergeCell ref="H5:J5"/>
    <mergeCell ref="K5:M5"/>
    <mergeCell ref="N5:P5"/>
    <mergeCell ref="AT5:AV5"/>
    <mergeCell ref="AW5:AY5"/>
    <mergeCell ref="AZ5:BB5"/>
    <mergeCell ref="B6:D6"/>
    <mergeCell ref="H6:J6"/>
    <mergeCell ref="K6:M6"/>
    <mergeCell ref="N6:P6"/>
    <mergeCell ref="Q6:S6"/>
    <mergeCell ref="T6:V6"/>
    <mergeCell ref="E6:G6"/>
    <mergeCell ref="Z5:AB5"/>
    <mergeCell ref="AC5:AE5"/>
    <mergeCell ref="AF5:AH5"/>
    <mergeCell ref="AI5:AK5"/>
    <mergeCell ref="AN5:AP5"/>
    <mergeCell ref="AQ5:AS5"/>
    <mergeCell ref="AQ6:AS6"/>
    <mergeCell ref="AT6:AV6"/>
    <mergeCell ref="AW6:AY6"/>
    <mergeCell ref="AZ6:BB6"/>
    <mergeCell ref="W6:Y6"/>
    <mergeCell ref="Z6:AB6"/>
    <mergeCell ref="AC6:AE6"/>
    <mergeCell ref="AF6:AH6"/>
    <mergeCell ref="AI6:AK6"/>
    <mergeCell ref="AN6:AP6"/>
  </mergeCells>
  <hyperlinks>
    <hyperlink ref="B1" location="Innhold!A1" display="Tilbake" xr:uid="{10497701-2AA6-4565-8F01-4AFD14AEF8BE}"/>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Ark9"/>
  <dimension ref="A2:Q65"/>
  <sheetViews>
    <sheetView showGridLines="0" topLeftCell="B1" zoomScale="90" zoomScaleNormal="90" workbookViewId="0">
      <selection activeCell="C6" sqref="C6"/>
    </sheetView>
  </sheetViews>
  <sheetFormatPr baseColWidth="10" defaultColWidth="11.42578125" defaultRowHeight="12.75" x14ac:dyDescent="0.2"/>
  <cols>
    <col min="1" max="1" width="66.28515625" style="1" customWidth="1"/>
    <col min="2" max="2" width="4.28515625" style="50" customWidth="1"/>
    <col min="3" max="3" width="105.140625" style="1" customWidth="1"/>
    <col min="4" max="8" width="12.7109375" style="1" customWidth="1"/>
    <col min="9" max="257" width="11.42578125" style="1"/>
    <col min="258" max="258" width="2.7109375" style="1" customWidth="1"/>
    <col min="259" max="259" width="176.7109375" style="1" customWidth="1"/>
    <col min="260" max="260" width="11.42578125" style="1"/>
    <col min="261" max="261" width="176.7109375" style="1" customWidth="1"/>
    <col min="262" max="262" width="11.42578125" style="1"/>
    <col min="263" max="263" width="88.7109375" style="1" customWidth="1"/>
    <col min="264" max="513" width="11.42578125" style="1"/>
    <col min="514" max="514" width="2.7109375" style="1" customWidth="1"/>
    <col min="515" max="515" width="176.7109375" style="1" customWidth="1"/>
    <col min="516" max="516" width="11.42578125" style="1"/>
    <col min="517" max="517" width="176.7109375" style="1" customWidth="1"/>
    <col min="518" max="518" width="11.42578125" style="1"/>
    <col min="519" max="519" width="88.7109375" style="1" customWidth="1"/>
    <col min="520" max="769" width="11.42578125" style="1"/>
    <col min="770" max="770" width="2.7109375" style="1" customWidth="1"/>
    <col min="771" max="771" width="176.7109375" style="1" customWidth="1"/>
    <col min="772" max="772" width="11.42578125" style="1"/>
    <col min="773" max="773" width="176.7109375" style="1" customWidth="1"/>
    <col min="774" max="774" width="11.42578125" style="1"/>
    <col min="775" max="775" width="88.7109375" style="1" customWidth="1"/>
    <col min="776" max="1025" width="11.42578125" style="1"/>
    <col min="1026" max="1026" width="2.7109375" style="1" customWidth="1"/>
    <col min="1027" max="1027" width="176.7109375" style="1" customWidth="1"/>
    <col min="1028" max="1028" width="11.42578125" style="1"/>
    <col min="1029" max="1029" width="176.7109375" style="1" customWidth="1"/>
    <col min="1030" max="1030" width="11.42578125" style="1"/>
    <col min="1031" max="1031" width="88.7109375" style="1" customWidth="1"/>
    <col min="1032" max="1281" width="11.42578125" style="1"/>
    <col min="1282" max="1282" width="2.7109375" style="1" customWidth="1"/>
    <col min="1283" max="1283" width="176.7109375" style="1" customWidth="1"/>
    <col min="1284" max="1284" width="11.42578125" style="1"/>
    <col min="1285" max="1285" width="176.7109375" style="1" customWidth="1"/>
    <col min="1286" max="1286" width="11.42578125" style="1"/>
    <col min="1287" max="1287" width="88.7109375" style="1" customWidth="1"/>
    <col min="1288" max="1537" width="11.42578125" style="1"/>
    <col min="1538" max="1538" width="2.7109375" style="1" customWidth="1"/>
    <col min="1539" max="1539" width="176.7109375" style="1" customWidth="1"/>
    <col min="1540" max="1540" width="11.42578125" style="1"/>
    <col min="1541" max="1541" width="176.7109375" style="1" customWidth="1"/>
    <col min="1542" max="1542" width="11.42578125" style="1"/>
    <col min="1543" max="1543" width="88.7109375" style="1" customWidth="1"/>
    <col min="1544" max="1793" width="11.42578125" style="1"/>
    <col min="1794" max="1794" width="2.7109375" style="1" customWidth="1"/>
    <col min="1795" max="1795" width="176.7109375" style="1" customWidth="1"/>
    <col min="1796" max="1796" width="11.42578125" style="1"/>
    <col min="1797" max="1797" width="176.7109375" style="1" customWidth="1"/>
    <col min="1798" max="1798" width="11.42578125" style="1"/>
    <col min="1799" max="1799" width="88.7109375" style="1" customWidth="1"/>
    <col min="1800" max="2049" width="11.42578125" style="1"/>
    <col min="2050" max="2050" width="2.7109375" style="1" customWidth="1"/>
    <col min="2051" max="2051" width="176.7109375" style="1" customWidth="1"/>
    <col min="2052" max="2052" width="11.42578125" style="1"/>
    <col min="2053" max="2053" width="176.7109375" style="1" customWidth="1"/>
    <col min="2054" max="2054" width="11.42578125" style="1"/>
    <col min="2055" max="2055" width="88.7109375" style="1" customWidth="1"/>
    <col min="2056" max="2305" width="11.42578125" style="1"/>
    <col min="2306" max="2306" width="2.7109375" style="1" customWidth="1"/>
    <col min="2307" max="2307" width="176.7109375" style="1" customWidth="1"/>
    <col min="2308" max="2308" width="11.42578125" style="1"/>
    <col min="2309" max="2309" width="176.7109375" style="1" customWidth="1"/>
    <col min="2310" max="2310" width="11.42578125" style="1"/>
    <col min="2311" max="2311" width="88.7109375" style="1" customWidth="1"/>
    <col min="2312" max="2561" width="11.42578125" style="1"/>
    <col min="2562" max="2562" width="2.7109375" style="1" customWidth="1"/>
    <col min="2563" max="2563" width="176.7109375" style="1" customWidth="1"/>
    <col min="2564" max="2564" width="11.42578125" style="1"/>
    <col min="2565" max="2565" width="176.7109375" style="1" customWidth="1"/>
    <col min="2566" max="2566" width="11.42578125" style="1"/>
    <col min="2567" max="2567" width="88.7109375" style="1" customWidth="1"/>
    <col min="2568" max="2817" width="11.42578125" style="1"/>
    <col min="2818" max="2818" width="2.7109375" style="1" customWidth="1"/>
    <col min="2819" max="2819" width="176.7109375" style="1" customWidth="1"/>
    <col min="2820" max="2820" width="11.42578125" style="1"/>
    <col min="2821" max="2821" width="176.7109375" style="1" customWidth="1"/>
    <col min="2822" max="2822" width="11.42578125" style="1"/>
    <col min="2823" max="2823" width="88.7109375" style="1" customWidth="1"/>
    <col min="2824" max="3073" width="11.42578125" style="1"/>
    <col min="3074" max="3074" width="2.7109375" style="1" customWidth="1"/>
    <col min="3075" max="3075" width="176.7109375" style="1" customWidth="1"/>
    <col min="3076" max="3076" width="11.42578125" style="1"/>
    <col min="3077" max="3077" width="176.7109375" style="1" customWidth="1"/>
    <col min="3078" max="3078" width="11.42578125" style="1"/>
    <col min="3079" max="3079" width="88.7109375" style="1" customWidth="1"/>
    <col min="3080" max="3329" width="11.42578125" style="1"/>
    <col min="3330" max="3330" width="2.7109375" style="1" customWidth="1"/>
    <col min="3331" max="3331" width="176.7109375" style="1" customWidth="1"/>
    <col min="3332" max="3332" width="11.42578125" style="1"/>
    <col min="3333" max="3333" width="176.7109375" style="1" customWidth="1"/>
    <col min="3334" max="3334" width="11.42578125" style="1"/>
    <col min="3335" max="3335" width="88.7109375" style="1" customWidth="1"/>
    <col min="3336" max="3585" width="11.42578125" style="1"/>
    <col min="3586" max="3586" width="2.7109375" style="1" customWidth="1"/>
    <col min="3587" max="3587" width="176.7109375" style="1" customWidth="1"/>
    <col min="3588" max="3588" width="11.42578125" style="1"/>
    <col min="3589" max="3589" width="176.7109375" style="1" customWidth="1"/>
    <col min="3590" max="3590" width="11.42578125" style="1"/>
    <col min="3591" max="3591" width="88.7109375" style="1" customWidth="1"/>
    <col min="3592" max="3841" width="11.42578125" style="1"/>
    <col min="3842" max="3842" width="2.7109375" style="1" customWidth="1"/>
    <col min="3843" max="3843" width="176.7109375" style="1" customWidth="1"/>
    <col min="3844" max="3844" width="11.42578125" style="1"/>
    <col min="3845" max="3845" width="176.7109375" style="1" customWidth="1"/>
    <col min="3846" max="3846" width="11.42578125" style="1"/>
    <col min="3847" max="3847" width="88.7109375" style="1" customWidth="1"/>
    <col min="3848" max="4097" width="11.42578125" style="1"/>
    <col min="4098" max="4098" width="2.7109375" style="1" customWidth="1"/>
    <col min="4099" max="4099" width="176.7109375" style="1" customWidth="1"/>
    <col min="4100" max="4100" width="11.42578125" style="1"/>
    <col min="4101" max="4101" width="176.7109375" style="1" customWidth="1"/>
    <col min="4102" max="4102" width="11.42578125" style="1"/>
    <col min="4103" max="4103" width="88.7109375" style="1" customWidth="1"/>
    <col min="4104" max="4353" width="11.42578125" style="1"/>
    <col min="4354" max="4354" width="2.7109375" style="1" customWidth="1"/>
    <col min="4355" max="4355" width="176.7109375" style="1" customWidth="1"/>
    <col min="4356" max="4356" width="11.42578125" style="1"/>
    <col min="4357" max="4357" width="176.7109375" style="1" customWidth="1"/>
    <col min="4358" max="4358" width="11.42578125" style="1"/>
    <col min="4359" max="4359" width="88.7109375" style="1" customWidth="1"/>
    <col min="4360" max="4609" width="11.42578125" style="1"/>
    <col min="4610" max="4610" width="2.7109375" style="1" customWidth="1"/>
    <col min="4611" max="4611" width="176.7109375" style="1" customWidth="1"/>
    <col min="4612" max="4612" width="11.42578125" style="1"/>
    <col min="4613" max="4613" width="176.7109375" style="1" customWidth="1"/>
    <col min="4614" max="4614" width="11.42578125" style="1"/>
    <col min="4615" max="4615" width="88.7109375" style="1" customWidth="1"/>
    <col min="4616" max="4865" width="11.42578125" style="1"/>
    <col min="4866" max="4866" width="2.7109375" style="1" customWidth="1"/>
    <col min="4867" max="4867" width="176.7109375" style="1" customWidth="1"/>
    <col min="4868" max="4868" width="11.42578125" style="1"/>
    <col min="4869" max="4869" width="176.7109375" style="1" customWidth="1"/>
    <col min="4870" max="4870" width="11.42578125" style="1"/>
    <col min="4871" max="4871" width="88.7109375" style="1" customWidth="1"/>
    <col min="4872" max="5121" width="11.42578125" style="1"/>
    <col min="5122" max="5122" width="2.7109375" style="1" customWidth="1"/>
    <col min="5123" max="5123" width="176.7109375" style="1" customWidth="1"/>
    <col min="5124" max="5124" width="11.42578125" style="1"/>
    <col min="5125" max="5125" width="176.7109375" style="1" customWidth="1"/>
    <col min="5126" max="5126" width="11.42578125" style="1"/>
    <col min="5127" max="5127" width="88.7109375" style="1" customWidth="1"/>
    <col min="5128" max="5377" width="11.42578125" style="1"/>
    <col min="5378" max="5378" width="2.7109375" style="1" customWidth="1"/>
    <col min="5379" max="5379" width="176.7109375" style="1" customWidth="1"/>
    <col min="5380" max="5380" width="11.42578125" style="1"/>
    <col min="5381" max="5381" width="176.7109375" style="1" customWidth="1"/>
    <col min="5382" max="5382" width="11.42578125" style="1"/>
    <col min="5383" max="5383" width="88.7109375" style="1" customWidth="1"/>
    <col min="5384" max="5633" width="11.42578125" style="1"/>
    <col min="5634" max="5634" width="2.7109375" style="1" customWidth="1"/>
    <col min="5635" max="5635" width="176.7109375" style="1" customWidth="1"/>
    <col min="5636" max="5636" width="11.42578125" style="1"/>
    <col min="5637" max="5637" width="176.7109375" style="1" customWidth="1"/>
    <col min="5638" max="5638" width="11.42578125" style="1"/>
    <col min="5639" max="5639" width="88.7109375" style="1" customWidth="1"/>
    <col min="5640" max="5889" width="11.42578125" style="1"/>
    <col min="5890" max="5890" width="2.7109375" style="1" customWidth="1"/>
    <col min="5891" max="5891" width="176.7109375" style="1" customWidth="1"/>
    <col min="5892" max="5892" width="11.42578125" style="1"/>
    <col min="5893" max="5893" width="176.7109375" style="1" customWidth="1"/>
    <col min="5894" max="5894" width="11.42578125" style="1"/>
    <col min="5895" max="5895" width="88.7109375" style="1" customWidth="1"/>
    <col min="5896" max="6145" width="11.42578125" style="1"/>
    <col min="6146" max="6146" width="2.7109375" style="1" customWidth="1"/>
    <col min="6147" max="6147" width="176.7109375" style="1" customWidth="1"/>
    <col min="6148" max="6148" width="11.42578125" style="1"/>
    <col min="6149" max="6149" width="176.7109375" style="1" customWidth="1"/>
    <col min="6150" max="6150" width="11.42578125" style="1"/>
    <col min="6151" max="6151" width="88.7109375" style="1" customWidth="1"/>
    <col min="6152" max="6401" width="11.42578125" style="1"/>
    <col min="6402" max="6402" width="2.7109375" style="1" customWidth="1"/>
    <col min="6403" max="6403" width="176.7109375" style="1" customWidth="1"/>
    <col min="6404" max="6404" width="11.42578125" style="1"/>
    <col min="6405" max="6405" width="176.7109375" style="1" customWidth="1"/>
    <col min="6406" max="6406" width="11.42578125" style="1"/>
    <col min="6407" max="6407" width="88.7109375" style="1" customWidth="1"/>
    <col min="6408" max="6657" width="11.42578125" style="1"/>
    <col min="6658" max="6658" width="2.7109375" style="1" customWidth="1"/>
    <col min="6659" max="6659" width="176.7109375" style="1" customWidth="1"/>
    <col min="6660" max="6660" width="11.42578125" style="1"/>
    <col min="6661" max="6661" width="176.7109375" style="1" customWidth="1"/>
    <col min="6662" max="6662" width="11.42578125" style="1"/>
    <col min="6663" max="6663" width="88.7109375" style="1" customWidth="1"/>
    <col min="6664" max="6913" width="11.42578125" style="1"/>
    <col min="6914" max="6914" width="2.7109375" style="1" customWidth="1"/>
    <col min="6915" max="6915" width="176.7109375" style="1" customWidth="1"/>
    <col min="6916" max="6916" width="11.42578125" style="1"/>
    <col min="6917" max="6917" width="176.7109375" style="1" customWidth="1"/>
    <col min="6918" max="6918" width="11.42578125" style="1"/>
    <col min="6919" max="6919" width="88.7109375" style="1" customWidth="1"/>
    <col min="6920" max="7169" width="11.42578125" style="1"/>
    <col min="7170" max="7170" width="2.7109375" style="1" customWidth="1"/>
    <col min="7171" max="7171" width="176.7109375" style="1" customWidth="1"/>
    <col min="7172" max="7172" width="11.42578125" style="1"/>
    <col min="7173" max="7173" width="176.7109375" style="1" customWidth="1"/>
    <col min="7174" max="7174" width="11.42578125" style="1"/>
    <col min="7175" max="7175" width="88.7109375" style="1" customWidth="1"/>
    <col min="7176" max="7425" width="11.42578125" style="1"/>
    <col min="7426" max="7426" width="2.7109375" style="1" customWidth="1"/>
    <col min="7427" max="7427" width="176.7109375" style="1" customWidth="1"/>
    <col min="7428" max="7428" width="11.42578125" style="1"/>
    <col min="7429" max="7429" width="176.7109375" style="1" customWidth="1"/>
    <col min="7430" max="7430" width="11.42578125" style="1"/>
    <col min="7431" max="7431" width="88.7109375" style="1" customWidth="1"/>
    <col min="7432" max="7681" width="11.42578125" style="1"/>
    <col min="7682" max="7682" width="2.7109375" style="1" customWidth="1"/>
    <col min="7683" max="7683" width="176.7109375" style="1" customWidth="1"/>
    <col min="7684" max="7684" width="11.42578125" style="1"/>
    <col min="7685" max="7685" width="176.7109375" style="1" customWidth="1"/>
    <col min="7686" max="7686" width="11.42578125" style="1"/>
    <col min="7687" max="7687" width="88.7109375" style="1" customWidth="1"/>
    <col min="7688" max="7937" width="11.42578125" style="1"/>
    <col min="7938" max="7938" width="2.7109375" style="1" customWidth="1"/>
    <col min="7939" max="7939" width="176.7109375" style="1" customWidth="1"/>
    <col min="7940" max="7940" width="11.42578125" style="1"/>
    <col min="7941" max="7941" width="176.7109375" style="1" customWidth="1"/>
    <col min="7942" max="7942" width="11.42578125" style="1"/>
    <col min="7943" max="7943" width="88.7109375" style="1" customWidth="1"/>
    <col min="7944" max="8193" width="11.42578125" style="1"/>
    <col min="8194" max="8194" width="2.7109375" style="1" customWidth="1"/>
    <col min="8195" max="8195" width="176.7109375" style="1" customWidth="1"/>
    <col min="8196" max="8196" width="11.42578125" style="1"/>
    <col min="8197" max="8197" width="176.7109375" style="1" customWidth="1"/>
    <col min="8198" max="8198" width="11.42578125" style="1"/>
    <col min="8199" max="8199" width="88.7109375" style="1" customWidth="1"/>
    <col min="8200" max="8449" width="11.42578125" style="1"/>
    <col min="8450" max="8450" width="2.7109375" style="1" customWidth="1"/>
    <col min="8451" max="8451" width="176.7109375" style="1" customWidth="1"/>
    <col min="8452" max="8452" width="11.42578125" style="1"/>
    <col min="8453" max="8453" width="176.7109375" style="1" customWidth="1"/>
    <col min="8454" max="8454" width="11.42578125" style="1"/>
    <col min="8455" max="8455" width="88.7109375" style="1" customWidth="1"/>
    <col min="8456" max="8705" width="11.42578125" style="1"/>
    <col min="8706" max="8706" width="2.7109375" style="1" customWidth="1"/>
    <col min="8707" max="8707" width="176.7109375" style="1" customWidth="1"/>
    <col min="8708" max="8708" width="11.42578125" style="1"/>
    <col min="8709" max="8709" width="176.7109375" style="1" customWidth="1"/>
    <col min="8710" max="8710" width="11.42578125" style="1"/>
    <col min="8711" max="8711" width="88.7109375" style="1" customWidth="1"/>
    <col min="8712" max="8961" width="11.42578125" style="1"/>
    <col min="8962" max="8962" width="2.7109375" style="1" customWidth="1"/>
    <col min="8963" max="8963" width="176.7109375" style="1" customWidth="1"/>
    <col min="8964" max="8964" width="11.42578125" style="1"/>
    <col min="8965" max="8965" width="176.7109375" style="1" customWidth="1"/>
    <col min="8966" max="8966" width="11.42578125" style="1"/>
    <col min="8967" max="8967" width="88.7109375" style="1" customWidth="1"/>
    <col min="8968" max="9217" width="11.42578125" style="1"/>
    <col min="9218" max="9218" width="2.7109375" style="1" customWidth="1"/>
    <col min="9219" max="9219" width="176.7109375" style="1" customWidth="1"/>
    <col min="9220" max="9220" width="11.42578125" style="1"/>
    <col min="9221" max="9221" width="176.7109375" style="1" customWidth="1"/>
    <col min="9222" max="9222" width="11.42578125" style="1"/>
    <col min="9223" max="9223" width="88.7109375" style="1" customWidth="1"/>
    <col min="9224" max="9473" width="11.42578125" style="1"/>
    <col min="9474" max="9474" width="2.7109375" style="1" customWidth="1"/>
    <col min="9475" max="9475" width="176.7109375" style="1" customWidth="1"/>
    <col min="9476" max="9476" width="11.42578125" style="1"/>
    <col min="9477" max="9477" width="176.7109375" style="1" customWidth="1"/>
    <col min="9478" max="9478" width="11.42578125" style="1"/>
    <col min="9479" max="9479" width="88.7109375" style="1" customWidth="1"/>
    <col min="9480" max="9729" width="11.42578125" style="1"/>
    <col min="9730" max="9730" width="2.7109375" style="1" customWidth="1"/>
    <col min="9731" max="9731" width="176.7109375" style="1" customWidth="1"/>
    <col min="9732" max="9732" width="11.42578125" style="1"/>
    <col min="9733" max="9733" width="176.7109375" style="1" customWidth="1"/>
    <col min="9734" max="9734" width="11.42578125" style="1"/>
    <col min="9735" max="9735" width="88.7109375" style="1" customWidth="1"/>
    <col min="9736" max="9985" width="11.42578125" style="1"/>
    <col min="9986" max="9986" width="2.7109375" style="1" customWidth="1"/>
    <col min="9987" max="9987" width="176.7109375" style="1" customWidth="1"/>
    <col min="9988" max="9988" width="11.42578125" style="1"/>
    <col min="9989" max="9989" width="176.7109375" style="1" customWidth="1"/>
    <col min="9990" max="9990" width="11.42578125" style="1"/>
    <col min="9991" max="9991" width="88.7109375" style="1" customWidth="1"/>
    <col min="9992" max="10241" width="11.42578125" style="1"/>
    <col min="10242" max="10242" width="2.7109375" style="1" customWidth="1"/>
    <col min="10243" max="10243" width="176.7109375" style="1" customWidth="1"/>
    <col min="10244" max="10244" width="11.42578125" style="1"/>
    <col min="10245" max="10245" width="176.7109375" style="1" customWidth="1"/>
    <col min="10246" max="10246" width="11.42578125" style="1"/>
    <col min="10247" max="10247" width="88.7109375" style="1" customWidth="1"/>
    <col min="10248" max="10497" width="11.42578125" style="1"/>
    <col min="10498" max="10498" width="2.7109375" style="1" customWidth="1"/>
    <col min="10499" max="10499" width="176.7109375" style="1" customWidth="1"/>
    <col min="10500" max="10500" width="11.42578125" style="1"/>
    <col min="10501" max="10501" width="176.7109375" style="1" customWidth="1"/>
    <col min="10502" max="10502" width="11.42578125" style="1"/>
    <col min="10503" max="10503" width="88.7109375" style="1" customWidth="1"/>
    <col min="10504" max="10753" width="11.42578125" style="1"/>
    <col min="10754" max="10754" width="2.7109375" style="1" customWidth="1"/>
    <col min="10755" max="10755" width="176.7109375" style="1" customWidth="1"/>
    <col min="10756" max="10756" width="11.42578125" style="1"/>
    <col min="10757" max="10757" width="176.7109375" style="1" customWidth="1"/>
    <col min="10758" max="10758" width="11.42578125" style="1"/>
    <col min="10759" max="10759" width="88.7109375" style="1" customWidth="1"/>
    <col min="10760" max="11009" width="11.42578125" style="1"/>
    <col min="11010" max="11010" width="2.7109375" style="1" customWidth="1"/>
    <col min="11011" max="11011" width="176.7109375" style="1" customWidth="1"/>
    <col min="11012" max="11012" width="11.42578125" style="1"/>
    <col min="11013" max="11013" width="176.7109375" style="1" customWidth="1"/>
    <col min="11014" max="11014" width="11.42578125" style="1"/>
    <col min="11015" max="11015" width="88.7109375" style="1" customWidth="1"/>
    <col min="11016" max="11265" width="11.42578125" style="1"/>
    <col min="11266" max="11266" width="2.7109375" style="1" customWidth="1"/>
    <col min="11267" max="11267" width="176.7109375" style="1" customWidth="1"/>
    <col min="11268" max="11268" width="11.42578125" style="1"/>
    <col min="11269" max="11269" width="176.7109375" style="1" customWidth="1"/>
    <col min="11270" max="11270" width="11.42578125" style="1"/>
    <col min="11271" max="11271" width="88.7109375" style="1" customWidth="1"/>
    <col min="11272" max="11521" width="11.42578125" style="1"/>
    <col min="11522" max="11522" width="2.7109375" style="1" customWidth="1"/>
    <col min="11523" max="11523" width="176.7109375" style="1" customWidth="1"/>
    <col min="11524" max="11524" width="11.42578125" style="1"/>
    <col min="11525" max="11525" width="176.7109375" style="1" customWidth="1"/>
    <col min="11526" max="11526" width="11.42578125" style="1"/>
    <col min="11527" max="11527" width="88.7109375" style="1" customWidth="1"/>
    <col min="11528" max="11777" width="11.42578125" style="1"/>
    <col min="11778" max="11778" width="2.7109375" style="1" customWidth="1"/>
    <col min="11779" max="11779" width="176.7109375" style="1" customWidth="1"/>
    <col min="11780" max="11780" width="11.42578125" style="1"/>
    <col min="11781" max="11781" width="176.7109375" style="1" customWidth="1"/>
    <col min="11782" max="11782" width="11.42578125" style="1"/>
    <col min="11783" max="11783" width="88.7109375" style="1" customWidth="1"/>
    <col min="11784" max="12033" width="11.42578125" style="1"/>
    <col min="12034" max="12034" width="2.7109375" style="1" customWidth="1"/>
    <col min="12035" max="12035" width="176.7109375" style="1" customWidth="1"/>
    <col min="12036" max="12036" width="11.42578125" style="1"/>
    <col min="12037" max="12037" width="176.7109375" style="1" customWidth="1"/>
    <col min="12038" max="12038" width="11.42578125" style="1"/>
    <col min="12039" max="12039" width="88.7109375" style="1" customWidth="1"/>
    <col min="12040" max="12289" width="11.42578125" style="1"/>
    <col min="12290" max="12290" width="2.7109375" style="1" customWidth="1"/>
    <col min="12291" max="12291" width="176.7109375" style="1" customWidth="1"/>
    <col min="12292" max="12292" width="11.42578125" style="1"/>
    <col min="12293" max="12293" width="176.7109375" style="1" customWidth="1"/>
    <col min="12294" max="12294" width="11.42578125" style="1"/>
    <col min="12295" max="12295" width="88.7109375" style="1" customWidth="1"/>
    <col min="12296" max="12545" width="11.42578125" style="1"/>
    <col min="12546" max="12546" width="2.7109375" style="1" customWidth="1"/>
    <col min="12547" max="12547" width="176.7109375" style="1" customWidth="1"/>
    <col min="12548" max="12548" width="11.42578125" style="1"/>
    <col min="12549" max="12549" width="176.7109375" style="1" customWidth="1"/>
    <col min="12550" max="12550" width="11.42578125" style="1"/>
    <col min="12551" max="12551" width="88.7109375" style="1" customWidth="1"/>
    <col min="12552" max="12801" width="11.42578125" style="1"/>
    <col min="12802" max="12802" width="2.7109375" style="1" customWidth="1"/>
    <col min="12803" max="12803" width="176.7109375" style="1" customWidth="1"/>
    <col min="12804" max="12804" width="11.42578125" style="1"/>
    <col min="12805" max="12805" width="176.7109375" style="1" customWidth="1"/>
    <col min="12806" max="12806" width="11.42578125" style="1"/>
    <col min="12807" max="12807" width="88.7109375" style="1" customWidth="1"/>
    <col min="12808" max="13057" width="11.42578125" style="1"/>
    <col min="13058" max="13058" width="2.7109375" style="1" customWidth="1"/>
    <col min="13059" max="13059" width="176.7109375" style="1" customWidth="1"/>
    <col min="13060" max="13060" width="11.42578125" style="1"/>
    <col min="13061" max="13061" width="176.7109375" style="1" customWidth="1"/>
    <col min="13062" max="13062" width="11.42578125" style="1"/>
    <col min="13063" max="13063" width="88.7109375" style="1" customWidth="1"/>
    <col min="13064" max="13313" width="11.42578125" style="1"/>
    <col min="13314" max="13314" width="2.7109375" style="1" customWidth="1"/>
    <col min="13315" max="13315" width="176.7109375" style="1" customWidth="1"/>
    <col min="13316" max="13316" width="11.42578125" style="1"/>
    <col min="13317" max="13317" width="176.7109375" style="1" customWidth="1"/>
    <col min="13318" max="13318" width="11.42578125" style="1"/>
    <col min="13319" max="13319" width="88.7109375" style="1" customWidth="1"/>
    <col min="13320" max="13569" width="11.42578125" style="1"/>
    <col min="13570" max="13570" width="2.7109375" style="1" customWidth="1"/>
    <col min="13571" max="13571" width="176.7109375" style="1" customWidth="1"/>
    <col min="13572" max="13572" width="11.42578125" style="1"/>
    <col min="13573" max="13573" width="176.7109375" style="1" customWidth="1"/>
    <col min="13574" max="13574" width="11.42578125" style="1"/>
    <col min="13575" max="13575" width="88.7109375" style="1" customWidth="1"/>
    <col min="13576" max="13825" width="11.42578125" style="1"/>
    <col min="13826" max="13826" width="2.7109375" style="1" customWidth="1"/>
    <col min="13827" max="13827" width="176.7109375" style="1" customWidth="1"/>
    <col min="13828" max="13828" width="11.42578125" style="1"/>
    <col min="13829" max="13829" width="176.7109375" style="1" customWidth="1"/>
    <col min="13830" max="13830" width="11.42578125" style="1"/>
    <col min="13831" max="13831" width="88.7109375" style="1" customWidth="1"/>
    <col min="13832" max="14081" width="11.42578125" style="1"/>
    <col min="14082" max="14082" width="2.7109375" style="1" customWidth="1"/>
    <col min="14083" max="14083" width="176.7109375" style="1" customWidth="1"/>
    <col min="14084" max="14084" width="11.42578125" style="1"/>
    <col min="14085" max="14085" width="176.7109375" style="1" customWidth="1"/>
    <col min="14086" max="14086" width="11.42578125" style="1"/>
    <col min="14087" max="14087" width="88.7109375" style="1" customWidth="1"/>
    <col min="14088" max="14337" width="11.42578125" style="1"/>
    <col min="14338" max="14338" width="2.7109375" style="1" customWidth="1"/>
    <col min="14339" max="14339" width="176.7109375" style="1" customWidth="1"/>
    <col min="14340" max="14340" width="11.42578125" style="1"/>
    <col min="14341" max="14341" width="176.7109375" style="1" customWidth="1"/>
    <col min="14342" max="14342" width="11.42578125" style="1"/>
    <col min="14343" max="14343" width="88.7109375" style="1" customWidth="1"/>
    <col min="14344" max="14593" width="11.42578125" style="1"/>
    <col min="14594" max="14594" width="2.7109375" style="1" customWidth="1"/>
    <col min="14595" max="14595" width="176.7109375" style="1" customWidth="1"/>
    <col min="14596" max="14596" width="11.42578125" style="1"/>
    <col min="14597" max="14597" width="176.7109375" style="1" customWidth="1"/>
    <col min="14598" max="14598" width="11.42578125" style="1"/>
    <col min="14599" max="14599" width="88.7109375" style="1" customWidth="1"/>
    <col min="14600" max="14849" width="11.42578125" style="1"/>
    <col min="14850" max="14850" width="2.7109375" style="1" customWidth="1"/>
    <col min="14851" max="14851" width="176.7109375" style="1" customWidth="1"/>
    <col min="14852" max="14852" width="11.42578125" style="1"/>
    <col min="14853" max="14853" width="176.7109375" style="1" customWidth="1"/>
    <col min="14854" max="14854" width="11.42578125" style="1"/>
    <col min="14855" max="14855" width="88.7109375" style="1" customWidth="1"/>
    <col min="14856" max="15105" width="11.42578125" style="1"/>
    <col min="15106" max="15106" width="2.7109375" style="1" customWidth="1"/>
    <col min="15107" max="15107" width="176.7109375" style="1" customWidth="1"/>
    <col min="15108" max="15108" width="11.42578125" style="1"/>
    <col min="15109" max="15109" width="176.7109375" style="1" customWidth="1"/>
    <col min="15110" max="15110" width="11.42578125" style="1"/>
    <col min="15111" max="15111" width="88.7109375" style="1" customWidth="1"/>
    <col min="15112" max="15361" width="11.42578125" style="1"/>
    <col min="15362" max="15362" width="2.7109375" style="1" customWidth="1"/>
    <col min="15363" max="15363" width="176.7109375" style="1" customWidth="1"/>
    <col min="15364" max="15364" width="11.42578125" style="1"/>
    <col min="15365" max="15365" width="176.7109375" style="1" customWidth="1"/>
    <col min="15366" max="15366" width="11.42578125" style="1"/>
    <col min="15367" max="15367" width="88.7109375" style="1" customWidth="1"/>
    <col min="15368" max="15617" width="11.42578125" style="1"/>
    <col min="15618" max="15618" width="2.7109375" style="1" customWidth="1"/>
    <col min="15619" max="15619" width="176.7109375" style="1" customWidth="1"/>
    <col min="15620" max="15620" width="11.42578125" style="1"/>
    <col min="15621" max="15621" width="176.7109375" style="1" customWidth="1"/>
    <col min="15622" max="15622" width="11.42578125" style="1"/>
    <col min="15623" max="15623" width="88.7109375" style="1" customWidth="1"/>
    <col min="15624" max="15873" width="11.42578125" style="1"/>
    <col min="15874" max="15874" width="2.7109375" style="1" customWidth="1"/>
    <col min="15875" max="15875" width="176.7109375" style="1" customWidth="1"/>
    <col min="15876" max="15876" width="11.42578125" style="1"/>
    <col min="15877" max="15877" width="176.7109375" style="1" customWidth="1"/>
    <col min="15878" max="15878" width="11.42578125" style="1"/>
    <col min="15879" max="15879" width="88.7109375" style="1" customWidth="1"/>
    <col min="15880" max="16129" width="11.42578125" style="1"/>
    <col min="16130" max="16130" width="2.7109375" style="1" customWidth="1"/>
    <col min="16131" max="16131" width="176.7109375" style="1" customWidth="1"/>
    <col min="16132" max="16132" width="11.42578125" style="1"/>
    <col min="16133" max="16133" width="176.7109375" style="1" customWidth="1"/>
    <col min="16134" max="16134" width="11.42578125" style="1"/>
    <col min="16135" max="16135" width="88.7109375" style="1" customWidth="1"/>
    <col min="16136" max="16384" width="11.42578125" style="1"/>
  </cols>
  <sheetData>
    <row r="2" spans="1:17" x14ac:dyDescent="0.2">
      <c r="C2" s="330"/>
      <c r="D2" s="330"/>
      <c r="E2" s="330"/>
    </row>
    <row r="3" spans="1:17" x14ac:dyDescent="0.2">
      <c r="A3" s="43" t="s">
        <v>51</v>
      </c>
    </row>
    <row r="4" spans="1:17" x14ac:dyDescent="0.2">
      <c r="C4" s="330"/>
      <c r="D4" s="330"/>
      <c r="E4" s="330"/>
      <c r="F4" s="330"/>
      <c r="G4" s="330"/>
      <c r="H4" s="330"/>
      <c r="I4" s="330"/>
      <c r="J4" s="330"/>
      <c r="K4" s="330"/>
    </row>
    <row r="6" spans="1:17" ht="15.75" x14ac:dyDescent="0.25">
      <c r="C6" s="337" t="s">
        <v>16</v>
      </c>
      <c r="D6" s="3"/>
      <c r="E6" s="337"/>
    </row>
    <row r="7" spans="1:17" ht="18.75" customHeight="1" x14ac:dyDescent="0.2">
      <c r="C7" s="3"/>
      <c r="D7" s="3"/>
      <c r="E7" s="50"/>
    </row>
    <row r="8" spans="1:17" ht="15.75" x14ac:dyDescent="0.25">
      <c r="B8" s="331">
        <v>1</v>
      </c>
      <c r="C8" s="332" t="s">
        <v>351</v>
      </c>
      <c r="E8" s="341"/>
    </row>
    <row r="9" spans="1:17" ht="31.5" x14ac:dyDescent="0.2">
      <c r="B9" s="331">
        <v>2</v>
      </c>
      <c r="C9" s="334" t="s">
        <v>277</v>
      </c>
      <c r="E9" s="8"/>
      <c r="Q9" s="3"/>
    </row>
    <row r="10" spans="1:17" ht="47.25" x14ac:dyDescent="0.2">
      <c r="B10" s="331">
        <v>3</v>
      </c>
      <c r="C10" s="332" t="s">
        <v>278</v>
      </c>
      <c r="E10" s="8"/>
    </row>
    <row r="11" spans="1:17" ht="47.25" x14ac:dyDescent="0.2">
      <c r="B11" s="331">
        <v>4</v>
      </c>
      <c r="C11" s="334" t="s">
        <v>279</v>
      </c>
      <c r="E11" s="8"/>
    </row>
    <row r="12" spans="1:17" ht="31.5" x14ac:dyDescent="0.2">
      <c r="B12" s="331">
        <v>5</v>
      </c>
      <c r="C12" s="332" t="s">
        <v>21</v>
      </c>
      <c r="E12" s="3"/>
    </row>
    <row r="13" spans="1:17" ht="15.75" x14ac:dyDescent="0.2">
      <c r="B13" s="331">
        <v>6</v>
      </c>
      <c r="C13" s="332" t="s">
        <v>352</v>
      </c>
      <c r="E13" s="3"/>
    </row>
    <row r="14" spans="1:17" ht="15.75" x14ac:dyDescent="0.2">
      <c r="B14" s="331">
        <v>7</v>
      </c>
      <c r="C14" s="332" t="s">
        <v>17</v>
      </c>
    </row>
    <row r="15" spans="1:17" ht="18.75" customHeight="1" x14ac:dyDescent="0.2">
      <c r="B15" s="331">
        <v>8</v>
      </c>
      <c r="C15" s="332" t="s">
        <v>18</v>
      </c>
    </row>
    <row r="16" spans="1:17" ht="18.75" customHeight="1" x14ac:dyDescent="0.2">
      <c r="B16" s="331">
        <v>9</v>
      </c>
      <c r="C16" s="332" t="s">
        <v>22</v>
      </c>
    </row>
    <row r="17" spans="2:9" ht="63" x14ac:dyDescent="0.25">
      <c r="B17" s="331">
        <v>10</v>
      </c>
      <c r="C17" s="332" t="s">
        <v>361</v>
      </c>
      <c r="E17" s="337"/>
    </row>
    <row r="18" spans="2:9" ht="15.75" x14ac:dyDescent="0.2">
      <c r="B18" s="331">
        <v>11</v>
      </c>
      <c r="C18" s="332" t="s">
        <v>19</v>
      </c>
      <c r="E18" s="8"/>
    </row>
    <row r="19" spans="2:9" ht="15.75" x14ac:dyDescent="0.2">
      <c r="B19" s="331">
        <v>12</v>
      </c>
      <c r="C19" s="332" t="s">
        <v>281</v>
      </c>
      <c r="E19" s="8"/>
    </row>
    <row r="20" spans="2:9" ht="15.75" x14ac:dyDescent="0.2">
      <c r="B20" s="331">
        <v>13</v>
      </c>
      <c r="C20" s="332" t="s">
        <v>20</v>
      </c>
      <c r="E20" s="3"/>
    </row>
    <row r="21" spans="2:9" ht="47.25" x14ac:dyDescent="0.2">
      <c r="B21" s="331">
        <v>14</v>
      </c>
      <c r="C21" s="332" t="s">
        <v>282</v>
      </c>
      <c r="E21" s="342"/>
    </row>
    <row r="22" spans="2:9" ht="31.5" x14ac:dyDescent="0.2">
      <c r="B22" s="331">
        <v>15</v>
      </c>
      <c r="C22" s="334" t="s">
        <v>340</v>
      </c>
      <c r="E22" s="3"/>
    </row>
    <row r="23" spans="2:9" ht="15.75" x14ac:dyDescent="0.25">
      <c r="B23" s="331">
        <v>16</v>
      </c>
      <c r="C23" s="336" t="s">
        <v>280</v>
      </c>
      <c r="D23" s="335"/>
      <c r="E23" s="330"/>
      <c r="F23" s="335"/>
      <c r="G23" s="2"/>
      <c r="H23" s="2"/>
      <c r="I23" s="2"/>
    </row>
    <row r="24" spans="2:9" ht="18.75" customHeight="1" x14ac:dyDescent="0.25">
      <c r="B24" s="333">
        <v>17</v>
      </c>
      <c r="C24" s="336" t="s">
        <v>283</v>
      </c>
    </row>
    <row r="25" spans="2:9" ht="18.75" customHeight="1" x14ac:dyDescent="0.25">
      <c r="B25" s="333"/>
      <c r="C25" s="339"/>
    </row>
    <row r="26" spans="2:9" ht="18.75" customHeight="1" x14ac:dyDescent="0.25">
      <c r="B26" s="333"/>
      <c r="C26" s="354"/>
    </row>
    <row r="27" spans="2:9" ht="18.75" customHeight="1" x14ac:dyDescent="0.2">
      <c r="C27" s="339"/>
    </row>
    <row r="28" spans="2:9" ht="18.75" customHeight="1" x14ac:dyDescent="0.2">
      <c r="C28" s="339"/>
    </row>
    <row r="29" spans="2:9" ht="18.75" customHeight="1" x14ac:dyDescent="0.2">
      <c r="C29" s="339"/>
    </row>
    <row r="31" spans="2:9" ht="18.75" customHeight="1" x14ac:dyDescent="0.2"/>
    <row r="32" spans="2:9" ht="18.75" customHeight="1" x14ac:dyDescent="0.2"/>
    <row r="33" spans="1:14" ht="18.75" customHeight="1" x14ac:dyDescent="0.2"/>
    <row r="34" spans="1:14" ht="18.75" customHeight="1" x14ac:dyDescent="0.2"/>
    <row r="35" spans="1:14" ht="18.75" customHeight="1" x14ac:dyDescent="0.2"/>
    <row r="36" spans="1:14" ht="18.75" customHeight="1" x14ac:dyDescent="0.2"/>
    <row r="37" spans="1:14" ht="18.75" customHeight="1" x14ac:dyDescent="0.2">
      <c r="D37" s="3"/>
      <c r="E37" s="3"/>
      <c r="F37" s="3"/>
      <c r="G37" s="3"/>
      <c r="H37" s="3"/>
      <c r="I37" s="3"/>
      <c r="J37" s="3"/>
      <c r="K37" s="3"/>
      <c r="L37" s="3"/>
      <c r="M37" s="3"/>
      <c r="N37" s="3"/>
    </row>
    <row r="38" spans="1:14" ht="18.75" customHeight="1" x14ac:dyDescent="0.2">
      <c r="D38" s="3"/>
      <c r="E38" s="3"/>
      <c r="F38" s="3"/>
      <c r="G38" s="3"/>
      <c r="H38" s="3"/>
      <c r="I38" s="3"/>
      <c r="J38" s="3"/>
      <c r="K38" s="3"/>
      <c r="L38" s="3"/>
      <c r="M38" s="3"/>
      <c r="N38" s="3"/>
    </row>
    <row r="39" spans="1:14" ht="18.75" customHeight="1" x14ac:dyDescent="0.2">
      <c r="A39" s="4"/>
      <c r="D39" s="3"/>
      <c r="E39" s="3"/>
      <c r="F39" s="3"/>
      <c r="G39" s="3"/>
      <c r="H39" s="3"/>
      <c r="I39" s="3"/>
      <c r="J39" s="3"/>
      <c r="K39" s="3"/>
      <c r="L39" s="3"/>
      <c r="M39" s="3"/>
      <c r="N39" s="3"/>
    </row>
    <row r="40" spans="1:14" ht="18.75" customHeight="1" x14ac:dyDescent="0.2">
      <c r="A40" s="4"/>
      <c r="B40" s="8"/>
      <c r="D40" s="3"/>
      <c r="E40" s="3"/>
      <c r="F40" s="3"/>
      <c r="G40" s="3"/>
      <c r="H40" s="3"/>
      <c r="I40" s="3"/>
      <c r="J40" s="3"/>
      <c r="K40" s="3"/>
      <c r="L40" s="3"/>
      <c r="M40" s="3"/>
      <c r="N40" s="3"/>
    </row>
    <row r="41" spans="1:14" ht="18.75" customHeight="1" x14ac:dyDescent="0.2">
      <c r="A41" s="4"/>
      <c r="B41" s="8"/>
      <c r="D41" s="3"/>
      <c r="E41" s="3"/>
      <c r="F41" s="3"/>
      <c r="G41" s="3"/>
      <c r="H41" s="3"/>
      <c r="I41" s="3"/>
      <c r="J41" s="3"/>
      <c r="K41" s="3"/>
      <c r="L41" s="3"/>
      <c r="M41" s="3"/>
      <c r="N41" s="3"/>
    </row>
    <row r="42" spans="1:14" ht="18.75" customHeight="1" x14ac:dyDescent="0.2">
      <c r="A42" s="4"/>
      <c r="B42" s="8"/>
      <c r="C42" s="4"/>
      <c r="D42" s="3"/>
      <c r="E42" s="3"/>
      <c r="F42" s="3"/>
      <c r="G42" s="3"/>
      <c r="H42" s="3"/>
      <c r="I42" s="3"/>
      <c r="J42" s="3"/>
      <c r="K42" s="3"/>
      <c r="L42" s="3"/>
      <c r="M42" s="3"/>
      <c r="N42" s="3"/>
    </row>
    <row r="43" spans="1:14" ht="18.75" customHeight="1" x14ac:dyDescent="0.2">
      <c r="A43" s="4"/>
      <c r="B43" s="340"/>
      <c r="D43" s="3"/>
      <c r="E43" s="3"/>
      <c r="F43" s="3"/>
      <c r="G43" s="3"/>
      <c r="H43" s="3"/>
      <c r="I43" s="3"/>
      <c r="J43" s="3"/>
      <c r="K43" s="3"/>
      <c r="L43" s="3"/>
      <c r="M43" s="3"/>
      <c r="N43" s="3"/>
    </row>
    <row r="44" spans="1:14" ht="18.75" customHeight="1" x14ac:dyDescent="0.2">
      <c r="B44" s="8"/>
      <c r="D44" s="3"/>
      <c r="E44" s="3"/>
      <c r="F44" s="3"/>
      <c r="G44" s="3"/>
      <c r="H44" s="3"/>
      <c r="I44" s="3"/>
      <c r="J44" s="3"/>
      <c r="K44" s="3"/>
      <c r="L44" s="3"/>
      <c r="M44" s="3"/>
      <c r="N44" s="3"/>
    </row>
    <row r="45" spans="1:14" ht="18.75" customHeight="1" x14ac:dyDescent="0.2">
      <c r="B45" s="8"/>
      <c r="D45" s="3"/>
      <c r="E45" s="3"/>
      <c r="F45" s="3"/>
      <c r="G45" s="3"/>
      <c r="H45" s="3"/>
      <c r="I45" s="3"/>
      <c r="J45" s="3"/>
      <c r="K45" s="3"/>
      <c r="L45" s="3"/>
      <c r="M45" s="3"/>
      <c r="N45" s="3"/>
    </row>
    <row r="46" spans="1:14" ht="18.75" customHeight="1" x14ac:dyDescent="0.2">
      <c r="D46" s="3"/>
      <c r="E46" s="3"/>
      <c r="F46" s="3"/>
      <c r="G46" s="3"/>
      <c r="H46" s="3"/>
      <c r="I46" s="3"/>
      <c r="J46" s="3"/>
      <c r="K46" s="3"/>
      <c r="L46" s="3"/>
      <c r="M46" s="3"/>
      <c r="N46" s="3"/>
    </row>
    <row r="47" spans="1:14" ht="18.75" customHeight="1" x14ac:dyDescent="0.2">
      <c r="D47" s="3"/>
      <c r="E47" s="3"/>
      <c r="F47" s="3"/>
      <c r="G47" s="3"/>
      <c r="H47" s="3"/>
      <c r="I47" s="3"/>
      <c r="J47" s="3"/>
      <c r="K47" s="3"/>
      <c r="L47" s="3"/>
      <c r="M47" s="3"/>
      <c r="N47" s="3"/>
    </row>
    <row r="48" spans="1:14" ht="18.75" customHeight="1" x14ac:dyDescent="0.2">
      <c r="D48" s="3"/>
      <c r="E48" s="3"/>
      <c r="F48" s="3"/>
      <c r="G48" s="3"/>
      <c r="H48" s="3"/>
      <c r="I48" s="3"/>
      <c r="J48" s="3"/>
      <c r="K48" s="3"/>
      <c r="L48" s="3"/>
      <c r="M48" s="3"/>
      <c r="N48" s="3"/>
    </row>
    <row r="49" spans="4:14" ht="18.75" customHeight="1" x14ac:dyDescent="0.2">
      <c r="D49" s="3"/>
      <c r="E49" s="3"/>
      <c r="F49" s="3"/>
      <c r="G49" s="3"/>
      <c r="H49" s="3"/>
      <c r="I49" s="3"/>
      <c r="J49" s="3"/>
      <c r="K49" s="3"/>
      <c r="L49" s="3"/>
      <c r="M49" s="3"/>
      <c r="N49" s="3"/>
    </row>
    <row r="50" spans="4:14" ht="18.75" customHeight="1" x14ac:dyDescent="0.2">
      <c r="D50" s="330"/>
      <c r="E50" s="330"/>
      <c r="F50" s="330"/>
      <c r="G50" s="330"/>
      <c r="H50" s="330"/>
      <c r="I50" s="330"/>
      <c r="J50" s="330"/>
      <c r="K50" s="330"/>
      <c r="L50" s="330"/>
      <c r="M50" s="330"/>
      <c r="N50" s="330"/>
    </row>
    <row r="51" spans="4:14" ht="18.75" customHeight="1" x14ac:dyDescent="0.2"/>
    <row r="52" spans="4:14" ht="18.75" customHeight="1" x14ac:dyDescent="0.2"/>
    <row r="53" spans="4:14" ht="18.75" customHeight="1" x14ac:dyDescent="0.2"/>
    <row r="54" spans="4:14" ht="18.75" customHeight="1" x14ac:dyDescent="0.2"/>
    <row r="55" spans="4:14" ht="18.75" customHeight="1" x14ac:dyDescent="0.2"/>
    <row r="56" spans="4:14" ht="18.75" customHeight="1" x14ac:dyDescent="0.2"/>
    <row r="57" spans="4:14" ht="18.75" customHeight="1" x14ac:dyDescent="0.2"/>
    <row r="58" spans="4:14" ht="18.75" customHeight="1" x14ac:dyDescent="0.2"/>
    <row r="59" spans="4:14" ht="18.75" customHeight="1" x14ac:dyDescent="0.2"/>
    <row r="60" spans="4:14" ht="18.75" customHeight="1" x14ac:dyDescent="0.2"/>
    <row r="61" spans="4:14" ht="18.75" customHeight="1" x14ac:dyDescent="0.2"/>
    <row r="62" spans="4:14" ht="18.75" customHeight="1" x14ac:dyDescent="0.2"/>
    <row r="63" spans="4:14" ht="18.75" customHeight="1" x14ac:dyDescent="0.2"/>
    <row r="64" spans="4:14" ht="18.75" customHeight="1" x14ac:dyDescent="0.2"/>
    <row r="65" ht="18.75" customHeight="1" x14ac:dyDescent="0.2"/>
  </sheetData>
  <sortState xmlns:xlrd2="http://schemas.microsoft.com/office/spreadsheetml/2017/richdata2" ref="B5:E41">
    <sortCondition ref="B5:B41"/>
  </sortState>
  <pageMargins left="0.78740157480314965" right="0.78740157480314965" top="0.98425196850393704" bottom="0.98425196850393704" header="0.51181102362204722" footer="0.51181102362204722"/>
  <pageSetup paperSize="9" scale="65" fitToWidth="3" orientation="portrait" r:id="rId1"/>
  <headerFooter alignWithMargins="0"/>
  <colBreaks count="2" manualBreakCount="2">
    <brk id="1" max="42" man="1"/>
    <brk id="3" min="4" max="5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A1:IF114"/>
  <sheetViews>
    <sheetView showGridLines="0" showZeros="0" zoomScale="80" zoomScaleNormal="80" workbookViewId="0">
      <pane ySplit="7" topLeftCell="A8" activePane="bottomLeft" state="frozen"/>
      <selection activeCell="J44" sqref="J44"/>
      <selection pane="bottomLeft" activeCell="A4" sqref="A4"/>
    </sheetView>
  </sheetViews>
  <sheetFormatPr baseColWidth="10" defaultColWidth="11.42578125" defaultRowHeight="12.75" x14ac:dyDescent="0.2"/>
  <cols>
    <col min="1" max="1" width="49" style="87" customWidth="1"/>
    <col min="2" max="3" width="15.7109375" style="87" customWidth="1"/>
    <col min="4" max="4" width="8.7109375" style="87" customWidth="1"/>
    <col min="5" max="5" width="9" style="87" bestFit="1" customWidth="1"/>
    <col min="6" max="6" width="4.7109375" style="87" customWidth="1"/>
    <col min="7" max="7" width="18.42578125" style="87" customWidth="1"/>
    <col min="8" max="8" width="17.85546875" style="87" customWidth="1"/>
    <col min="9" max="9" width="8.7109375" style="87" customWidth="1"/>
    <col min="10" max="10" width="9" style="87" bestFit="1" customWidth="1"/>
    <col min="11" max="11" width="13.42578125" style="87" hidden="1" customWidth="1"/>
    <col min="12" max="12" width="14.85546875" style="188" hidden="1" customWidth="1"/>
    <col min="13" max="13" width="13.85546875" style="188" hidden="1" customWidth="1"/>
    <col min="14" max="15" width="15.7109375" style="188" hidden="1" customWidth="1"/>
    <col min="16" max="16" width="11.42578125" style="87" hidden="1" customWidth="1"/>
    <col min="17" max="19" width="11.42578125" style="87" customWidth="1"/>
    <col min="20" max="16384" width="11.42578125" style="87"/>
  </cols>
  <sheetData>
    <row r="1" spans="1:16" ht="20.25" x14ac:dyDescent="0.3">
      <c r="A1" s="80" t="s">
        <v>76</v>
      </c>
      <c r="B1" s="73" t="s">
        <v>52</v>
      </c>
      <c r="C1" s="74"/>
      <c r="D1" s="74"/>
      <c r="E1" s="74"/>
      <c r="F1" s="74"/>
      <c r="G1" s="74"/>
      <c r="H1" s="74"/>
      <c r="I1" s="74"/>
      <c r="J1" s="74"/>
      <c r="K1" s="74"/>
    </row>
    <row r="2" spans="1:16" ht="20.25" x14ac:dyDescent="0.3">
      <c r="A2" s="80" t="s">
        <v>77</v>
      </c>
      <c r="B2" s="74"/>
      <c r="C2" s="74"/>
      <c r="D2" s="74"/>
      <c r="E2" s="74"/>
      <c r="F2" s="74"/>
      <c r="G2" s="74"/>
      <c r="H2" s="74"/>
      <c r="I2" s="74"/>
      <c r="J2" s="74"/>
      <c r="K2" s="74"/>
    </row>
    <row r="3" spans="1:16" ht="18.75" x14ac:dyDescent="0.3">
      <c r="A3" s="713" t="s">
        <v>78</v>
      </c>
      <c r="B3" s="713"/>
      <c r="C3" s="74"/>
      <c r="D3" s="74"/>
      <c r="E3" s="74"/>
      <c r="F3" s="74"/>
      <c r="G3" s="74"/>
      <c r="H3" s="74"/>
      <c r="I3" s="74"/>
      <c r="J3" s="74"/>
      <c r="K3" s="74"/>
    </row>
    <row r="4" spans="1:16" ht="18.75" x14ac:dyDescent="0.3">
      <c r="A4" s="82" t="s">
        <v>420</v>
      </c>
      <c r="B4" s="83"/>
      <c r="C4" s="84"/>
      <c r="D4" s="84"/>
      <c r="E4" s="85"/>
      <c r="F4" s="86"/>
      <c r="G4" s="83"/>
      <c r="H4" s="84"/>
      <c r="I4" s="84"/>
      <c r="J4" s="85"/>
      <c r="K4" s="112"/>
      <c r="L4" s="211"/>
      <c r="M4" s="212"/>
      <c r="N4" s="213"/>
      <c r="O4" s="212"/>
    </row>
    <row r="5" spans="1:16" ht="22.5" x14ac:dyDescent="0.3">
      <c r="A5" s="88"/>
      <c r="B5" s="714" t="s">
        <v>79</v>
      </c>
      <c r="C5" s="715"/>
      <c r="D5" s="715"/>
      <c r="E5" s="716"/>
      <c r="F5" s="90"/>
      <c r="G5" s="714" t="s">
        <v>395</v>
      </c>
      <c r="H5" s="715"/>
      <c r="I5" s="715"/>
      <c r="J5" s="716"/>
      <c r="K5" s="89"/>
      <c r="L5" s="717" t="s">
        <v>136</v>
      </c>
      <c r="M5" s="712"/>
      <c r="N5" s="711" t="s">
        <v>137</v>
      </c>
      <c r="O5" s="712"/>
    </row>
    <row r="6" spans="1:16" ht="18.75" x14ac:dyDescent="0.3">
      <c r="A6" s="91"/>
      <c r="B6" s="92"/>
      <c r="C6" s="93"/>
      <c r="D6" s="93" t="s">
        <v>80</v>
      </c>
      <c r="E6" s="94" t="s">
        <v>29</v>
      </c>
      <c r="F6" s="95"/>
      <c r="G6" s="92"/>
      <c r="H6" s="93"/>
      <c r="I6" s="93" t="s">
        <v>80</v>
      </c>
      <c r="J6" s="94" t="s">
        <v>29</v>
      </c>
      <c r="K6" s="100"/>
      <c r="L6" s="214"/>
      <c r="M6" s="215"/>
      <c r="N6" s="216"/>
      <c r="O6" s="215"/>
    </row>
    <row r="7" spans="1:16" ht="15.75" x14ac:dyDescent="0.25">
      <c r="A7" s="96" t="s">
        <v>81</v>
      </c>
      <c r="B7" s="97">
        <v>2019</v>
      </c>
      <c r="C7" s="97">
        <v>2020</v>
      </c>
      <c r="D7" s="98" t="s">
        <v>82</v>
      </c>
      <c r="E7" s="99" t="s">
        <v>30</v>
      </c>
      <c r="F7" s="95"/>
      <c r="G7" s="97">
        <v>2019</v>
      </c>
      <c r="H7" s="97">
        <v>2020</v>
      </c>
      <c r="I7" s="98" t="s">
        <v>82</v>
      </c>
      <c r="J7" s="99" t="s">
        <v>30</v>
      </c>
      <c r="K7" s="100"/>
      <c r="L7" s="217">
        <v>2015</v>
      </c>
      <c r="M7" s="218">
        <v>2016</v>
      </c>
      <c r="N7" s="219">
        <v>2015</v>
      </c>
      <c r="O7" s="218">
        <v>2016</v>
      </c>
      <c r="P7" s="87" t="s">
        <v>140</v>
      </c>
    </row>
    <row r="8" spans="1:16" ht="18.75" x14ac:dyDescent="0.3">
      <c r="A8" s="101" t="s">
        <v>0</v>
      </c>
      <c r="B8" s="129"/>
      <c r="C8" s="103"/>
      <c r="D8" s="104"/>
      <c r="E8" s="409"/>
      <c r="F8" s="176"/>
      <c r="G8" s="129"/>
      <c r="H8" s="129"/>
      <c r="I8" s="103"/>
      <c r="J8" s="409"/>
      <c r="K8" s="139"/>
      <c r="L8" s="220" t="s">
        <v>0</v>
      </c>
      <c r="M8" s="221"/>
      <c r="N8" s="222"/>
      <c r="O8" s="221"/>
      <c r="P8" s="87" t="s">
        <v>148</v>
      </c>
    </row>
    <row r="9" spans="1:16" ht="18.75" x14ac:dyDescent="0.3">
      <c r="A9" s="193" t="s">
        <v>83</v>
      </c>
      <c r="B9" s="176">
        <f>'Danica Pensjonsforsikring'!B7+'Danica Pensjonsforsikring'!B22+'Danica Pensjonsforsikring'!B36+'Danica Pensjonsforsikring'!B47+'Danica Pensjonsforsikring'!B66+'Danica Pensjonsforsikring'!B134</f>
        <v>317604.17099999997</v>
      </c>
      <c r="C9" s="176">
        <f>'Danica Pensjonsforsikring'!C7+'Danica Pensjonsforsikring'!C22+'Danica Pensjonsforsikring'!C36+'Danica Pensjonsforsikring'!C47+'Danica Pensjonsforsikring'!C66+'Danica Pensjonsforsikring'!C134</f>
        <v>322886.59299999999</v>
      </c>
      <c r="D9" s="104">
        <f t="shared" ref="D9:D31" si="0">IF(B9=0, "    ---- ", IF(ABS(ROUND(100/B9*C9-100,1))&lt;999,ROUND(100/B9*C9-100,1),IF(ROUND(100/B9*C9-100,1)&gt;999,999,-999)))</f>
        <v>1.7</v>
      </c>
      <c r="E9" s="409">
        <f t="shared" ref="E9:E30" si="1">100/C$32*C9</f>
        <v>0.73354532415838669</v>
      </c>
      <c r="F9" s="103"/>
      <c r="G9" s="176">
        <f>'Danica Pensjonsforsikring'!B10+'Danica Pensjonsforsikring'!B29+'Danica Pensjonsforsikring'!B37+'Danica Pensjonsforsikring'!B87+'Danica Pensjonsforsikring'!B135</f>
        <v>1147898.6510000001</v>
      </c>
      <c r="H9" s="176">
        <f>'Danica Pensjonsforsikring'!C10+'Danica Pensjonsforsikring'!C29+'Danica Pensjonsforsikring'!C37+'Danica Pensjonsforsikring'!C87+'Danica Pensjonsforsikring'!C135</f>
        <v>1286357.608</v>
      </c>
      <c r="I9" s="104">
        <f>IF(G9=0, "    ---- ", IF(ABS(ROUND(100/G9*H9-100,1))&lt;999,ROUND(100/G9*H9-100,1),IF(ROUND(100/G9*H9-100,1)&gt;999,999,-999)))</f>
        <v>12.1</v>
      </c>
      <c r="J9" s="409">
        <f>100/H$32*H9</f>
        <v>0.12017437071344562</v>
      </c>
      <c r="K9" s="207" t="s">
        <v>144</v>
      </c>
      <c r="L9" s="223" t="e">
        <f ca="1">INDIRECT("'" &amp;#REF! &amp; "'!" &amp; $P$7)</f>
        <v>#REF!</v>
      </c>
      <c r="M9" s="221" t="e">
        <f ca="1">INDIRECT("'" &amp;#REF! &amp; "'!" &amp; $P$8)</f>
        <v>#REF!</v>
      </c>
      <c r="N9" s="223" t="e">
        <f ca="1">INDIRECT("'" &amp;#REF! &amp; "'!" &amp; $P$9)</f>
        <v>#REF!</v>
      </c>
      <c r="O9" s="221" t="e">
        <f ca="1">INDIRECT("'" &amp;#REF! &amp; "'!" &amp; $P$11)</f>
        <v>#REF!</v>
      </c>
      <c r="P9" s="87" t="s">
        <v>152</v>
      </c>
    </row>
    <row r="10" spans="1:16" ht="18.75" x14ac:dyDescent="0.3">
      <c r="A10" s="108" t="s">
        <v>417</v>
      </c>
      <c r="B10" s="176">
        <f>'DNB Bedriftspensjon'!B7+'DNB Bedriftspensjon'!B22+'DNB Bedriftspensjon'!B36+'DNB Bedriftspensjon'!B47+'DNB Bedriftspensjon'!B66+'DNB Bedriftspensjon'!B134</f>
        <v>74207</v>
      </c>
      <c r="C10" s="176">
        <f>'DNB Bedriftspensjon'!C7+'DNB Bedriftspensjon'!C22+'DNB Bedriftspensjon'!C36+'DNB Bedriftspensjon'!C47+'DNB Bedriftspensjon'!C66+'DNB Bedriftspensjon'!C134</f>
        <v>74436</v>
      </c>
      <c r="D10" s="104">
        <f>IF(B10=0, "    ---- ", IF(ABS(ROUND(100/B10*C10-100,1))&lt;999,ROUND(100/B10*C10-100,1),IF(ROUND(100/B10*C10-100,1)&gt;999,999,-999)))</f>
        <v>0.3</v>
      </c>
      <c r="E10" s="409">
        <f t="shared" si="1"/>
        <v>0.16910637026373429</v>
      </c>
      <c r="F10" s="103"/>
      <c r="G10" s="176">
        <f>'DNB Bedriftspensjon'!B10+'DNB Bedriftspensjon'!B29+'DNB Bedriftspensjon'!B37+'DNB Bedriftspensjon'!B87+'DNB Bedriftspensjon'!B135</f>
        <v>1726673</v>
      </c>
      <c r="H10" s="176">
        <f>'DNB Bedriftspensjon'!C10+'DNB Bedriftspensjon'!C29+'DNB Bedriftspensjon'!C37+'DNB Bedriftspensjon'!C87+'DNB Bedriftspensjon'!C135</f>
        <v>1789003</v>
      </c>
      <c r="I10" s="104">
        <f>IF(G10=0, "    ---- ", IF(ABS(ROUND(100/G10*H10-100,1))&lt;999,ROUND(100/G10*H10-100,1),IF(ROUND(100/G10*H10-100,1)&gt;999,999,-999)))</f>
        <v>3.6</v>
      </c>
      <c r="J10" s="409">
        <f>100/H$32*H10</f>
        <v>0.16713261412876596</v>
      </c>
      <c r="K10" s="139"/>
      <c r="L10" s="223">
        <f ca="1">INDIRECT("'" &amp; $A21 &amp; "'!" &amp; $P$7)</f>
        <v>0</v>
      </c>
      <c r="M10" s="221">
        <f ca="1">INDIRECT("'" &amp; $A21 &amp; "'!" &amp; $P$8)</f>
        <v>0</v>
      </c>
      <c r="N10" s="223">
        <f ca="1">INDIRECT("'" &amp; $A21 &amp; "'!" &amp; $P$9)</f>
        <v>0</v>
      </c>
      <c r="O10" s="221">
        <f ca="1">INDIRECT("'" &amp; $A21 &amp; "'!" &amp; $P$11)</f>
        <v>0</v>
      </c>
    </row>
    <row r="11" spans="1:16" ht="18.75" x14ac:dyDescent="0.3">
      <c r="A11" s="193" t="s">
        <v>84</v>
      </c>
      <c r="B11" s="176">
        <f>'DNB Livsforsikring'!B7+'DNB Livsforsikring'!B22+'DNB Livsforsikring'!B36+'DNB Livsforsikring'!B47+'DNB Livsforsikring'!B66+'DNB Livsforsikring'!B134</f>
        <v>3715260.49223</v>
      </c>
      <c r="C11" s="176">
        <f>'DNB Livsforsikring'!C7+'DNB Livsforsikring'!C22+'DNB Livsforsikring'!C36+'DNB Livsforsikring'!C47+'DNB Livsforsikring'!C66+'DNB Livsforsikring'!C134</f>
        <v>2544846.8470000001</v>
      </c>
      <c r="D11" s="104">
        <f t="shared" si="0"/>
        <v>-31.5</v>
      </c>
      <c r="E11" s="409">
        <f t="shared" si="1"/>
        <v>5.7814741949228701</v>
      </c>
      <c r="F11" s="103"/>
      <c r="G11" s="176">
        <f>'DNB Livsforsikring'!B10+'DNB Livsforsikring'!B29+'DNB Livsforsikring'!B37+'DNB Livsforsikring'!B87+'DNB Livsforsikring'!B135</f>
        <v>198989780.16319001</v>
      </c>
      <c r="H11" s="176">
        <f>'DNB Livsforsikring'!C10+'DNB Livsforsikring'!C29+'DNB Livsforsikring'!C37+'DNB Livsforsikring'!C87+'DNB Livsforsikring'!C135</f>
        <v>194797622</v>
      </c>
      <c r="J11" s="409">
        <f>100/H$32*H9</f>
        <v>0.12017437071344562</v>
      </c>
      <c r="K11" s="208" t="s">
        <v>145</v>
      </c>
      <c r="L11" s="223">
        <f ca="1">INDIRECT("'" &amp; $A9 &amp; "'!" &amp; $P$7)</f>
        <v>0</v>
      </c>
      <c r="M11" s="221">
        <f ca="1">INDIRECT("'" &amp; $A9 &amp; "'!" &amp; $P$8)</f>
        <v>0</v>
      </c>
      <c r="N11" s="223">
        <f ca="1">INDIRECT("'" &amp; $A9 &amp; "'!" &amp; $P$9)</f>
        <v>0</v>
      </c>
      <c r="O11" s="221">
        <f ca="1">INDIRECT("'" &amp; $A9 &amp; "'!" &amp; $P$11)</f>
        <v>0</v>
      </c>
      <c r="P11" s="87" t="s">
        <v>157</v>
      </c>
    </row>
    <row r="12" spans="1:16" ht="18.75" x14ac:dyDescent="0.3">
      <c r="A12" s="193" t="s">
        <v>85</v>
      </c>
      <c r="B12" s="176">
        <f>'Eika Forsikring AS'!B7+'Eika Forsikring AS'!B22+'Eika Forsikring AS'!B36+'Eika Forsikring AS'!B47+'Eika Forsikring AS'!B66+'Eika Forsikring AS'!B134</f>
        <v>252371</v>
      </c>
      <c r="C12" s="176">
        <f>'Eika Forsikring AS'!C7+'Eika Forsikring AS'!C22+'Eika Forsikring AS'!C36+'Eika Forsikring AS'!C47+'Eika Forsikring AS'!C66+'Eika Forsikring AS'!C134</f>
        <v>269700</v>
      </c>
      <c r="D12" s="104">
        <f t="shared" si="0"/>
        <v>6.9</v>
      </c>
      <c r="E12" s="409">
        <f t="shared" si="1"/>
        <v>0.61271411763298855</v>
      </c>
      <c r="F12" s="103"/>
      <c r="G12" s="176">
        <f>'Eika Forsikring AS'!B10+'Eika Forsikring AS'!B29+'Eika Forsikring AS'!B37+'Eika Forsikring AS'!B87+'Eika Forsikring AS'!B135</f>
        <v>0</v>
      </c>
      <c r="H12" s="176">
        <f>'Eika Forsikring AS'!C10+'Eika Forsikring AS'!C29+'Eika Forsikring AS'!C37+'Eika Forsikring AS'!C87+'Eika Forsikring AS'!C135</f>
        <v>0</v>
      </c>
      <c r="I12" s="104">
        <f t="shared" ref="I12:I30" si="2">IF(G11=0, "    ---- ", IF(ABS(ROUND(100/G11*H11-100,1))&lt;999,ROUND(100/G11*H11-100,1),IF(ROUND(100/G11*H11-100,1)&gt;999,999,-999)))</f>
        <v>-2.1</v>
      </c>
      <c r="J12" s="409">
        <f t="shared" ref="J12:J30" si="3">100/H$32*H11</f>
        <v>18.198424368727839</v>
      </c>
      <c r="K12" s="87" t="s">
        <v>138</v>
      </c>
      <c r="L12" s="223">
        <f ca="1">INDIRECT("'" &amp; $A11 &amp; "'!" &amp; $P$7)</f>
        <v>0</v>
      </c>
      <c r="M12" s="221">
        <f ca="1">INDIRECT("'" &amp; $A11 &amp; "'!" &amp; $P$8)</f>
        <v>0</v>
      </c>
      <c r="N12" s="223">
        <f ca="1">INDIRECT("'" &amp; $A11 &amp; "'!" &amp; $P$9)</f>
        <v>0</v>
      </c>
      <c r="O12" s="221">
        <f ca="1">INDIRECT("'" &amp; $A11 &amp; "'!" &amp; $P$11)</f>
        <v>0</v>
      </c>
    </row>
    <row r="13" spans="1:16" ht="18.75" x14ac:dyDescent="0.3">
      <c r="A13" s="108" t="s">
        <v>402</v>
      </c>
      <c r="B13" s="176">
        <f>'Fremtind Livsforsikring'!B7+'Fremtind Livsforsikring'!B22+'Fremtind Livsforsikring'!B36+'Fremtind Livsforsikring'!B47+'Fremtind Livsforsikring'!B66+'Fremtind Livsforsikring'!B134</f>
        <v>0</v>
      </c>
      <c r="C13" s="176">
        <f>'Fremtind Livsforsikring'!C7+'Fremtind Livsforsikring'!C22+'Fremtind Livsforsikring'!C36+'Fremtind Livsforsikring'!C47+'Fremtind Livsforsikring'!C66+'Fremtind Livsforsikring'!C134</f>
        <v>2205150</v>
      </c>
      <c r="D13" s="104" t="str">
        <f t="shared" si="0"/>
        <v xml:space="preserve">    ---- </v>
      </c>
      <c r="E13" s="409">
        <f t="shared" si="1"/>
        <v>5.0097387337722834</v>
      </c>
      <c r="F13" s="103"/>
      <c r="G13" s="176">
        <f>'Fremtind Livsforsikring'!B10+'Fremtind Livsforsikring'!B29+'Fremtind Livsforsikring'!B37+'Fremtind Livsforsikring'!B87+'Fremtind Livsforsikring'!B135</f>
        <v>0</v>
      </c>
      <c r="H13" s="176">
        <f>'Fremtind Livsforsikring'!C10+'Fremtind Livsforsikring'!C29+'Fremtind Livsforsikring'!C37+'Fremtind Livsforsikring'!C87+'Fremtind Livsforsikring'!C135</f>
        <v>3675280</v>
      </c>
      <c r="I13" s="104" t="str">
        <f t="shared" si="2"/>
        <v xml:space="preserve">    ---- </v>
      </c>
      <c r="J13" s="409">
        <f t="shared" si="3"/>
        <v>0</v>
      </c>
      <c r="K13" s="87" t="s">
        <v>146</v>
      </c>
      <c r="L13" s="223">
        <f ca="1">INDIRECT("'" &amp; $A12 &amp; "'!" &amp; $P$7)</f>
        <v>0</v>
      </c>
      <c r="M13" s="221">
        <f ca="1">INDIRECT("'" &amp; $A12 &amp; "'!" &amp; $P$8)</f>
        <v>0</v>
      </c>
      <c r="N13" s="223">
        <f ca="1">INDIRECT("'" &amp; $A12 &amp; "'!" &amp; $P$9)</f>
        <v>0</v>
      </c>
      <c r="O13" s="221">
        <f ca="1">INDIRECT("'" &amp; $A12 &amp; "'!" &amp; $P$11)</f>
        <v>0</v>
      </c>
    </row>
    <row r="14" spans="1:16" ht="18.75" x14ac:dyDescent="0.3">
      <c r="A14" s="193" t="s">
        <v>86</v>
      </c>
      <c r="B14" s="177">
        <f>'Frende Livsforsikring'!B7+'Frende Livsforsikring'!B22+'Frende Livsforsikring'!B36+'Frende Livsforsikring'!B47+'Frende Livsforsikring'!B66+'Frende Livsforsikring'!B134</f>
        <v>491735</v>
      </c>
      <c r="C14" s="177">
        <f>'Frende Livsforsikring'!C7+'Frende Livsforsikring'!C22+'Frende Livsforsikring'!C36+'Frende Livsforsikring'!C47+'Frende Livsforsikring'!C66+'Frende Livsforsikring'!C134</f>
        <v>504078</v>
      </c>
      <c r="D14" s="104">
        <f t="shared" si="0"/>
        <v>2.5</v>
      </c>
      <c r="E14" s="409">
        <f t="shared" si="1"/>
        <v>1.1451824508275921</v>
      </c>
      <c r="F14" s="103"/>
      <c r="G14" s="176">
        <f>'Frende Livsforsikring'!B10+'Frende Livsforsikring'!B29+'Frende Livsforsikring'!B37+'Frende Livsforsikring'!B87+'Frende Livsforsikring'!B135</f>
        <v>950096</v>
      </c>
      <c r="H14" s="176">
        <f>'Frende Livsforsikring'!C10+'Frende Livsforsikring'!C29+'Frende Livsforsikring'!C37+'Frende Livsforsikring'!C87+'Frende Livsforsikring'!C135</f>
        <v>1031868</v>
      </c>
      <c r="I14" s="104" t="str">
        <f t="shared" si="2"/>
        <v xml:space="preserve">    ---- </v>
      </c>
      <c r="J14" s="409">
        <f t="shared" si="3"/>
        <v>0.34335278032243149</v>
      </c>
      <c r="L14" s="223"/>
      <c r="M14" s="221"/>
      <c r="N14" s="223"/>
      <c r="O14" s="221"/>
    </row>
    <row r="15" spans="1:16" ht="18.75" x14ac:dyDescent="0.3">
      <c r="A15" s="193" t="s">
        <v>87</v>
      </c>
      <c r="B15" s="176">
        <f>'Frende Skadeforsikring'!B7+'Frende Skadeforsikring'!B22+'Frende Skadeforsikring'!B36+'Frende Skadeforsikring'!B47+'Frende Skadeforsikring'!B66+'Frende Skadeforsikring'!B134</f>
        <v>6362.2570000000096</v>
      </c>
      <c r="C15" s="176">
        <f>'Frende Skadeforsikring'!C7+'Frende Skadeforsikring'!C22+'Frende Skadeforsikring'!C36+'Frende Skadeforsikring'!C47+'Frende Skadeforsikring'!C66+'Frende Skadeforsikring'!C134</f>
        <v>3713.2633999999998</v>
      </c>
      <c r="D15" s="104">
        <f t="shared" si="0"/>
        <v>-41.6</v>
      </c>
      <c r="E15" s="409">
        <f t="shared" si="1"/>
        <v>8.4359247596213233E-3</v>
      </c>
      <c r="F15" s="103"/>
      <c r="G15" s="176">
        <f>'Frende Skadeforsikring'!B10+'Frende Skadeforsikring'!B29+'Frende Skadeforsikring'!B37+'Frende Skadeforsikring'!B87+'Frende Skadeforsikring'!B135</f>
        <v>0</v>
      </c>
      <c r="H15" s="176">
        <f>'Frende Skadeforsikring'!C10+'Frende Skadeforsikring'!C29+'Frende Skadeforsikring'!C37+'Frende Skadeforsikring'!C87+'Frende Skadeforsikring'!C135</f>
        <v>0</v>
      </c>
      <c r="I15" s="104">
        <f t="shared" si="2"/>
        <v>8.6</v>
      </c>
      <c r="J15" s="409">
        <f t="shared" si="3"/>
        <v>9.6399389087565235E-2</v>
      </c>
      <c r="K15" s="87" t="s">
        <v>139</v>
      </c>
      <c r="L15" s="223">
        <f t="shared" ref="L15:L31" ca="1" si="4">INDIRECT("'" &amp; $A14 &amp; "'!" &amp; $P$7)</f>
        <v>0</v>
      </c>
      <c r="M15" s="221">
        <f t="shared" ref="M15:M31" ca="1" si="5">INDIRECT("'" &amp; $A14 &amp; "'!" &amp; $P$8)</f>
        <v>0</v>
      </c>
      <c r="N15" s="223">
        <f t="shared" ref="N15:N31" ca="1" si="6">INDIRECT("'" &amp; $A14 &amp; "'!" &amp; $P$9)</f>
        <v>0</v>
      </c>
      <c r="O15" s="221">
        <f t="shared" ref="O15:O31" ca="1" si="7">INDIRECT("'" &amp; $A14 &amp; "'!" &amp; $P$11)</f>
        <v>0</v>
      </c>
    </row>
    <row r="16" spans="1:16" ht="18.75" x14ac:dyDescent="0.3">
      <c r="A16" s="193" t="s">
        <v>88</v>
      </c>
      <c r="B16" s="176">
        <f>'Gjensidige Forsikring'!B7+'Gjensidige Forsikring'!B22+'Gjensidige Forsikring'!B36+'Gjensidige Forsikring'!B47+'Gjensidige Forsikring'!B66+'Gjensidige Forsikring'!B134</f>
        <v>1365659</v>
      </c>
      <c r="C16" s="176">
        <f>'Gjensidige Forsikring'!C7+'Gjensidige Forsikring'!C22+'Gjensidige Forsikring'!C36+'Gjensidige Forsikring'!C47+'Gjensidige Forsikring'!C66+'Gjensidige Forsikring'!C134</f>
        <v>1445145</v>
      </c>
      <c r="D16" s="104">
        <f t="shared" si="0"/>
        <v>5.8</v>
      </c>
      <c r="E16" s="409">
        <f t="shared" si="1"/>
        <v>3.2831321599062857</v>
      </c>
      <c r="F16" s="103"/>
      <c r="G16" s="176">
        <f>'Gjensidige Forsikring'!B10+'Gjensidige Forsikring'!B29+'Gjensidige Forsikring'!B37+'Gjensidige Forsikring'!B87+'Gjensidige Forsikring'!B135</f>
        <v>0</v>
      </c>
      <c r="H16" s="176">
        <f>'Gjensidige Forsikring'!C10+'Gjensidige Forsikring'!C29+'Gjensidige Forsikring'!C37+'Gjensidige Forsikring'!C87+'Gjensidige Forsikring'!C135</f>
        <v>0</v>
      </c>
      <c r="I16" s="104" t="str">
        <f t="shared" si="2"/>
        <v xml:space="preserve">    ---- </v>
      </c>
      <c r="J16" s="409">
        <f t="shared" si="3"/>
        <v>0</v>
      </c>
      <c r="K16" s="87" t="s">
        <v>147</v>
      </c>
      <c r="L16" s="223">
        <f t="shared" ca="1" si="4"/>
        <v>0</v>
      </c>
      <c r="M16" s="221">
        <f t="shared" ca="1" si="5"/>
        <v>0</v>
      </c>
      <c r="N16" s="223">
        <f t="shared" ca="1" si="6"/>
        <v>0</v>
      </c>
      <c r="O16" s="221">
        <f t="shared" ca="1" si="7"/>
        <v>0</v>
      </c>
    </row>
    <row r="17" spans="1:21" ht="18.75" x14ac:dyDescent="0.3">
      <c r="A17" s="193" t="s">
        <v>89</v>
      </c>
      <c r="B17" s="176">
        <f>'Gjensidige Pensjon'!B7+'Gjensidige Pensjon'!B22+'Gjensidige Pensjon'!B36+'Gjensidige Pensjon'!B47+'Gjensidige Pensjon'!B66+'Gjensidige Pensjon'!B134</f>
        <v>495734</v>
      </c>
      <c r="C17" s="176">
        <f>'Gjensidige Pensjon'!C7+'Gjensidige Pensjon'!C22+'Gjensidige Pensjon'!C36+'Gjensidige Pensjon'!C47+'Gjensidige Pensjon'!C66+'Gjensidige Pensjon'!C134</f>
        <v>508839</v>
      </c>
      <c r="D17" s="104">
        <f t="shared" si="0"/>
        <v>2.6</v>
      </c>
      <c r="E17" s="409">
        <f t="shared" si="1"/>
        <v>1.1559986611132824</v>
      </c>
      <c r="F17" s="103"/>
      <c r="G17" s="176">
        <f>'Gjensidige Pensjon'!B10+'Gjensidige Pensjon'!B29+'Gjensidige Pensjon'!B37+'Gjensidige Pensjon'!B87+'Gjensidige Pensjon'!B135</f>
        <v>7082534</v>
      </c>
      <c r="H17" s="176">
        <f>'Gjensidige Pensjon'!C10+'Gjensidige Pensjon'!C29+'Gjensidige Pensjon'!C37+'Gjensidige Pensjon'!C87+'Gjensidige Pensjon'!C135</f>
        <v>7487655</v>
      </c>
      <c r="I17" s="104" t="str">
        <f t="shared" si="2"/>
        <v xml:space="preserve">    ---- </v>
      </c>
      <c r="J17" s="409">
        <f t="shared" si="3"/>
        <v>0</v>
      </c>
      <c r="K17" s="87" t="s">
        <v>140</v>
      </c>
      <c r="L17" s="223">
        <f t="shared" ca="1" si="4"/>
        <v>0</v>
      </c>
      <c r="M17" s="221">
        <f t="shared" ca="1" si="5"/>
        <v>0</v>
      </c>
      <c r="N17" s="223">
        <f t="shared" ca="1" si="6"/>
        <v>0</v>
      </c>
      <c r="O17" s="221">
        <f t="shared" ca="1" si="7"/>
        <v>0</v>
      </c>
    </row>
    <row r="18" spans="1:21" ht="18.75" x14ac:dyDescent="0.3">
      <c r="A18" s="193" t="s">
        <v>90</v>
      </c>
      <c r="B18" s="176">
        <f>'Handelsbanken Liv'!B7+'Handelsbanken Liv'!B22+'Handelsbanken Liv'!B36+'Handelsbanken Liv'!B47+'Handelsbanken Liv'!B66+'Handelsbanken Liv'!B134</f>
        <v>26625.80341</v>
      </c>
      <c r="C18" s="176">
        <f>'Handelsbanken Liv'!C7+'Handelsbanken Liv'!C22+'Handelsbanken Liv'!C36+'Handelsbanken Liv'!C47+'Handelsbanken Liv'!C66+'Handelsbanken Liv'!C134</f>
        <v>26171.04192</v>
      </c>
      <c r="D18" s="104">
        <f t="shared" si="0"/>
        <v>-1.7</v>
      </c>
      <c r="E18" s="409">
        <f t="shared" si="1"/>
        <v>5.9456310187425858E-2</v>
      </c>
      <c r="F18" s="103"/>
      <c r="G18" s="176">
        <f>'Handelsbanken Liv'!B10+'Handelsbanken Liv'!B29+'Handelsbanken Liv'!B37+'Handelsbanken Liv'!B87+'Handelsbanken Liv'!B135</f>
        <v>28422.660874665598</v>
      </c>
      <c r="H18" s="176">
        <f>'Handelsbanken Liv'!C10+'Handelsbanken Liv'!C29+'Handelsbanken Liv'!C37+'Handelsbanken Liv'!C87+'Handelsbanken Liv'!C135</f>
        <v>21581.57877081968</v>
      </c>
      <c r="I18" s="104">
        <f t="shared" si="2"/>
        <v>5.7</v>
      </c>
      <c r="J18" s="409">
        <f t="shared" si="3"/>
        <v>0.69951327853800416</v>
      </c>
      <c r="K18" s="87" t="s">
        <v>148</v>
      </c>
      <c r="L18" s="223">
        <f t="shared" ca="1" si="4"/>
        <v>0</v>
      </c>
      <c r="M18" s="221">
        <f t="shared" ca="1" si="5"/>
        <v>0</v>
      </c>
      <c r="N18" s="223">
        <f t="shared" ca="1" si="6"/>
        <v>0</v>
      </c>
      <c r="O18" s="221">
        <f t="shared" ca="1" si="7"/>
        <v>0</v>
      </c>
    </row>
    <row r="19" spans="1:21" ht="18.75" x14ac:dyDescent="0.3">
      <c r="A19" s="193" t="s">
        <v>91</v>
      </c>
      <c r="B19" s="176">
        <f>'If Skadeforsikring NUF'!B7+'If Skadeforsikring NUF'!B22+'If Skadeforsikring NUF'!B36+'If Skadeforsikring NUF'!B47+'If Skadeforsikring NUF'!B66+'If Skadeforsikring NUF'!B134</f>
        <v>368992.59400000004</v>
      </c>
      <c r="C19" s="176">
        <f>'If Skadeforsikring NUF'!C7+'If Skadeforsikring NUF'!C22+'If Skadeforsikring NUF'!C36+'If Skadeforsikring NUF'!C47+'If Skadeforsikring NUF'!C66+'If Skadeforsikring NUF'!C134</f>
        <v>396241.54700000002</v>
      </c>
      <c r="D19" s="104">
        <f t="shared" si="0"/>
        <v>7.4</v>
      </c>
      <c r="E19" s="409">
        <f t="shared" si="1"/>
        <v>0.90019573540836251</v>
      </c>
      <c r="F19" s="103"/>
      <c r="G19" s="176">
        <f>'If Skadeforsikring NUF'!B10+'If Skadeforsikring NUF'!B29+'If Skadeforsikring NUF'!B37+'If Skadeforsikring NUF'!B87+'If Skadeforsikring NUF'!B135</f>
        <v>0</v>
      </c>
      <c r="H19" s="176">
        <f>'If Skadeforsikring NUF'!C10+'If Skadeforsikring NUF'!C29+'If Skadeforsikring NUF'!C37+'If Skadeforsikring NUF'!C87+'If Skadeforsikring NUF'!C135</f>
        <v>0</v>
      </c>
      <c r="I19" s="104">
        <f t="shared" si="2"/>
        <v>-24.1</v>
      </c>
      <c r="J19" s="409">
        <f t="shared" si="3"/>
        <v>2.0161987861356144E-3</v>
      </c>
      <c r="K19" s="139"/>
      <c r="L19" s="223">
        <f t="shared" ca="1" si="4"/>
        <v>0</v>
      </c>
      <c r="M19" s="221">
        <f t="shared" ca="1" si="5"/>
        <v>0</v>
      </c>
      <c r="N19" s="223">
        <f t="shared" ca="1" si="6"/>
        <v>0</v>
      </c>
      <c r="O19" s="221">
        <f t="shared" ca="1" si="7"/>
        <v>0</v>
      </c>
    </row>
    <row r="20" spans="1:21" ht="18.75" x14ac:dyDescent="0.3">
      <c r="A20" s="193" t="s">
        <v>407</v>
      </c>
      <c r="B20" s="176">
        <f>Insr!B7+Insr!B22+Insr!B36+Insr!B47+Insr!B66+Insr!B134</f>
        <v>12781.715</v>
      </c>
      <c r="C20" s="176">
        <f>Insr!C7+Insr!C22+Insr!C36+Insr!C47+Insr!C66+Insr!C134</f>
        <v>11145.35382794882</v>
      </c>
      <c r="D20" s="104">
        <f t="shared" si="0"/>
        <v>-12.8</v>
      </c>
      <c r="E20" s="409">
        <f t="shared" si="1"/>
        <v>2.5320413928064934E-2</v>
      </c>
      <c r="F20" s="103"/>
      <c r="G20" s="176">
        <f>Insr!B10+Insr!B29+Insr!B37+Insr!B87+Insr!B135</f>
        <v>3921.4128289581399</v>
      </c>
      <c r="H20" s="176">
        <f>Insr!C10+Insr!C29+Insr!C37+Insr!C87+Insr!C135</f>
        <v>0</v>
      </c>
      <c r="I20" s="104" t="str">
        <f t="shared" si="2"/>
        <v xml:space="preserve">    ---- </v>
      </c>
      <c r="J20" s="409">
        <f t="shared" si="3"/>
        <v>0</v>
      </c>
      <c r="K20" s="139"/>
      <c r="L20" s="223">
        <f t="shared" ca="1" si="4"/>
        <v>0</v>
      </c>
      <c r="M20" s="221">
        <f t="shared" ca="1" si="5"/>
        <v>0</v>
      </c>
      <c r="N20" s="223">
        <f t="shared" ca="1" si="6"/>
        <v>0</v>
      </c>
      <c r="O20" s="221">
        <f t="shared" ca="1" si="7"/>
        <v>0</v>
      </c>
    </row>
    <row r="21" spans="1:21" ht="18.75" x14ac:dyDescent="0.3">
      <c r="A21" s="193" t="s">
        <v>63</v>
      </c>
      <c r="B21" s="176">
        <f>KLP!B7+KLP!B22+KLP!B36+KLP!B47+KLP!B66+KLP!B134</f>
        <v>32032545.142410003</v>
      </c>
      <c r="C21" s="176">
        <f>KLP!C7+KLP!C22+KLP!C36+KLP!C47+KLP!C66+KLP!C134</f>
        <v>26170501.342770003</v>
      </c>
      <c r="D21" s="104">
        <f t="shared" si="0"/>
        <v>-18.3</v>
      </c>
      <c r="E21" s="409">
        <f t="shared" si="1"/>
        <v>59.455082084717333</v>
      </c>
      <c r="F21" s="103"/>
      <c r="G21" s="176">
        <f>KLP!B10+KLP!B29+KLP!B37+KLP!B87+KLP!B135</f>
        <v>497212120.95908999</v>
      </c>
      <c r="H21" s="176">
        <f>KLP!C10+KLP!C29+KLP!C37+KLP!C87+KLP!C135</f>
        <v>526463021.72196001</v>
      </c>
      <c r="I21" s="104">
        <f t="shared" si="2"/>
        <v>-100</v>
      </c>
      <c r="J21" s="409">
        <f t="shared" si="3"/>
        <v>0</v>
      </c>
      <c r="K21" s="139"/>
      <c r="L21" s="223">
        <f t="shared" ca="1" si="4"/>
        <v>0</v>
      </c>
      <c r="M21" s="221">
        <f t="shared" ca="1" si="5"/>
        <v>0</v>
      </c>
      <c r="N21" s="223">
        <f t="shared" ca="1" si="6"/>
        <v>0</v>
      </c>
      <c r="O21" s="221">
        <f t="shared" ca="1" si="7"/>
        <v>0</v>
      </c>
    </row>
    <row r="22" spans="1:21" ht="18.75" x14ac:dyDescent="0.3">
      <c r="A22" s="108" t="s">
        <v>92</v>
      </c>
      <c r="B22" s="176">
        <f>'KLP Skadeforsikring AS'!B7+'KLP Skadeforsikring AS'!B22+'KLP Skadeforsikring AS'!B36+'KLP Skadeforsikring AS'!B47+'KLP Skadeforsikring AS'!B66+'KLP Skadeforsikring AS'!B134</f>
        <v>163742.53900000002</v>
      </c>
      <c r="C22" s="176">
        <f>'KLP Skadeforsikring AS'!C7+'KLP Skadeforsikring AS'!C22+'KLP Skadeforsikring AS'!C36+'KLP Skadeforsikring AS'!C47+'KLP Skadeforsikring AS'!C66+'KLP Skadeforsikring AS'!C134</f>
        <v>185388.55200000003</v>
      </c>
      <c r="D22" s="104">
        <f t="shared" si="0"/>
        <v>13.2</v>
      </c>
      <c r="E22" s="409">
        <f t="shared" si="1"/>
        <v>0.42117235097492561</v>
      </c>
      <c r="F22" s="103"/>
      <c r="G22" s="176">
        <f>'KLP Skadeforsikring AS'!B10+'KLP Skadeforsikring AS'!B29+'KLP Skadeforsikring AS'!B37+'KLP Skadeforsikring AS'!B87+'KLP Skadeforsikring AS'!B135</f>
        <v>34480.175000000003</v>
      </c>
      <c r="H22" s="176">
        <f>'KLP Skadeforsikring AS'!C10+'KLP Skadeforsikring AS'!C29+'KLP Skadeforsikring AS'!C37+'KLP Skadeforsikring AS'!C87+'KLP Skadeforsikring AS'!C135</f>
        <v>51937.368000000002</v>
      </c>
      <c r="I22" s="104">
        <f t="shared" si="2"/>
        <v>5.9</v>
      </c>
      <c r="J22" s="409">
        <f t="shared" si="3"/>
        <v>49.183339023199217</v>
      </c>
      <c r="K22" s="139"/>
      <c r="L22" s="223">
        <f ca="1">INDIRECT("'" &amp; $A10 &amp; "'!" &amp; $P$7)</f>
        <v>0</v>
      </c>
      <c r="M22" s="221">
        <f ca="1">INDIRECT("'" &amp; $A10 &amp; "'!" &amp; $P$8)</f>
        <v>0</v>
      </c>
      <c r="N22" s="223">
        <f ca="1">INDIRECT("'" &amp; $A10 &amp; "'!" &amp; $P$9)</f>
        <v>0</v>
      </c>
      <c r="O22" s="221">
        <f ca="1">INDIRECT("'" &amp; $A10 &amp; "'!" &amp; $P$11)</f>
        <v>0</v>
      </c>
    </row>
    <row r="23" spans="1:21" ht="18.75" x14ac:dyDescent="0.3">
      <c r="A23" s="108" t="s">
        <v>414</v>
      </c>
      <c r="B23" s="176">
        <f>'Landkreditt Forsikring'!B7+'Landkreditt Forsikring'!B22+'Landkreditt Forsikring'!B36+'Landkreditt Forsikring'!B47+'Landkreditt Forsikring'!B66+'Landkreditt Forsikring'!B134</f>
        <v>28648</v>
      </c>
      <c r="C23" s="176">
        <f>'Landkreditt Forsikring'!C7+'Landkreditt Forsikring'!C22+'Landkreditt Forsikring'!C36+'Landkreditt Forsikring'!C47+'Landkreditt Forsikring'!C66+'Landkreditt Forsikring'!C134</f>
        <v>38656</v>
      </c>
      <c r="D23" s="104">
        <f t="shared" si="0"/>
        <v>34.9</v>
      </c>
      <c r="E23" s="409">
        <f t="shared" si="1"/>
        <v>8.7820085024919559E-2</v>
      </c>
      <c r="F23" s="103"/>
      <c r="G23" s="176">
        <f>'Landkreditt Forsikring'!B10+'Landkreditt Forsikring'!B29+'Landkreditt Forsikring'!B37+'Landkreditt Forsikring'!B87+'Landkreditt Forsikring'!B135</f>
        <v>0</v>
      </c>
      <c r="H23" s="176">
        <f>'Landkreditt Forsikring'!C10+'Landkreditt Forsikring'!C29+'Landkreditt Forsikring'!C37+'Landkreditt Forsikring'!C87+'Landkreditt Forsikring'!C135</f>
        <v>0</v>
      </c>
      <c r="I23" s="104">
        <f t="shared" si="2"/>
        <v>50.6</v>
      </c>
      <c r="J23" s="409">
        <f t="shared" si="3"/>
        <v>4.8521037051406377E-3</v>
      </c>
      <c r="K23" s="139"/>
      <c r="L23" s="223">
        <f t="shared" ca="1" si="4"/>
        <v>0</v>
      </c>
      <c r="M23" s="221">
        <f t="shared" ca="1" si="5"/>
        <v>0</v>
      </c>
      <c r="N23" s="223">
        <f t="shared" ca="1" si="6"/>
        <v>0</v>
      </c>
      <c r="O23" s="221">
        <f t="shared" ca="1" si="7"/>
        <v>0</v>
      </c>
    </row>
    <row r="24" spans="1:21" ht="18.75" x14ac:dyDescent="0.3">
      <c r="A24" s="108" t="s">
        <v>93</v>
      </c>
      <c r="B24" s="176">
        <f>'Nordea Liv '!B7+'Nordea Liv '!B22+'Nordea Liv '!B36+'Nordea Liv '!B47+'Nordea Liv '!B66+'Nordea Liv '!B134</f>
        <v>1234767.86646463</v>
      </c>
      <c r="C24" s="176">
        <f>'Nordea Liv '!C7+'Nordea Liv '!C22+'Nordea Liv '!C36+'Nordea Liv '!C47+'Nordea Liv '!C66+'Nordea Liv '!C134</f>
        <v>1190396.8958108251</v>
      </c>
      <c r="D24" s="104">
        <f t="shared" si="0"/>
        <v>-3.6</v>
      </c>
      <c r="E24" s="409">
        <f t="shared" si="1"/>
        <v>2.7043862945857557</v>
      </c>
      <c r="F24" s="103"/>
      <c r="G24" s="177">
        <f>'Nordea Liv '!B10+'Nordea Liv '!B29+'Nordea Liv '!B37+'Nordea Liv '!B87+'Nordea Liv '!B135</f>
        <v>51315530.000145264</v>
      </c>
      <c r="H24" s="177">
        <f>'Nordea Liv '!C10+'Nordea Liv '!C29+'Nordea Liv '!C37+'Nordea Liv '!C87+'Nordea Liv '!C135</f>
        <v>52385900.000052795</v>
      </c>
      <c r="I24" s="104" t="str">
        <f t="shared" si="2"/>
        <v xml:space="preserve">    ---- </v>
      </c>
      <c r="J24" s="409">
        <f t="shared" si="3"/>
        <v>0</v>
      </c>
      <c r="K24" s="139"/>
      <c r="L24" s="223">
        <f t="shared" ca="1" si="4"/>
        <v>0</v>
      </c>
      <c r="M24" s="221">
        <f t="shared" ca="1" si="5"/>
        <v>0</v>
      </c>
      <c r="N24" s="223">
        <f t="shared" ca="1" si="6"/>
        <v>0</v>
      </c>
      <c r="O24" s="221">
        <f t="shared" ca="1" si="7"/>
        <v>0</v>
      </c>
    </row>
    <row r="25" spans="1:21" ht="18.75" x14ac:dyDescent="0.3">
      <c r="A25" s="108" t="s">
        <v>94</v>
      </c>
      <c r="B25" s="176">
        <f>'Oslo Pensjonsforsikring'!B7+'Oslo Pensjonsforsikring'!B22+'Oslo Pensjonsforsikring'!B36+'Oslo Pensjonsforsikring'!B47+'Oslo Pensjonsforsikring'!B66+'Oslo Pensjonsforsikring'!B134</f>
        <v>4463574</v>
      </c>
      <c r="C25" s="176">
        <f>'Oslo Pensjonsforsikring'!C7+'Oslo Pensjonsforsikring'!C22+'Oslo Pensjonsforsikring'!C36+'Oslo Pensjonsforsikring'!C47+'Oslo Pensjonsforsikring'!C66+'Oslo Pensjonsforsikring'!C134</f>
        <v>2473460</v>
      </c>
      <c r="D25" s="104">
        <f t="shared" si="0"/>
        <v>-44.6</v>
      </c>
      <c r="E25" s="409">
        <f t="shared" si="1"/>
        <v>5.6192949996310411</v>
      </c>
      <c r="F25" s="103"/>
      <c r="G25" s="176">
        <f>'Oslo Pensjonsforsikring'!B10+'Oslo Pensjonsforsikring'!B29+'Oslo Pensjonsforsikring'!B37+'Oslo Pensjonsforsikring'!B87+'Oslo Pensjonsforsikring'!B135</f>
        <v>76175866</v>
      </c>
      <c r="H25" s="176">
        <f>'Oslo Pensjonsforsikring'!C10+'Oslo Pensjonsforsikring'!C29+'Oslo Pensjonsforsikring'!C37+'Oslo Pensjonsforsikring'!C87+'Oslo Pensjonsforsikring'!C135</f>
        <v>80017880</v>
      </c>
      <c r="I25" s="104">
        <f t="shared" si="2"/>
        <v>2.1</v>
      </c>
      <c r="J25" s="409">
        <f t="shared" si="3"/>
        <v>4.894006555884447</v>
      </c>
      <c r="K25" s="139"/>
      <c r="L25" s="223">
        <f t="shared" ca="1" si="4"/>
        <v>0</v>
      </c>
      <c r="M25" s="221">
        <f t="shared" ca="1" si="5"/>
        <v>0</v>
      </c>
      <c r="N25" s="223">
        <f t="shared" ca="1" si="6"/>
        <v>0</v>
      </c>
      <c r="O25" s="221">
        <f t="shared" ca="1" si="7"/>
        <v>0</v>
      </c>
    </row>
    <row r="26" spans="1:21" ht="18.75" x14ac:dyDescent="0.3">
      <c r="A26" s="108" t="s">
        <v>364</v>
      </c>
      <c r="B26" s="176">
        <f>'Protector Forsikring'!B7+'Protector Forsikring'!B22+'Protector Forsikring'!B36+'Protector Forsikring'!B47+'Protector Forsikring'!B66+'Protector Forsikring'!B134</f>
        <v>298592.88391241134</v>
      </c>
      <c r="C26" s="176">
        <f>'Protector Forsikring'!C7+'Protector Forsikring'!C22+'Protector Forsikring'!C36+'Protector Forsikring'!C47+'Protector Forsikring'!C66+'Protector Forsikring'!C134</f>
        <v>287049.49045636802</v>
      </c>
      <c r="D26" s="104">
        <f t="shared" si="0"/>
        <v>-3.9</v>
      </c>
      <c r="E26" s="409">
        <f t="shared" si="1"/>
        <v>0.65212931131617535</v>
      </c>
      <c r="F26" s="103"/>
      <c r="G26" s="176">
        <f>'Protector Forsikring'!B10+'Protector Forsikring'!B29+'Protector Forsikring'!B37+'Protector Forsikring'!B87+'Protector Forsikring'!B135</f>
        <v>0</v>
      </c>
      <c r="H26" s="176">
        <f>'Protector Forsikring'!C10+'Protector Forsikring'!C29+'Protector Forsikring'!C37+'Protector Forsikring'!C87+'Protector Forsikring'!C135</f>
        <v>0</v>
      </c>
      <c r="I26" s="104">
        <f t="shared" si="2"/>
        <v>5</v>
      </c>
      <c r="J26" s="409">
        <f t="shared" si="3"/>
        <v>7.4754471968140344</v>
      </c>
      <c r="K26" s="139"/>
      <c r="L26" s="223">
        <f t="shared" ca="1" si="4"/>
        <v>0</v>
      </c>
      <c r="M26" s="221">
        <f t="shared" ca="1" si="5"/>
        <v>0</v>
      </c>
      <c r="N26" s="223">
        <f t="shared" ca="1" si="6"/>
        <v>0</v>
      </c>
      <c r="O26" s="221">
        <f t="shared" ca="1" si="7"/>
        <v>0</v>
      </c>
    </row>
    <row r="27" spans="1:21" ht="18.75" x14ac:dyDescent="0.3">
      <c r="A27" s="193" t="s">
        <v>67</v>
      </c>
      <c r="B27" s="176">
        <f>'Sparebank 1'!B7+'Sparebank 1'!B22+'Sparebank 1'!B36+'Sparebank 1'!B47+'Sparebank 1'!B66+'Sparebank 1'!B134</f>
        <v>2285218.03632</v>
      </c>
      <c r="C27" s="176">
        <f>'Sparebank 1'!C7+'Sparebank 1'!C22+'Sparebank 1'!C36+'Sparebank 1'!C47+'Sparebank 1'!C66+'Sparebank 1'!C134</f>
        <v>566972.15151</v>
      </c>
      <c r="D27" s="104">
        <f t="shared" si="0"/>
        <v>-75.2</v>
      </c>
      <c r="E27" s="409">
        <f t="shared" si="1"/>
        <v>1.288067636392016</v>
      </c>
      <c r="F27" s="103"/>
      <c r="G27" s="176">
        <f>'Sparebank 1'!B10+'Sparebank 1'!B29+'Sparebank 1'!B37+'Sparebank 1'!B87+'Sparebank 1'!B135</f>
        <v>20850610.60103</v>
      </c>
      <c r="H27" s="176">
        <f>'Sparebank 1'!C10+'Sparebank 1'!C29+'Sparebank 1'!C37+'Sparebank 1'!C87+'Sparebank 1'!C135</f>
        <v>19350549.066980001</v>
      </c>
      <c r="I27" s="104" t="str">
        <f t="shared" si="2"/>
        <v xml:space="preserve">    ---- </v>
      </c>
      <c r="J27" s="409">
        <f t="shared" si="3"/>
        <v>0</v>
      </c>
      <c r="K27" s="139"/>
      <c r="L27" s="223">
        <f t="shared" ca="1" si="4"/>
        <v>0</v>
      </c>
      <c r="M27" s="221">
        <f t="shared" ca="1" si="5"/>
        <v>0</v>
      </c>
      <c r="N27" s="223">
        <f t="shared" ca="1" si="6"/>
        <v>0</v>
      </c>
      <c r="O27" s="221">
        <f t="shared" ca="1" si="7"/>
        <v>0</v>
      </c>
    </row>
    <row r="28" spans="1:21" ht="18.75" x14ac:dyDescent="0.3">
      <c r="A28" s="108" t="s">
        <v>95</v>
      </c>
      <c r="B28" s="176">
        <f>'Storebrand Livsforsikring'!B7+'Storebrand Livsforsikring'!B22+'Storebrand Livsforsikring'!B36+'Storebrand Livsforsikring'!B47+'Storebrand Livsforsikring'!B66+'Storebrand Livsforsikring'!B134</f>
        <v>4417928.83</v>
      </c>
      <c r="C28" s="176">
        <f>'Storebrand Livsforsikring'!C7+'Storebrand Livsforsikring'!C22+'Storebrand Livsforsikring'!C36+'Storebrand Livsforsikring'!C47+'Storebrand Livsforsikring'!C66+'Storebrand Livsforsikring'!C134</f>
        <v>4218437.4960000003</v>
      </c>
      <c r="D28" s="104">
        <f t="shared" si="0"/>
        <v>-4.5</v>
      </c>
      <c r="E28" s="409">
        <f t="shared" si="1"/>
        <v>9.5835973605915985</v>
      </c>
      <c r="F28" s="103"/>
      <c r="G28" s="176">
        <f>'Storebrand Livsforsikring'!B10+'Storebrand Livsforsikring'!B29+'Storebrand Livsforsikring'!B37+'Storebrand Livsforsikring'!B87+'Storebrand Livsforsikring'!B135</f>
        <v>181032450.26100001</v>
      </c>
      <c r="H28" s="176">
        <f>'Storebrand Livsforsikring'!C10+'Storebrand Livsforsikring'!C29+'Storebrand Livsforsikring'!C37+'Storebrand Livsforsikring'!C87+'Storebrand Livsforsikring'!C135</f>
        <v>182050617.75099999</v>
      </c>
      <c r="I28" s="104">
        <f t="shared" si="2"/>
        <v>-7.2</v>
      </c>
      <c r="J28" s="409">
        <f t="shared" si="3"/>
        <v>1.8077710604125987</v>
      </c>
      <c r="K28" s="139"/>
      <c r="L28" s="223">
        <f t="shared" ca="1" si="4"/>
        <v>0</v>
      </c>
      <c r="M28" s="221">
        <f t="shared" ca="1" si="5"/>
        <v>0</v>
      </c>
      <c r="N28" s="223">
        <f t="shared" ca="1" si="6"/>
        <v>0</v>
      </c>
      <c r="O28" s="221">
        <f t="shared" ca="1" si="7"/>
        <v>0</v>
      </c>
    </row>
    <row r="29" spans="1:21" ht="18.75" x14ac:dyDescent="0.3">
      <c r="A29" s="108" t="s">
        <v>96</v>
      </c>
      <c r="B29" s="176">
        <f>'Telenor Forsikring'!B7+'Telenor Forsikring'!B22+'Telenor Forsikring'!B36+'Telenor Forsikring'!B47+'Telenor Forsikring'!B66+'Telenor Forsikring'!B134</f>
        <v>0</v>
      </c>
      <c r="C29" s="176">
        <f>'Telenor Forsikring'!C7+'Telenor Forsikring'!C22+'Telenor Forsikring'!C36+'Telenor Forsikring'!C47+'Telenor Forsikring'!C66+'Telenor Forsikring'!C134</f>
        <v>0</v>
      </c>
      <c r="D29" s="104" t="str">
        <f t="shared" si="0"/>
        <v xml:space="preserve">    ---- </v>
      </c>
      <c r="E29" s="409">
        <f t="shared" si="1"/>
        <v>0</v>
      </c>
      <c r="F29" s="103"/>
      <c r="G29" s="176">
        <f>'Telenor Forsikring'!B10+'Telenor Forsikring'!B29+'Telenor Forsikring'!B37+'Telenor Forsikring'!B87+'Telenor Forsikring'!B135</f>
        <v>0</v>
      </c>
      <c r="H29" s="176">
        <f>'Telenor Forsikring'!C10+'Telenor Forsikring'!C29+'Telenor Forsikring'!C37+'Telenor Forsikring'!C87+'Telenor Forsikring'!C135</f>
        <v>0</v>
      </c>
      <c r="I29" s="104">
        <f t="shared" si="2"/>
        <v>0.6</v>
      </c>
      <c r="J29" s="409">
        <f t="shared" si="3"/>
        <v>17.007571059680362</v>
      </c>
      <c r="K29" s="139"/>
      <c r="L29" s="223">
        <f t="shared" ca="1" si="4"/>
        <v>0</v>
      </c>
      <c r="M29" s="221">
        <f t="shared" ca="1" si="5"/>
        <v>0</v>
      </c>
      <c r="N29" s="223">
        <f t="shared" ca="1" si="6"/>
        <v>0</v>
      </c>
      <c r="O29" s="221">
        <f t="shared" ca="1" si="7"/>
        <v>0</v>
      </c>
      <c r="R29" s="702"/>
    </row>
    <row r="30" spans="1:21" ht="18.75" x14ac:dyDescent="0.3">
      <c r="A30" s="108" t="s">
        <v>97</v>
      </c>
      <c r="B30" s="176">
        <f>'Tryg Forsikring'!B7+'Tryg Forsikring'!B22+'Tryg Forsikring'!B36+'Tryg Forsikring'!B47+'Tryg Forsikring'!B66+'Tryg Forsikring'!B134</f>
        <v>577343.84699999995</v>
      </c>
      <c r="C30" s="176">
        <f>'Tryg Forsikring'!C7+'Tryg Forsikring'!C22+'Tryg Forsikring'!C36+'Tryg Forsikring'!C47+'Tryg Forsikring'!C66+'Tryg Forsikring'!C134</f>
        <v>574050.93926000001</v>
      </c>
      <c r="D30" s="104">
        <f t="shared" si="0"/>
        <v>-0.6</v>
      </c>
      <c r="E30" s="409">
        <f t="shared" si="1"/>
        <v>1.3041494798853512</v>
      </c>
      <c r="F30" s="103"/>
      <c r="G30" s="176">
        <f>'Tryg Forsikring'!B10+'Tryg Forsikring'!B29+'Tryg Forsikring'!B37+'Tryg Forsikring'!B87+'Tryg Forsikring'!B135</f>
        <v>0</v>
      </c>
      <c r="H30" s="176">
        <f>'Tryg Forsikring'!C10+'Tryg Forsikring'!C29+'Tryg Forsikring'!C37+'Tryg Forsikring'!C87+'Tryg Forsikring'!C135</f>
        <v>0</v>
      </c>
      <c r="I30" s="104" t="str">
        <f t="shared" si="2"/>
        <v xml:space="preserve">    ---- </v>
      </c>
      <c r="J30" s="409">
        <f t="shared" si="3"/>
        <v>0</v>
      </c>
      <c r="K30" s="207"/>
      <c r="L30" s="223">
        <f t="shared" ca="1" si="4"/>
        <v>0</v>
      </c>
      <c r="M30" s="221">
        <f t="shared" ca="1" si="5"/>
        <v>0</v>
      </c>
      <c r="N30" s="223">
        <f t="shared" ca="1" si="6"/>
        <v>0</v>
      </c>
      <c r="O30" s="221">
        <f t="shared" ca="1" si="7"/>
        <v>0</v>
      </c>
    </row>
    <row r="31" spans="1:21" ht="18.75" x14ac:dyDescent="0.3">
      <c r="A31" s="193" t="s">
        <v>418</v>
      </c>
      <c r="B31" s="176">
        <f>'WaterCircle F'!B7+'WaterCircle F'!B22+'WaterCircle F'!B36+'WaterCircle F'!B47+'WaterCircle F'!B66+'WaterCircle F'!B136</f>
        <v>0</v>
      </c>
      <c r="C31" s="176">
        <f>'WaterCircle F'!C7+'WaterCircle F'!C22+'WaterCircle F'!C36+'WaterCircle F'!C47+'WaterCircle F'!C66+'WaterCircle F'!C136</f>
        <v>1151</v>
      </c>
      <c r="D31" s="104" t="str">
        <f t="shared" si="0"/>
        <v xml:space="preserve">    ---- </v>
      </c>
      <c r="E31" s="409">
        <f t="shared" ref="E31" si="8">100/C$32*C31</f>
        <v>2.614883015927215E-3</v>
      </c>
      <c r="F31" s="193"/>
      <c r="G31" s="103">
        <f>'WaterCircle F'!B10+'WaterCircle F'!B29+'WaterCircle F'!B37+'WaterCircle F'!B87+'WaterCircle F'!B135</f>
        <v>0</v>
      </c>
      <c r="H31" s="103">
        <f>'WaterCircle F'!C10+'WaterCircle F'!C29+'WaterCircle F'!C37+'WaterCircle F'!C87+'WaterCircle F'!C135</f>
        <v>0</v>
      </c>
      <c r="I31" s="193"/>
      <c r="J31" s="409">
        <f>100/H$32*H31</f>
        <v>0</v>
      </c>
      <c r="K31" s="207"/>
      <c r="L31" s="223">
        <f t="shared" ca="1" si="4"/>
        <v>0</v>
      </c>
      <c r="M31" s="221">
        <f t="shared" ca="1" si="5"/>
        <v>0</v>
      </c>
      <c r="N31" s="223">
        <f t="shared" ca="1" si="6"/>
        <v>0</v>
      </c>
      <c r="O31" s="221">
        <f t="shared" ca="1" si="7"/>
        <v>0</v>
      </c>
    </row>
    <row r="32" spans="1:21" s="111" customFormat="1" ht="18.75" x14ac:dyDescent="0.3">
      <c r="A32" s="137" t="s">
        <v>98</v>
      </c>
      <c r="B32" s="178">
        <f>SUM(B9:B30)</f>
        <v>52629694.177747048</v>
      </c>
      <c r="C32" s="242">
        <f>SUM(C9:C30)</f>
        <v>44017265.513955139</v>
      </c>
      <c r="D32" s="104">
        <f t="shared" ref="D32" si="9">IF(B32=0, "    ---- ", IF(ABS(ROUND(100/B32*C32-100,1))&lt;999,ROUND(100/B32*C32-100,1),IF(ROUND(100/B32*C32-100,1)&gt;999,999,-999)))</f>
        <v>-16.399999999999999</v>
      </c>
      <c r="E32" s="410">
        <f>SUM(E9:E30)</f>
        <v>100.00000000000001</v>
      </c>
      <c r="F32" s="109"/>
      <c r="G32" s="178">
        <f>SUM(G9:G31)</f>
        <v>1036550383.884159</v>
      </c>
      <c r="H32" s="178">
        <f>SUM(H9:H31)</f>
        <v>1070409273.0947638</v>
      </c>
      <c r="I32" s="104">
        <f t="shared" ref="I32" si="10">IF(G32=0, "    ---- ", IF(ABS(ROUND(100/G32*H32-100,1))&lt;999,ROUND(100/G32*H32-100,1),IF(ROUND(100/G32*H32-100,1)&gt;999,999,-999)))</f>
        <v>3.3</v>
      </c>
      <c r="J32" s="410">
        <f>SUM(J9:J31)</f>
        <v>100.12017437071344</v>
      </c>
      <c r="K32" s="209"/>
      <c r="L32" s="223" t="e">
        <f ca="1">SUM(L9:L31)</f>
        <v>#REF!</v>
      </c>
      <c r="M32" s="221" t="e">
        <f ca="1">SUM(M9:M31)</f>
        <v>#REF!</v>
      </c>
      <c r="N32" s="223" t="e">
        <f ca="1">SUM(N9:N31)</f>
        <v>#REF!</v>
      </c>
      <c r="O32" s="221" t="e">
        <f ca="1">SUM(O9:O31)</f>
        <v>#REF!</v>
      </c>
      <c r="U32" s="205"/>
    </row>
    <row r="33" spans="1:20" ht="18.75" x14ac:dyDescent="0.3">
      <c r="A33" s="86"/>
      <c r="B33" s="176"/>
      <c r="C33" s="139"/>
      <c r="D33" s="104"/>
      <c r="E33" s="409"/>
      <c r="F33" s="103"/>
      <c r="G33" s="176"/>
      <c r="H33" s="103"/>
      <c r="I33" s="104"/>
      <c r="J33" s="409"/>
      <c r="K33" s="207"/>
      <c r="L33" s="220" t="s">
        <v>1</v>
      </c>
      <c r="M33" s="221"/>
      <c r="N33" s="223"/>
      <c r="O33" s="221"/>
    </row>
    <row r="34" spans="1:20" ht="18.75" x14ac:dyDescent="0.3">
      <c r="A34" s="101" t="s">
        <v>1</v>
      </c>
      <c r="B34" s="176"/>
      <c r="C34" s="139"/>
      <c r="D34" s="104"/>
      <c r="E34" s="409"/>
      <c r="F34" s="103"/>
      <c r="G34" s="176"/>
      <c r="H34" s="103"/>
      <c r="I34" s="104"/>
      <c r="J34" s="409"/>
      <c r="K34" s="207"/>
      <c r="L34" s="224">
        <v>2015</v>
      </c>
      <c r="M34" s="225">
        <v>2016</v>
      </c>
      <c r="N34" s="224">
        <v>2015</v>
      </c>
      <c r="O34" s="225">
        <v>2016</v>
      </c>
      <c r="P34" s="87" t="s">
        <v>153</v>
      </c>
    </row>
    <row r="35" spans="1:20" ht="18.75" x14ac:dyDescent="0.3">
      <c r="A35" s="107" t="s">
        <v>83</v>
      </c>
      <c r="B35" s="130">
        <f>'Danica Pensjonsforsikring'!F7+'Danica Pensjonsforsikring'!F22+'Danica Pensjonsforsikring'!F66+'Danica Pensjonsforsikring'!F134</f>
        <v>1462527.3599999999</v>
      </c>
      <c r="C35" s="130">
        <f>'Danica Pensjonsforsikring'!G7+'Danica Pensjonsforsikring'!G22+'Danica Pensjonsforsikring'!G66+'Danica Pensjonsforsikring'!G134</f>
        <v>1560697.9480000001</v>
      </c>
      <c r="D35" s="104">
        <f t="shared" ref="D35:D45" si="11">IF(B35=0, "    ---- ", IF(ABS(ROUND(100/B35*C35-100,1))&lt;999,ROUND(100/B35*C35-100,1),IF(ROUND(100/B35*C35-100,1)&gt;999,999,-999)))</f>
        <v>6.7</v>
      </c>
      <c r="E35" s="409">
        <f t="shared" ref="E35:E44" si="12">100/C$45*C35</f>
        <v>4.6027551560619404</v>
      </c>
      <c r="F35" s="103"/>
      <c r="G35" s="176">
        <f>'Danica Pensjonsforsikring'!F10+'Danica Pensjonsforsikring'!F29+'Danica Pensjonsforsikring'!F87+'Danica Pensjonsforsikring'!F135</f>
        <v>19693741.598999999</v>
      </c>
      <c r="H35" s="176">
        <f>'Danica Pensjonsforsikring'!G10+'Danica Pensjonsforsikring'!G29+'Danica Pensjonsforsikring'!G87+'Danica Pensjonsforsikring'!G135</f>
        <v>22186843.857000001</v>
      </c>
      <c r="I35" s="104">
        <f t="shared" ref="I35:I45" si="13">IF(G35=0, "    ---- ", IF(ABS(ROUND(100/G35*H35-100,1))&lt;999,ROUND(100/G35*H35-100,1),IF(ROUND(100/G35*H35-100,1)&gt;999,999,-999)))</f>
        <v>12.7</v>
      </c>
      <c r="J35" s="409">
        <f t="shared" ref="J35:J44" si="14">100/H$45*H35</f>
        <v>5.3013333460073042</v>
      </c>
      <c r="K35" s="207" t="s">
        <v>141</v>
      </c>
      <c r="L35" s="223">
        <f t="shared" ref="L35:L44" ca="1" si="15">INDIRECT("'" &amp; $A35 &amp; "'!" &amp; $P$34)</f>
        <v>0</v>
      </c>
      <c r="M35" s="221">
        <f t="shared" ref="M35:M44" ca="1" si="16">INDIRECT("'" &amp; $A35 &amp; "'!" &amp; $P$35)</f>
        <v>0</v>
      </c>
      <c r="N35" s="223">
        <f t="shared" ref="N35:N44" ca="1" si="17">INDIRECT("'" &amp; $A35 &amp; "'!" &amp; $P$37)</f>
        <v>0</v>
      </c>
      <c r="O35" s="221">
        <f ca="1">INDIRECT("'"&amp;$A35&amp;"'!"&amp;$P$38)</f>
        <v>0</v>
      </c>
      <c r="P35" s="87" t="s">
        <v>155</v>
      </c>
    </row>
    <row r="36" spans="1:20" ht="18.75" x14ac:dyDescent="0.3">
      <c r="A36" s="107" t="s">
        <v>417</v>
      </c>
      <c r="B36" s="130">
        <f>'DNB Bedriftspensjon'!F7+'DNB Bedriftspensjon'!F22+'DNB Bedriftspensjon'!F66+'DNB Bedriftspensjon'!F134</f>
        <v>401210</v>
      </c>
      <c r="C36" s="130">
        <f>'DNB Bedriftspensjon'!G7+'DNB Bedriftspensjon'!G22+'DNB Bedriftspensjon'!G66+'DNB Bedriftspensjon'!G134</f>
        <v>471105</v>
      </c>
      <c r="D36" s="104">
        <f>IF(B36=0, "    ---- ", IF(ABS(ROUND(100/B36*C36-100,1))&lt;999,ROUND(100/B36*C36-100,1),IF(ROUND(100/B36*C36-100,1)&gt;999,999,-999)))</f>
        <v>17.399999999999999</v>
      </c>
      <c r="E36" s="409">
        <f t="shared" si="12"/>
        <v>1.3893661938719744</v>
      </c>
      <c r="F36" s="103"/>
      <c r="G36" s="176">
        <f>'DNB Bedriftspensjon'!F10+'DNB Bedriftspensjon'!F29+'DNB Bedriftspensjon'!F87+'DNB Bedriftspensjon'!F135</f>
        <v>4520776</v>
      </c>
      <c r="H36" s="176">
        <f>'DNB Bedriftspensjon'!G10+'DNB Bedriftspensjon'!G29+'DNB Bedriftspensjon'!G87+'DNB Bedriftspensjon'!G135</f>
        <v>5573307</v>
      </c>
      <c r="I36" s="104">
        <f>IF(G36=0, "    ---- ", IF(ABS(ROUND(100/G36*H36-100,1))&lt;999,ROUND(100/G36*H36-100,1),IF(ROUND(100/G36*H36-100,1)&gt;999,999,-999)))</f>
        <v>23.3</v>
      </c>
      <c r="J36" s="409">
        <f t="shared" si="14"/>
        <v>1.3316882039224391</v>
      </c>
      <c r="K36" s="87" t="s">
        <v>151</v>
      </c>
      <c r="L36" s="223">
        <f ca="1">INDIRECT("'" &amp; $A36 &amp; "'!" &amp; $P$34)</f>
        <v>0</v>
      </c>
      <c r="M36" s="221">
        <f ca="1">INDIRECT("'" &amp; $A36 &amp; "'!" &amp; $P$35)</f>
        <v>0</v>
      </c>
      <c r="N36" s="223">
        <f t="shared" ca="1" si="17"/>
        <v>0</v>
      </c>
      <c r="O36" s="221">
        <f ca="1">INDIRECT("'"&amp;$A36&amp;"'!"&amp;$P$38)</f>
        <v>0</v>
      </c>
    </row>
    <row r="37" spans="1:20" ht="18.75" x14ac:dyDescent="0.3">
      <c r="A37" s="86" t="s">
        <v>84</v>
      </c>
      <c r="B37" s="130">
        <f>'DNB Livsforsikring'!F7+'DNB Livsforsikring'!F22+'DNB Livsforsikring'!F66+'DNB Livsforsikring'!F134</f>
        <v>7274914.4699999997</v>
      </c>
      <c r="C37" s="130">
        <f>'DNB Livsforsikring'!G7+'DNB Livsforsikring'!G22+'DNB Livsforsikring'!G66+'DNB Livsforsikring'!G134</f>
        <v>7401471.0010000002</v>
      </c>
      <c r="D37" s="104">
        <f t="shared" si="11"/>
        <v>1.7</v>
      </c>
      <c r="E37" s="409">
        <f t="shared" si="12"/>
        <v>21.828156342456907</v>
      </c>
      <c r="F37" s="103"/>
      <c r="G37" s="176">
        <f>'DNB Livsforsikring'!F10+'DNB Livsforsikring'!F29+'DNB Livsforsikring'!F87+'DNB Livsforsikring'!F135</f>
        <v>92856889.727000013</v>
      </c>
      <c r="H37" s="176">
        <f>'DNB Livsforsikring'!G10+'DNB Livsforsikring'!G29+'DNB Livsforsikring'!G87+'DNB Livsforsikring'!G135</f>
        <v>100331927.579</v>
      </c>
      <c r="I37" s="104">
        <f t="shared" si="13"/>
        <v>8.1</v>
      </c>
      <c r="J37" s="409">
        <f t="shared" si="14"/>
        <v>23.97335090885084</v>
      </c>
      <c r="K37" s="87" t="s">
        <v>149</v>
      </c>
      <c r="L37" s="223">
        <f t="shared" ca="1" si="15"/>
        <v>0</v>
      </c>
      <c r="M37" s="221">
        <f t="shared" ca="1" si="16"/>
        <v>0</v>
      </c>
      <c r="N37" s="223">
        <f t="shared" ca="1" si="17"/>
        <v>0</v>
      </c>
      <c r="O37" s="221">
        <f ca="1">INDIRECT("'"&amp;$A37&amp;"'!"&amp;$P$38)</f>
        <v>0</v>
      </c>
      <c r="P37" s="87" t="s">
        <v>154</v>
      </c>
    </row>
    <row r="38" spans="1:20" ht="18.75" x14ac:dyDescent="0.3">
      <c r="A38" s="107" t="s">
        <v>86</v>
      </c>
      <c r="B38" s="130">
        <f>'Frende Livsforsikring'!F7+'Frende Livsforsikring'!F22+'Frende Livsforsikring'!F66+'Frende Livsforsikring'!F134</f>
        <v>301589</v>
      </c>
      <c r="C38" s="130">
        <f>'Frende Livsforsikring'!G7+'Frende Livsforsikring'!G22+'Frende Livsforsikring'!G66+'Frende Livsforsikring'!G134</f>
        <v>322819</v>
      </c>
      <c r="D38" s="104">
        <f t="shared" si="11"/>
        <v>7</v>
      </c>
      <c r="E38" s="409">
        <f t="shared" si="12"/>
        <v>0.95204637042603424</v>
      </c>
      <c r="F38" s="103"/>
      <c r="G38" s="176">
        <f>'Frende Livsforsikring'!F10+'Frende Livsforsikring'!F29+'Frende Livsforsikring'!F87+'Frende Livsforsikring'!F135</f>
        <v>3966911.3</v>
      </c>
      <c r="H38" s="176">
        <f>'Frende Livsforsikring'!G10+'Frende Livsforsikring'!G29+'Frende Livsforsikring'!G87+'Frende Livsforsikring'!G135</f>
        <v>4512931</v>
      </c>
      <c r="I38" s="104">
        <f t="shared" si="13"/>
        <v>13.8</v>
      </c>
      <c r="J38" s="409">
        <f t="shared" si="14"/>
        <v>1.0783215383283025</v>
      </c>
      <c r="K38" s="87" t="s">
        <v>142</v>
      </c>
      <c r="L38" s="223">
        <f t="shared" ca="1" si="15"/>
        <v>0</v>
      </c>
      <c r="M38" s="221">
        <f t="shared" ca="1" si="16"/>
        <v>0</v>
      </c>
      <c r="N38" s="223">
        <f t="shared" ca="1" si="17"/>
        <v>0</v>
      </c>
      <c r="O38" s="221">
        <f t="shared" ref="O38:O44" ca="1" si="18">INDIRECT("'"&amp;$A38&amp;"'!"&amp;$P$38)</f>
        <v>0</v>
      </c>
      <c r="P38" s="87" t="s">
        <v>156</v>
      </c>
    </row>
    <row r="39" spans="1:20" ht="18.75" x14ac:dyDescent="0.3">
      <c r="A39" s="107" t="s">
        <v>89</v>
      </c>
      <c r="B39" s="130">
        <f>'Gjensidige Pensjon'!F7+'Gjensidige Pensjon'!F22+'Gjensidige Pensjon'!F66+'Gjensidige Pensjon'!F134</f>
        <v>2383693</v>
      </c>
      <c r="C39" s="130">
        <f>'Gjensidige Pensjon'!G7+'Gjensidige Pensjon'!G22+'Gjensidige Pensjon'!G66+'Gjensidige Pensjon'!G134</f>
        <v>2362012</v>
      </c>
      <c r="D39" s="104">
        <f t="shared" si="11"/>
        <v>-0.9</v>
      </c>
      <c r="E39" s="409">
        <f t="shared" si="12"/>
        <v>6.9659622001887689</v>
      </c>
      <c r="F39" s="103"/>
      <c r="G39" s="176">
        <f>'Gjensidige Pensjon'!F10+'Gjensidige Pensjon'!F29+'Gjensidige Pensjon'!F87+'Gjensidige Pensjon'!F135</f>
        <v>28289547</v>
      </c>
      <c r="H39" s="176">
        <f>'Gjensidige Pensjon'!G10+'Gjensidige Pensjon'!G29+'Gjensidige Pensjon'!G87+'Gjensidige Pensjon'!G135</f>
        <v>31528930</v>
      </c>
      <c r="I39" s="104">
        <f t="shared" si="13"/>
        <v>11.5</v>
      </c>
      <c r="J39" s="409">
        <f t="shared" si="14"/>
        <v>7.5335351458831008</v>
      </c>
      <c r="K39" s="87" t="s">
        <v>150</v>
      </c>
      <c r="L39" s="223">
        <f t="shared" ca="1" si="15"/>
        <v>0</v>
      </c>
      <c r="M39" s="221">
        <f t="shared" ca="1" si="16"/>
        <v>0</v>
      </c>
      <c r="N39" s="223">
        <f t="shared" ca="1" si="17"/>
        <v>0</v>
      </c>
      <c r="O39" s="221">
        <f t="shared" ca="1" si="18"/>
        <v>0</v>
      </c>
    </row>
    <row r="40" spans="1:20" ht="18.75" x14ac:dyDescent="0.3">
      <c r="A40" s="107" t="s">
        <v>63</v>
      </c>
      <c r="B40" s="130">
        <f>KLP!F7+KLP!F22+KLP!F66+KLP!F134</f>
        <v>125663.209</v>
      </c>
      <c r="C40" s="130">
        <f>KLP!G7+KLP!G22+KLP!G66+KLP!G134</f>
        <v>63880.035000000003</v>
      </c>
      <c r="D40" s="104">
        <f t="shared" si="11"/>
        <v>-49.2</v>
      </c>
      <c r="E40" s="409">
        <f t="shared" si="12"/>
        <v>0.18839273854524682</v>
      </c>
      <c r="F40" s="103"/>
      <c r="G40" s="176">
        <f>KLP!F10+KLP!F29+KLP!F87+KLP!F135</f>
        <v>2644541.49015</v>
      </c>
      <c r="H40" s="176">
        <f>KLP!G10+KLP!G29+KLP!G87+KLP!G135</f>
        <v>1974716.5681499999</v>
      </c>
      <c r="I40" s="104">
        <f t="shared" si="13"/>
        <v>-25.3</v>
      </c>
      <c r="J40" s="409">
        <f t="shared" si="14"/>
        <v>0.47183956668734672</v>
      </c>
      <c r="K40" s="87" t="s">
        <v>143</v>
      </c>
      <c r="L40" s="223">
        <f t="shared" ca="1" si="15"/>
        <v>0</v>
      </c>
      <c r="M40" s="221">
        <f t="shared" ca="1" si="16"/>
        <v>0</v>
      </c>
      <c r="N40" s="223">
        <f t="shared" ca="1" si="17"/>
        <v>0</v>
      </c>
      <c r="O40" s="221">
        <f t="shared" ca="1" si="18"/>
        <v>0</v>
      </c>
    </row>
    <row r="41" spans="1:20" ht="18.75" x14ac:dyDescent="0.3">
      <c r="A41" s="107" t="s">
        <v>93</v>
      </c>
      <c r="B41" s="130">
        <f>'Nordea Liv '!F7+'Nordea Liv '!F22+'Nordea Liv '!F66+'Nordea Liv '!F134</f>
        <v>8452097.9891100004</v>
      </c>
      <c r="C41" s="130">
        <f>'Nordea Liv '!G7+'Nordea Liv '!G22+'Nordea Liv '!G66+'Nordea Liv '!G134</f>
        <v>8686801.6131100003</v>
      </c>
      <c r="D41" s="104">
        <f t="shared" si="11"/>
        <v>2.8</v>
      </c>
      <c r="E41" s="409">
        <f t="shared" si="12"/>
        <v>25.618807896599627</v>
      </c>
      <c r="F41" s="103"/>
      <c r="G41" s="176">
        <f>'Nordea Liv '!F10+'Nordea Liv '!F29+'Nordea Liv '!F87+'Nordea Liv '!F135</f>
        <v>72267840</v>
      </c>
      <c r="H41" s="176">
        <f>'Nordea Liv '!G10+'Nordea Liv '!G29+'Nordea Liv '!G87+'Nordea Liv '!G135</f>
        <v>85871420</v>
      </c>
      <c r="I41" s="104">
        <f t="shared" si="13"/>
        <v>18.8</v>
      </c>
      <c r="J41" s="409">
        <f t="shared" si="14"/>
        <v>20.518151443670593</v>
      </c>
      <c r="K41" s="207"/>
      <c r="L41" s="223">
        <f t="shared" ca="1" si="15"/>
        <v>0</v>
      </c>
      <c r="M41" s="221">
        <f t="shared" ca="1" si="16"/>
        <v>0</v>
      </c>
      <c r="N41" s="223">
        <f t="shared" ca="1" si="17"/>
        <v>0</v>
      </c>
      <c r="O41" s="221">
        <f t="shared" ca="1" si="18"/>
        <v>0</v>
      </c>
    </row>
    <row r="42" spans="1:20" ht="18.75" x14ac:dyDescent="0.3">
      <c r="A42" s="107" t="s">
        <v>71</v>
      </c>
      <c r="B42" s="130">
        <f>'SHB Liv'!F7+'SHB Liv'!F22+'SHB Liv'!F66+'SHB Liv'!F134</f>
        <v>97840.428989999986</v>
      </c>
      <c r="C42" s="130">
        <f>'SHB Liv'!G7+'SHB Liv'!G22+'SHB Liv'!G66+'SHB Liv'!G134</f>
        <v>94921.636709999992</v>
      </c>
      <c r="D42" s="104">
        <f t="shared" si="11"/>
        <v>-3</v>
      </c>
      <c r="E42" s="409">
        <f t="shared" si="12"/>
        <v>0.279939531764407</v>
      </c>
      <c r="F42" s="103"/>
      <c r="G42" s="176">
        <f>'SHB Liv'!F10+'SHB Liv'!F29+'SHB Liv'!F87+'SHB Liv'!F135</f>
        <v>2377643.9235399999</v>
      </c>
      <c r="H42" s="176">
        <f>'SHB Liv'!G10+'SHB Liv'!G29+'SHB Liv'!G87+'SHB Liv'!G135</f>
        <v>2702258.38057</v>
      </c>
      <c r="I42" s="104">
        <f t="shared" si="13"/>
        <v>13.7</v>
      </c>
      <c r="J42" s="409">
        <f t="shared" si="14"/>
        <v>0.64567869836627023</v>
      </c>
      <c r="K42" s="207"/>
      <c r="L42" s="223">
        <f t="shared" ca="1" si="15"/>
        <v>0</v>
      </c>
      <c r="M42" s="221">
        <f t="shared" ca="1" si="16"/>
        <v>0</v>
      </c>
      <c r="N42" s="223">
        <f t="shared" ca="1" si="17"/>
        <v>0</v>
      </c>
      <c r="O42" s="221">
        <f t="shared" ca="1" si="18"/>
        <v>0</v>
      </c>
    </row>
    <row r="43" spans="1:20" ht="18.75" x14ac:dyDescent="0.3">
      <c r="A43" s="86" t="s">
        <v>67</v>
      </c>
      <c r="B43" s="130">
        <f>'Sparebank 1'!F7+'Sparebank 1'!F22+'Sparebank 1'!F66+'Sparebank 1'!F134</f>
        <v>3230081.0362499999</v>
      </c>
      <c r="C43" s="130">
        <f>'Sparebank 1'!G7+'Sparebank 1'!G22+'Sparebank 1'!G66+'Sparebank 1'!G134</f>
        <v>3483755.89176</v>
      </c>
      <c r="D43" s="104">
        <f t="shared" si="11"/>
        <v>7.9</v>
      </c>
      <c r="E43" s="409">
        <f t="shared" si="12"/>
        <v>10.274169587912795</v>
      </c>
      <c r="F43" s="103"/>
      <c r="G43" s="176">
        <f>'Sparebank 1'!F10+'Sparebank 1'!F29+'Sparebank 1'!F87+'Sparebank 1'!F135</f>
        <v>33369795.9474</v>
      </c>
      <c r="H43" s="176">
        <f>'Sparebank 1'!G10+'Sparebank 1'!G29+'Sparebank 1'!G87+'Sparebank 1'!G135</f>
        <v>38969813.00011</v>
      </c>
      <c r="I43" s="104">
        <f t="shared" si="13"/>
        <v>16.8</v>
      </c>
      <c r="J43" s="409">
        <f t="shared" si="14"/>
        <v>9.311462706308804</v>
      </c>
      <c r="K43" s="139"/>
      <c r="L43" s="223">
        <f t="shared" ca="1" si="15"/>
        <v>0</v>
      </c>
      <c r="M43" s="221">
        <f t="shared" ca="1" si="16"/>
        <v>0</v>
      </c>
      <c r="N43" s="223">
        <f t="shared" ca="1" si="17"/>
        <v>0</v>
      </c>
      <c r="O43" s="221">
        <f t="shared" ca="1" si="18"/>
        <v>0</v>
      </c>
    </row>
    <row r="44" spans="1:20" ht="18.75" x14ac:dyDescent="0.3">
      <c r="A44" s="86" t="s">
        <v>95</v>
      </c>
      <c r="B44" s="130">
        <f>'Storebrand Livsforsikring'!F7+'Storebrand Livsforsikring'!F22+'Storebrand Livsforsikring'!F66+'Storebrand Livsforsikring'!F134</f>
        <v>8147311.8700000001</v>
      </c>
      <c r="C44" s="130">
        <f>'Storebrand Livsforsikring'!G7+'Storebrand Livsforsikring'!G22+'Storebrand Livsforsikring'!G66+'Storebrand Livsforsikring'!G134</f>
        <v>9460443.0969999991</v>
      </c>
      <c r="D44" s="104">
        <f t="shared" si="11"/>
        <v>16.100000000000001</v>
      </c>
      <c r="E44" s="409">
        <f t="shared" si="12"/>
        <v>27.9004039821723</v>
      </c>
      <c r="F44" s="103"/>
      <c r="G44" s="176">
        <f>'Storebrand Livsforsikring'!F10+'Storebrand Livsforsikring'!F29+'Storebrand Livsforsikring'!F87+'Storebrand Livsforsikring'!F135</f>
        <v>107697369.89</v>
      </c>
      <c r="H44" s="176">
        <f>'Storebrand Livsforsikring'!G10+'Storebrand Livsforsikring'!G29+'Storebrand Livsforsikring'!G87+'Storebrand Livsforsikring'!G135</f>
        <v>124862260.38600001</v>
      </c>
      <c r="I44" s="104">
        <f t="shared" si="13"/>
        <v>15.9</v>
      </c>
      <c r="J44" s="409">
        <f t="shared" si="14"/>
        <v>29.834638441974985</v>
      </c>
      <c r="K44" s="139"/>
      <c r="L44" s="223">
        <f t="shared" ca="1" si="15"/>
        <v>0</v>
      </c>
      <c r="M44" s="221">
        <f t="shared" ca="1" si="16"/>
        <v>0</v>
      </c>
      <c r="N44" s="223">
        <f t="shared" ca="1" si="17"/>
        <v>0</v>
      </c>
      <c r="O44" s="221">
        <f t="shared" ca="1" si="18"/>
        <v>0</v>
      </c>
    </row>
    <row r="45" spans="1:20" s="111" customFormat="1" ht="18.75" x14ac:dyDescent="0.3">
      <c r="A45" s="101" t="s">
        <v>99</v>
      </c>
      <c r="B45" s="242">
        <f>SUM(B35:B44)</f>
        <v>31876928.36335</v>
      </c>
      <c r="C45" s="242">
        <f>SUM(C35:C44)</f>
        <v>33907907.222580001</v>
      </c>
      <c r="D45" s="104">
        <f t="shared" si="11"/>
        <v>6.4</v>
      </c>
      <c r="E45" s="410">
        <f>SUM(E35:E44)</f>
        <v>100</v>
      </c>
      <c r="F45" s="109"/>
      <c r="G45" s="178">
        <f>SUM(G35:G44)</f>
        <v>367685056.87708998</v>
      </c>
      <c r="H45" s="178">
        <f>SUM(H35:H44)</f>
        <v>418514407.77083004</v>
      </c>
      <c r="I45" s="104">
        <f t="shared" si="13"/>
        <v>13.8</v>
      </c>
      <c r="J45" s="410">
        <f>SUM(J35:J44)</f>
        <v>99.999999999999986</v>
      </c>
      <c r="K45" s="139"/>
      <c r="L45" s="223">
        <f ca="1">SUM(L35:L44)</f>
        <v>0</v>
      </c>
      <c r="M45" s="221">
        <f ca="1">SUM(M35:M44)</f>
        <v>0</v>
      </c>
      <c r="N45" s="223">
        <f ca="1">SUM(N35:N44)</f>
        <v>0</v>
      </c>
      <c r="O45" s="221">
        <f ca="1">SUM(O35:O44)</f>
        <v>0</v>
      </c>
    </row>
    <row r="46" spans="1:20" ht="18.75" x14ac:dyDescent="0.3">
      <c r="A46" s="101"/>
      <c r="B46" s="130"/>
      <c r="C46" s="109"/>
      <c r="D46" s="110"/>
      <c r="E46" s="409"/>
      <c r="F46" s="109"/>
      <c r="G46" s="178"/>
      <c r="H46" s="109"/>
      <c r="I46" s="110"/>
      <c r="J46" s="410"/>
      <c r="K46" s="139"/>
      <c r="L46" s="220" t="s">
        <v>100</v>
      </c>
      <c r="M46" s="226"/>
      <c r="N46" s="227"/>
      <c r="O46" s="226"/>
    </row>
    <row r="47" spans="1:20" ht="18.75" x14ac:dyDescent="0.3">
      <c r="A47" s="86"/>
      <c r="B47" s="130"/>
      <c r="C47" s="103"/>
      <c r="D47" s="104"/>
      <c r="E47" s="409"/>
      <c r="F47" s="103"/>
      <c r="G47" s="176"/>
      <c r="H47" s="103"/>
      <c r="I47" s="104"/>
      <c r="J47" s="409"/>
      <c r="K47" s="139"/>
      <c r="L47" s="224">
        <v>2015</v>
      </c>
      <c r="M47" s="225">
        <v>2016</v>
      </c>
      <c r="N47" s="224">
        <v>2015</v>
      </c>
      <c r="O47" s="225">
        <v>2016</v>
      </c>
    </row>
    <row r="48" spans="1:20" ht="18.75" x14ac:dyDescent="0.3">
      <c r="A48" s="101" t="s">
        <v>100</v>
      </c>
      <c r="B48" s="130"/>
      <c r="C48" s="103"/>
      <c r="D48" s="104"/>
      <c r="E48" s="409"/>
      <c r="F48" s="103"/>
      <c r="G48" s="176"/>
      <c r="H48" s="103"/>
      <c r="I48" s="104"/>
      <c r="J48" s="409"/>
      <c r="K48" s="139"/>
      <c r="L48" s="223"/>
      <c r="M48" s="221"/>
      <c r="N48" s="223"/>
      <c r="O48" s="221"/>
      <c r="P48" s="207"/>
      <c r="Q48" s="207"/>
      <c r="R48" s="207"/>
      <c r="S48" s="182"/>
      <c r="T48" s="139"/>
    </row>
    <row r="49" spans="1:20" ht="18.75" x14ac:dyDescent="0.3">
      <c r="A49" s="86"/>
      <c r="B49" s="130"/>
      <c r="C49" s="180"/>
      <c r="D49" s="104"/>
      <c r="E49" s="409"/>
      <c r="F49" s="103"/>
      <c r="G49" s="176"/>
      <c r="H49" s="176"/>
      <c r="I49" s="104"/>
      <c r="J49" s="409"/>
      <c r="K49" s="139"/>
      <c r="L49" s="223" t="e">
        <f ca="1">L9</f>
        <v>#REF!</v>
      </c>
      <c r="M49" s="228" t="e">
        <f ca="1">M9</f>
        <v>#REF!</v>
      </c>
      <c r="N49" s="223" t="e">
        <f ca="1">N9</f>
        <v>#REF!</v>
      </c>
      <c r="O49" s="228" t="e">
        <f ca="1">O9</f>
        <v>#REF!</v>
      </c>
      <c r="P49" s="207"/>
      <c r="Q49" s="207"/>
      <c r="R49" s="207"/>
      <c r="S49" s="182"/>
      <c r="T49" s="139"/>
    </row>
    <row r="50" spans="1:20" ht="18.75" x14ac:dyDescent="0.3">
      <c r="A50" s="107" t="s">
        <v>83</v>
      </c>
      <c r="B50" s="130">
        <f>B9+B35</f>
        <v>1780131.531</v>
      </c>
      <c r="C50" s="103">
        <f>C9+C35</f>
        <v>1883584.5410000002</v>
      </c>
      <c r="D50" s="104">
        <f t="shared" ref="D50:D62" si="19">IF(B50=0, "    ---- ", IF(ABS(ROUND(100/B50*C50-100,1))&lt;999,ROUND(100/B50*C50-100,1),IF(ROUND(100/B50*C50-100,1)&gt;999,999,-999)))</f>
        <v>5.8</v>
      </c>
      <c r="E50" s="409">
        <f t="shared" ref="E50:E73" si="20">100/C$74*C50</f>
        <v>2.4171708253613962</v>
      </c>
      <c r="F50" s="103"/>
      <c r="G50" s="176">
        <f>G9+G35</f>
        <v>20841640.25</v>
      </c>
      <c r="H50" s="176">
        <f>H9+H35</f>
        <v>23473201.465</v>
      </c>
      <c r="I50" s="104">
        <f t="shared" ref="I50:I62" si="21">IF(G50=0, "    ---- ", IF(ABS(ROUND(100/G50*H50-100,1))&lt;999,ROUND(100/G50*H50-100,1),IF(ROUND(100/G50*H50-100,1)&gt;999,999,-999)))</f>
        <v>12.6</v>
      </c>
      <c r="J50" s="409">
        <f t="shared" ref="J50:J62" si="22">100/H$74*H50</f>
        <v>1.5765214675982409</v>
      </c>
      <c r="K50" s="139"/>
      <c r="L50" s="223">
        <f ca="1">L11+L35</f>
        <v>0</v>
      </c>
      <c r="M50" s="221">
        <f ca="1">M11+M35</f>
        <v>0</v>
      </c>
      <c r="N50" s="223">
        <f ca="1">N11+N35</f>
        <v>0</v>
      </c>
      <c r="O50" s="221">
        <f ca="1">O11+O35</f>
        <v>0</v>
      </c>
      <c r="P50" s="207"/>
      <c r="Q50" s="207"/>
      <c r="R50" s="207"/>
      <c r="S50" s="182"/>
      <c r="T50" s="139"/>
    </row>
    <row r="51" spans="1:20" ht="18.75" x14ac:dyDescent="0.3">
      <c r="A51" s="86" t="s">
        <v>417</v>
      </c>
      <c r="B51" s="103">
        <f>B10+B36</f>
        <v>475417</v>
      </c>
      <c r="C51" s="103">
        <f>+C10+C36</f>
        <v>545541</v>
      </c>
      <c r="D51" s="104">
        <f>IF(B51=0, "    ---- ", IF(ABS(ROUND(100/B51*C51-100,1))&lt;999,ROUND(100/B51*C51-100,1),IF(ROUND(100/B51*C51-100,1)&gt;999,999,-999)))</f>
        <v>14.7</v>
      </c>
      <c r="E51" s="409">
        <f t="shared" si="20"/>
        <v>0.70008314494787593</v>
      </c>
      <c r="F51" s="103"/>
      <c r="G51" s="176">
        <f>G10+G36</f>
        <v>6247449</v>
      </c>
      <c r="H51" s="176">
        <f>H10+H36</f>
        <v>7362310</v>
      </c>
      <c r="I51" s="104">
        <f>IF(G51=0, "    ---- ", IF(ABS(ROUND(100/G51*H51-100,1))&lt;999,ROUND(100/G51*H51-100,1),IF(ROUND(100/G51*H51-100,1)&gt;999,999,-999)))</f>
        <v>17.8</v>
      </c>
      <c r="J51" s="409">
        <f t="shared" si="22"/>
        <v>0.49447195276791378</v>
      </c>
      <c r="K51" s="139"/>
      <c r="L51" s="223">
        <f ca="1">L22+L36</f>
        <v>0</v>
      </c>
      <c r="M51" s="221">
        <f ca="1">+M22+M36</f>
        <v>0</v>
      </c>
      <c r="N51" s="223">
        <f ca="1">N22+N36</f>
        <v>0</v>
      </c>
      <c r="O51" s="221">
        <f ca="1">O22+O36</f>
        <v>0</v>
      </c>
      <c r="P51" s="207"/>
      <c r="Q51" s="207"/>
      <c r="R51" s="207"/>
      <c r="S51" s="182"/>
      <c r="T51" s="139"/>
    </row>
    <row r="52" spans="1:20" ht="18.75" x14ac:dyDescent="0.3">
      <c r="A52" s="86" t="s">
        <v>84</v>
      </c>
      <c r="B52" s="130">
        <f>B11+B37</f>
        <v>10990174.962230001</v>
      </c>
      <c r="C52" s="103">
        <f>+C11+C37</f>
        <v>9946317.8480000012</v>
      </c>
      <c r="D52" s="104">
        <f t="shared" si="19"/>
        <v>-9.5</v>
      </c>
      <c r="E52" s="409">
        <f t="shared" si="20"/>
        <v>12.763934295825667</v>
      </c>
      <c r="F52" s="103"/>
      <c r="G52" s="176">
        <f>+G11+G37</f>
        <v>291846669.89019001</v>
      </c>
      <c r="H52" s="176">
        <f>+H11+H37</f>
        <v>295129549.579</v>
      </c>
      <c r="I52" s="104">
        <f t="shared" si="21"/>
        <v>1.1000000000000001</v>
      </c>
      <c r="J52" s="409">
        <f t="shared" si="22"/>
        <v>19.821670739189596</v>
      </c>
      <c r="K52" s="139"/>
      <c r="L52" s="223">
        <f ca="1">L12+L37</f>
        <v>0</v>
      </c>
      <c r="M52" s="221">
        <f ca="1">+M12+M37</f>
        <v>0</v>
      </c>
      <c r="N52" s="223">
        <f ca="1">+N12+N37</f>
        <v>0</v>
      </c>
      <c r="O52" s="221">
        <f ca="1">+O12+O37</f>
        <v>0</v>
      </c>
      <c r="P52" s="207"/>
      <c r="Q52" s="207"/>
      <c r="R52" s="207"/>
      <c r="S52" s="182"/>
      <c r="T52" s="139"/>
    </row>
    <row r="53" spans="1:20" ht="18.75" x14ac:dyDescent="0.3">
      <c r="A53" s="86" t="s">
        <v>85</v>
      </c>
      <c r="B53" s="130">
        <f>B12</f>
        <v>252371</v>
      </c>
      <c r="C53" s="103">
        <f>C12</f>
        <v>269700</v>
      </c>
      <c r="D53" s="104">
        <f t="shared" si="19"/>
        <v>6.9</v>
      </c>
      <c r="E53" s="409">
        <f t="shared" si="20"/>
        <v>0.34610125397072289</v>
      </c>
      <c r="F53" s="103"/>
      <c r="G53" s="176">
        <f>G12</f>
        <v>0</v>
      </c>
      <c r="H53" s="176">
        <f>H12</f>
        <v>0</v>
      </c>
      <c r="I53" s="104" t="str">
        <f t="shared" si="21"/>
        <v xml:space="preserve">    ---- </v>
      </c>
      <c r="J53" s="409">
        <f t="shared" si="22"/>
        <v>0</v>
      </c>
      <c r="K53" s="139"/>
      <c r="L53" s="223">
        <f ca="1">L13</f>
        <v>0</v>
      </c>
      <c r="M53" s="221">
        <f ca="1">M13</f>
        <v>0</v>
      </c>
      <c r="N53" s="223">
        <f ca="1">N13</f>
        <v>0</v>
      </c>
      <c r="O53" s="221">
        <f ca="1">+O13+O38</f>
        <v>0</v>
      </c>
      <c r="P53" s="207"/>
      <c r="Q53" s="207"/>
      <c r="R53" s="207"/>
      <c r="S53" s="182"/>
      <c r="T53" s="139"/>
    </row>
    <row r="54" spans="1:20" ht="18.75" x14ac:dyDescent="0.3">
      <c r="A54" s="107" t="s">
        <v>402</v>
      </c>
      <c r="B54" s="130">
        <f>B13</f>
        <v>0</v>
      </c>
      <c r="C54" s="130">
        <f>C13</f>
        <v>2205150</v>
      </c>
      <c r="D54" s="104" t="str">
        <f t="shared" ref="D54" si="23">IF(B54=0, "    ---- ", IF(ABS(ROUND(100/B54*C54-100,1))&lt;999,ROUND(100/B54*C54-100,1),IF(ROUND(100/B54*C54-100,1)&gt;999,999,-999)))</f>
        <v xml:space="preserve">    ---- </v>
      </c>
      <c r="E54" s="409">
        <f t="shared" si="20"/>
        <v>2.8298301082444923</v>
      </c>
      <c r="F54" s="103"/>
      <c r="G54" s="176">
        <f>G13</f>
        <v>0</v>
      </c>
      <c r="H54" s="176">
        <f>H13</f>
        <v>3675280</v>
      </c>
      <c r="I54" s="104" t="str">
        <f t="shared" ref="I54" si="24">IF(G54=0, "    ---- ", IF(ABS(ROUND(100/G54*H54-100,1))&lt;999,ROUND(100/G54*H54-100,1),IF(ROUND(100/G54*H54-100,1)&gt;999,999,-999)))</f>
        <v xml:space="preserve">    ---- </v>
      </c>
      <c r="J54" s="409">
        <f t="shared" si="22"/>
        <v>0.2468413960521709</v>
      </c>
      <c r="K54" s="139"/>
      <c r="L54" s="223"/>
      <c r="M54" s="221"/>
      <c r="N54" s="223"/>
      <c r="O54" s="221"/>
      <c r="P54" s="207"/>
      <c r="Q54" s="207"/>
      <c r="R54" s="207"/>
      <c r="S54" s="182"/>
      <c r="T54" s="139"/>
    </row>
    <row r="55" spans="1:20" ht="18.75" x14ac:dyDescent="0.3">
      <c r="A55" s="107" t="s">
        <v>86</v>
      </c>
      <c r="B55" s="130">
        <f>B14+B38</f>
        <v>793324</v>
      </c>
      <c r="C55" s="105">
        <f>C14+C38</f>
        <v>826897</v>
      </c>
      <c r="D55" s="106">
        <f t="shared" si="19"/>
        <v>4.2</v>
      </c>
      <c r="E55" s="411">
        <f t="shared" si="20"/>
        <v>1.0611423381706668</v>
      </c>
      <c r="F55" s="105"/>
      <c r="G55" s="176">
        <f>G14+G38</f>
        <v>4917007.3</v>
      </c>
      <c r="H55" s="176">
        <f>H14+H38</f>
        <v>5544799</v>
      </c>
      <c r="I55" s="104">
        <f t="shared" si="21"/>
        <v>12.8</v>
      </c>
      <c r="J55" s="409">
        <f t="shared" si="22"/>
        <v>0.37240317091178932</v>
      </c>
      <c r="K55" s="139"/>
      <c r="L55" s="223">
        <f ca="1">L15+L38</f>
        <v>0</v>
      </c>
      <c r="M55" s="221">
        <f ca="1">M15+M38</f>
        <v>0</v>
      </c>
      <c r="N55" s="223">
        <f ca="1">N15+N38</f>
        <v>0</v>
      </c>
      <c r="O55" s="221">
        <f ca="1">O15+O38</f>
        <v>0</v>
      </c>
      <c r="P55" s="210"/>
      <c r="Q55" s="210"/>
      <c r="R55" s="210"/>
      <c r="S55" s="182"/>
      <c r="T55" s="139"/>
    </row>
    <row r="56" spans="1:20" ht="18.75" x14ac:dyDescent="0.3">
      <c r="A56" s="107" t="s">
        <v>87</v>
      </c>
      <c r="B56" s="130">
        <f>B15</f>
        <v>6362.2570000000096</v>
      </c>
      <c r="C56" s="105">
        <f>C15</f>
        <v>3713.2633999999998</v>
      </c>
      <c r="D56" s="106">
        <f t="shared" si="19"/>
        <v>-41.6</v>
      </c>
      <c r="E56" s="411">
        <f t="shared" si="20"/>
        <v>4.7651654396128652E-3</v>
      </c>
      <c r="F56" s="105"/>
      <c r="G56" s="176">
        <f>G15</f>
        <v>0</v>
      </c>
      <c r="H56" s="176">
        <f>H15</f>
        <v>0</v>
      </c>
      <c r="I56" s="104" t="str">
        <f t="shared" si="21"/>
        <v xml:space="preserve">    ---- </v>
      </c>
      <c r="J56" s="409">
        <f t="shared" si="22"/>
        <v>0</v>
      </c>
      <c r="K56" s="139"/>
      <c r="L56" s="223">
        <f ca="1">L16</f>
        <v>0</v>
      </c>
      <c r="M56" s="221">
        <f ca="1">M16</f>
        <v>0</v>
      </c>
      <c r="N56" s="223">
        <f ca="1">N16</f>
        <v>0</v>
      </c>
      <c r="O56" s="221">
        <f ca="1">O16</f>
        <v>0</v>
      </c>
      <c r="P56" s="210"/>
      <c r="Q56" s="210"/>
      <c r="R56" s="210"/>
      <c r="S56" s="182"/>
      <c r="T56" s="139"/>
    </row>
    <row r="57" spans="1:20" ht="18.75" x14ac:dyDescent="0.3">
      <c r="A57" s="86" t="s">
        <v>88</v>
      </c>
      <c r="B57" s="103">
        <f>B16</f>
        <v>1365659</v>
      </c>
      <c r="C57" s="103">
        <f>+C16</f>
        <v>1445145</v>
      </c>
      <c r="D57" s="104">
        <f t="shared" si="19"/>
        <v>5.8</v>
      </c>
      <c r="E57" s="409">
        <f t="shared" si="20"/>
        <v>1.8545290940657038</v>
      </c>
      <c r="F57" s="103"/>
      <c r="G57" s="176">
        <f>+G16</f>
        <v>0</v>
      </c>
      <c r="H57" s="176">
        <f>+H16</f>
        <v>0</v>
      </c>
      <c r="I57" s="104" t="str">
        <f t="shared" si="21"/>
        <v xml:space="preserve">    ---- </v>
      </c>
      <c r="J57" s="409">
        <f t="shared" si="22"/>
        <v>0</v>
      </c>
      <c r="K57" s="139"/>
      <c r="L57" s="223">
        <f ca="1">L17</f>
        <v>0</v>
      </c>
      <c r="M57" s="221">
        <f ca="1">+M17</f>
        <v>0</v>
      </c>
      <c r="N57" s="223">
        <f ca="1">+N17</f>
        <v>0</v>
      </c>
      <c r="O57" s="221">
        <f ca="1">+O17</f>
        <v>0</v>
      </c>
      <c r="P57" s="207"/>
      <c r="Q57" s="207"/>
      <c r="R57" s="207"/>
      <c r="S57" s="182"/>
      <c r="T57" s="139"/>
    </row>
    <row r="58" spans="1:20" ht="18.75" x14ac:dyDescent="0.3">
      <c r="A58" s="86" t="s">
        <v>89</v>
      </c>
      <c r="B58" s="103">
        <f>B17+B39</f>
        <v>2879427</v>
      </c>
      <c r="C58" s="103">
        <f>C17+C39</f>
        <v>2870851</v>
      </c>
      <c r="D58" s="104">
        <f t="shared" si="19"/>
        <v>-0.3</v>
      </c>
      <c r="E58" s="409">
        <f t="shared" si="20"/>
        <v>3.6841124622287866</v>
      </c>
      <c r="F58" s="103"/>
      <c r="G58" s="176">
        <f>G17+G39</f>
        <v>35372081</v>
      </c>
      <c r="H58" s="176">
        <f>H17+H39</f>
        <v>39016585</v>
      </c>
      <c r="I58" s="104">
        <f t="shared" si="21"/>
        <v>10.3</v>
      </c>
      <c r="J58" s="409">
        <f t="shared" si="22"/>
        <v>2.6204556688437859</v>
      </c>
      <c r="K58" s="139"/>
      <c r="L58" s="223">
        <f ca="1">L18+L39</f>
        <v>0</v>
      </c>
      <c r="M58" s="221">
        <f ca="1">M18+M39</f>
        <v>0</v>
      </c>
      <c r="N58" s="223">
        <f ca="1">N18+N39</f>
        <v>0</v>
      </c>
      <c r="O58" s="221">
        <f ca="1">O18+O39</f>
        <v>0</v>
      </c>
      <c r="P58" s="207"/>
      <c r="Q58" s="207"/>
      <c r="R58" s="207"/>
      <c r="S58" s="182"/>
      <c r="T58" s="139"/>
    </row>
    <row r="59" spans="1:20" ht="18.75" x14ac:dyDescent="0.3">
      <c r="A59" s="86" t="s">
        <v>90</v>
      </c>
      <c r="B59" s="103">
        <f>B18</f>
        <v>26625.80341</v>
      </c>
      <c r="C59" s="103">
        <f>+C18</f>
        <v>26171.04192</v>
      </c>
      <c r="D59" s="104">
        <f t="shared" si="19"/>
        <v>-1.7</v>
      </c>
      <c r="E59" s="409">
        <f t="shared" si="20"/>
        <v>3.3584836582248256E-2</v>
      </c>
      <c r="F59" s="103"/>
      <c r="G59" s="176">
        <f>+G18</f>
        <v>28422.660874665598</v>
      </c>
      <c r="H59" s="176">
        <f>+H18</f>
        <v>21581.57877081968</v>
      </c>
      <c r="I59" s="104">
        <f t="shared" si="21"/>
        <v>-24.1</v>
      </c>
      <c r="J59" s="409">
        <f t="shared" si="22"/>
        <v>1.4494751509542196E-3</v>
      </c>
      <c r="K59" s="139"/>
      <c r="L59" s="223">
        <f ca="1">L19</f>
        <v>0</v>
      </c>
      <c r="M59" s="221">
        <f t="shared" ref="M59:O60" ca="1" si="25">+M19</f>
        <v>0</v>
      </c>
      <c r="N59" s="223">
        <f t="shared" ca="1" si="25"/>
        <v>0</v>
      </c>
      <c r="O59" s="221">
        <f t="shared" ca="1" si="25"/>
        <v>0</v>
      </c>
      <c r="P59" s="207"/>
      <c r="Q59" s="207"/>
      <c r="R59" s="207"/>
      <c r="S59" s="182"/>
      <c r="T59" s="139"/>
    </row>
    <row r="60" spans="1:20" ht="18.75" x14ac:dyDescent="0.3">
      <c r="A60" s="86" t="s">
        <v>91</v>
      </c>
      <c r="B60" s="103">
        <f>B19</f>
        <v>368992.59400000004</v>
      </c>
      <c r="C60" s="103">
        <f>+C19</f>
        <v>396241.54700000002</v>
      </c>
      <c r="D60" s="104">
        <f t="shared" si="19"/>
        <v>7.4</v>
      </c>
      <c r="E60" s="409">
        <f t="shared" si="20"/>
        <v>0.5084897897367413</v>
      </c>
      <c r="F60" s="103"/>
      <c r="G60" s="176">
        <f>+G19</f>
        <v>0</v>
      </c>
      <c r="H60" s="176">
        <f>+H19</f>
        <v>0</v>
      </c>
      <c r="I60" s="104" t="str">
        <f t="shared" si="21"/>
        <v xml:space="preserve">    ---- </v>
      </c>
      <c r="J60" s="409">
        <f t="shared" si="22"/>
        <v>0</v>
      </c>
      <c r="K60" s="139"/>
      <c r="L60" s="223">
        <f ca="1">L20</f>
        <v>0</v>
      </c>
      <c r="M60" s="221">
        <f t="shared" ca="1" si="25"/>
        <v>0</v>
      </c>
      <c r="N60" s="223">
        <f t="shared" ca="1" si="25"/>
        <v>0</v>
      </c>
      <c r="O60" s="221">
        <f t="shared" ca="1" si="25"/>
        <v>0</v>
      </c>
      <c r="P60" s="207"/>
      <c r="Q60" s="207"/>
      <c r="R60" s="207"/>
      <c r="S60" s="182"/>
      <c r="T60" s="139"/>
    </row>
    <row r="61" spans="1:20" ht="18.75" x14ac:dyDescent="0.3">
      <c r="A61" s="86" t="s">
        <v>407</v>
      </c>
      <c r="B61" s="103">
        <f>B20</f>
        <v>12781.715</v>
      </c>
      <c r="C61" s="103">
        <f>C20</f>
        <v>11145.35382794882</v>
      </c>
      <c r="D61" s="104">
        <f>IF(B61=0, "    ---- ", IF(ABS(ROUND(100/B61*C61-100,1))&lt;999,ROUND(100/B61*C61-100,1),IF(ROUND(100/B61*C61-100,1)&gt;999,999,-999)))</f>
        <v>-12.8</v>
      </c>
      <c r="E61" s="409">
        <f t="shared" si="20"/>
        <v>1.4302636024473426E-2</v>
      </c>
      <c r="F61" s="103"/>
      <c r="G61" s="176">
        <f>G20</f>
        <v>3921.4128289581399</v>
      </c>
      <c r="H61" s="176">
        <f>H20</f>
        <v>0</v>
      </c>
      <c r="I61" s="104">
        <f>IF(G61=0, "    ---- ", IF(ABS(ROUND(100/G61*H61-100,1))&lt;999,ROUND(100/G61*H61-100,1),IF(ROUND(100/G61*H61-100,1)&gt;999,999,-999)))</f>
        <v>-100</v>
      </c>
      <c r="J61" s="409">
        <f t="shared" si="22"/>
        <v>0</v>
      </c>
      <c r="K61" s="139"/>
      <c r="L61" s="223">
        <f ca="1">L21</f>
        <v>0</v>
      </c>
      <c r="M61" s="221">
        <f ca="1">M21</f>
        <v>0</v>
      </c>
      <c r="N61" s="223">
        <f ca="1">N21</f>
        <v>0</v>
      </c>
      <c r="O61" s="221">
        <f ca="1">O21</f>
        <v>0</v>
      </c>
      <c r="P61" s="207"/>
      <c r="Q61" s="207"/>
      <c r="R61" s="207"/>
      <c r="S61" s="182"/>
      <c r="T61" s="139"/>
    </row>
    <row r="62" spans="1:20" ht="18.75" x14ac:dyDescent="0.3">
      <c r="A62" s="86" t="s">
        <v>63</v>
      </c>
      <c r="B62" s="105">
        <f>B21+B40</f>
        <v>32158208.351410002</v>
      </c>
      <c r="C62" s="105">
        <f>C21+C40</f>
        <v>26234381.377770003</v>
      </c>
      <c r="D62" s="106">
        <f t="shared" si="19"/>
        <v>-18.399999999999999</v>
      </c>
      <c r="E62" s="411">
        <f t="shared" si="20"/>
        <v>33.666118991443746</v>
      </c>
      <c r="F62" s="105"/>
      <c r="G62" s="176">
        <f>G21+G40</f>
        <v>499856662.44923997</v>
      </c>
      <c r="H62" s="176">
        <f>H21+H40</f>
        <v>528437738.29010999</v>
      </c>
      <c r="I62" s="104">
        <f t="shared" si="21"/>
        <v>5.7</v>
      </c>
      <c r="J62" s="409">
        <f t="shared" si="22"/>
        <v>35.491257549406434</v>
      </c>
      <c r="K62" s="139"/>
      <c r="L62" s="223">
        <f ca="1">L10+L40</f>
        <v>0</v>
      </c>
      <c r="M62" s="221">
        <f ca="1">M10+M40</f>
        <v>0</v>
      </c>
      <c r="N62" s="223">
        <f ca="1">N10+N40</f>
        <v>0</v>
      </c>
      <c r="O62" s="221">
        <f ca="1">O10+O40</f>
        <v>0</v>
      </c>
      <c r="P62" s="210"/>
      <c r="Q62" s="210"/>
      <c r="R62" s="210"/>
      <c r="S62" s="182"/>
      <c r="T62" s="139"/>
    </row>
    <row r="63" spans="1:20" ht="18.75" x14ac:dyDescent="0.3">
      <c r="A63" s="86" t="s">
        <v>92</v>
      </c>
      <c r="B63" s="103">
        <f>B22</f>
        <v>163742.53900000002</v>
      </c>
      <c r="C63" s="103">
        <f>C22</f>
        <v>185388.55200000003</v>
      </c>
      <c r="D63" s="104">
        <f>IF(B63=0, "    ---- ", IF(ABS(ROUND(100/B63*C63-100,1))&lt;999,ROUND(100/B63*C63-100,1),IF(ROUND(100/B63*C63-100,1)&gt;999,999,-999)))</f>
        <v>13.2</v>
      </c>
      <c r="E63" s="409">
        <f t="shared" si="20"/>
        <v>0.23790585954399915</v>
      </c>
      <c r="F63" s="103"/>
      <c r="G63" s="176">
        <f>G22</f>
        <v>34480.175000000003</v>
      </c>
      <c r="H63" s="176">
        <f>H22</f>
        <v>51937.368000000002</v>
      </c>
    </row>
    <row r="64" spans="1:20" ht="18.75" x14ac:dyDescent="0.3">
      <c r="A64" s="108" t="s">
        <v>414</v>
      </c>
      <c r="B64" s="103">
        <f>B23</f>
        <v>28648</v>
      </c>
      <c r="C64" s="103">
        <f>C23</f>
        <v>38656</v>
      </c>
      <c r="D64" s="104">
        <f>IF(B64=0, "    ---- ", IF(ABS(ROUND(100/B64*C64-100,1))&lt;999,ROUND(100/B64*C64-100,1),IF(ROUND(100/B64*C64-100,1)&gt;999,999,-999)))</f>
        <v>34.9</v>
      </c>
      <c r="E64" s="409">
        <f t="shared" si="20"/>
        <v>4.9606563120104794E-2</v>
      </c>
      <c r="F64" s="103"/>
      <c r="G64" s="176">
        <f>G23</f>
        <v>0</v>
      </c>
      <c r="H64" s="176">
        <f>H23</f>
        <v>0</v>
      </c>
      <c r="I64" s="104">
        <f t="shared" ref="I64:I73" si="26">IF(G63=0, "    ---- ", IF(ABS(ROUND(100/G63*H64-100,1))&lt;999,ROUND(100/G63*H64-100,1),IF(ROUND(100/G63*H64-100,1)&gt;999,999,-999)))</f>
        <v>-100</v>
      </c>
      <c r="J64" s="409">
        <f t="shared" ref="J64:J73" si="27">100/H$74*H64</f>
        <v>0</v>
      </c>
      <c r="K64" s="139"/>
      <c r="L64" s="223">
        <f t="shared" ref="L64:O65" ca="1" si="28">L23</f>
        <v>0</v>
      </c>
      <c r="M64" s="221">
        <f t="shared" ca="1" si="28"/>
        <v>0</v>
      </c>
      <c r="N64" s="223">
        <f t="shared" ca="1" si="28"/>
        <v>0</v>
      </c>
      <c r="O64" s="221">
        <f t="shared" ca="1" si="28"/>
        <v>0</v>
      </c>
      <c r="P64" s="207"/>
      <c r="Q64" s="207"/>
      <c r="R64" s="207"/>
      <c r="S64" s="182"/>
      <c r="T64" s="139"/>
    </row>
    <row r="65" spans="1:240" ht="18.75" x14ac:dyDescent="0.3">
      <c r="A65" s="107" t="s">
        <v>65</v>
      </c>
      <c r="B65" s="103">
        <f>B24+B41</f>
        <v>9686865.8555746302</v>
      </c>
      <c r="C65" s="103">
        <f>+C24+C41</f>
        <v>9877198.508920826</v>
      </c>
      <c r="D65" s="104">
        <f>IF(B65=0, "    ---- ", IF(ABS(ROUND(100/B65*C65-100,1))&lt;999,ROUND(100/B65*C65-100,1),IF(ROUND(100/B65*C65-100,1)&gt;999,999,-999)))</f>
        <v>2</v>
      </c>
      <c r="E65" s="409">
        <f t="shared" si="20"/>
        <v>12.675234666871532</v>
      </c>
      <c r="F65" s="103"/>
      <c r="G65" s="176">
        <f>+G24+G41</f>
        <v>123583370.00014526</v>
      </c>
      <c r="H65" s="176">
        <f>+H24+H41</f>
        <v>138257320.00005281</v>
      </c>
      <c r="I65" s="104" t="str">
        <f t="shared" si="26"/>
        <v xml:space="preserve">    ---- </v>
      </c>
      <c r="J65" s="409">
        <f t="shared" si="27"/>
        <v>9.2857224165899641</v>
      </c>
      <c r="K65" s="139"/>
      <c r="L65" s="223">
        <f t="shared" ca="1" si="28"/>
        <v>0</v>
      </c>
      <c r="M65" s="221">
        <f t="shared" ca="1" si="28"/>
        <v>0</v>
      </c>
      <c r="N65" s="223">
        <f t="shared" ca="1" si="28"/>
        <v>0</v>
      </c>
      <c r="O65" s="221">
        <f t="shared" ca="1" si="28"/>
        <v>0</v>
      </c>
      <c r="P65" s="207"/>
      <c r="Q65" s="207"/>
      <c r="R65" s="207"/>
      <c r="S65" s="182"/>
      <c r="T65" s="139"/>
    </row>
    <row r="66" spans="1:240" ht="18.75" x14ac:dyDescent="0.3">
      <c r="A66" s="107" t="s">
        <v>94</v>
      </c>
      <c r="B66" s="103">
        <f>B25</f>
        <v>4463574</v>
      </c>
      <c r="C66" s="103">
        <f>C25</f>
        <v>2473460</v>
      </c>
      <c r="D66" s="104">
        <f>IF(B66=0, "    ---- ", IF(ABS(ROUND(100/B66*C66-100,1))&lt;999,ROUND(100/B66*C66-100,1),IF(ROUND(100/B66*C66-100,1)&gt;999,999,-999)))</f>
        <v>-44.6</v>
      </c>
      <c r="E66" s="409">
        <f t="shared" si="20"/>
        <v>3.1741475997271937</v>
      </c>
      <c r="F66" s="103"/>
      <c r="G66" s="176">
        <f>G25</f>
        <v>76175866</v>
      </c>
      <c r="H66" s="176">
        <f>H25</f>
        <v>80017880</v>
      </c>
      <c r="I66" s="104">
        <f t="shared" si="26"/>
        <v>-35.299999999999997</v>
      </c>
      <c r="J66" s="409">
        <f t="shared" si="27"/>
        <v>5.3742096407171926</v>
      </c>
      <c r="K66" s="139"/>
      <c r="L66" s="223">
        <f ca="1">L25+L41</f>
        <v>0</v>
      </c>
      <c r="M66" s="221">
        <f ca="1">+M25+M41</f>
        <v>0</v>
      </c>
      <c r="N66" s="223">
        <f ca="1">+N25+N41</f>
        <v>0</v>
      </c>
      <c r="O66" s="221">
        <f ca="1">+O25+O41</f>
        <v>0</v>
      </c>
      <c r="P66" s="207"/>
      <c r="Q66" s="207"/>
      <c r="R66" s="207"/>
      <c r="S66" s="182"/>
      <c r="T66" s="139"/>
    </row>
    <row r="67" spans="1:240" ht="18.75" customHeight="1" x14ac:dyDescent="0.3">
      <c r="A67" s="107" t="s">
        <v>364</v>
      </c>
      <c r="B67" s="103">
        <f>B26</f>
        <v>298592.88391241134</v>
      </c>
      <c r="C67" s="103">
        <f>C26</f>
        <v>287049.49045636802</v>
      </c>
      <c r="D67" s="104">
        <f t="shared" ref="D67" si="29">IF(B67=0, "    ---- ", IF(ABS(ROUND(100/B67*C67-100,1))&lt;999,ROUND(100/B67*C67-100,1),IF(ROUND(100/B67*C67-100,1)&gt;999,999,-999)))</f>
        <v>-3.9</v>
      </c>
      <c r="E67" s="409">
        <f t="shared" si="20"/>
        <v>0.36836554912349284</v>
      </c>
      <c r="F67" s="103"/>
      <c r="G67" s="176">
        <f>G26</f>
        <v>0</v>
      </c>
      <c r="H67" s="176">
        <f>H26</f>
        <v>0</v>
      </c>
      <c r="I67" s="104">
        <f t="shared" si="26"/>
        <v>-100</v>
      </c>
      <c r="J67" s="409">
        <f t="shared" si="27"/>
        <v>0</v>
      </c>
      <c r="K67" s="139"/>
      <c r="L67" s="223">
        <f ca="1">L26</f>
        <v>0</v>
      </c>
      <c r="M67" s="221">
        <f ca="1">M26</f>
        <v>0</v>
      </c>
      <c r="N67" s="223">
        <f ca="1">N26</f>
        <v>0</v>
      </c>
      <c r="O67" s="221">
        <f ca="1">O26</f>
        <v>0</v>
      </c>
      <c r="P67" s="207"/>
      <c r="Q67" s="207"/>
      <c r="R67" s="207"/>
      <c r="S67" s="182"/>
      <c r="T67" s="139"/>
    </row>
    <row r="68" spans="1:240" ht="18.75" customHeight="1" x14ac:dyDescent="0.3">
      <c r="A68" s="107" t="s">
        <v>71</v>
      </c>
      <c r="B68" s="103">
        <f>B42</f>
        <v>97840.428989999986</v>
      </c>
      <c r="C68" s="103">
        <f>C42</f>
        <v>94921.636709999992</v>
      </c>
      <c r="D68" s="104">
        <f>IF(B68=0, "    ---- ", IF(ABS(ROUND(100/B68*C68-100,1))&lt;999,ROUND(100/B68*C68-100,1),IF(ROUND(100/B68*C68-100,1)&gt;999,999,-999)))</f>
        <v>-3</v>
      </c>
      <c r="E68" s="409">
        <f t="shared" si="20"/>
        <v>0.1218112624927119</v>
      </c>
      <c r="F68" s="103"/>
      <c r="G68" s="176">
        <f>G42</f>
        <v>2377643.9235399999</v>
      </c>
      <c r="H68" s="176">
        <f>H42</f>
        <v>2702258.38057</v>
      </c>
      <c r="I68" s="104" t="str">
        <f t="shared" si="26"/>
        <v xml:space="preserve">    ---- </v>
      </c>
      <c r="J68" s="409">
        <f t="shared" si="27"/>
        <v>0.18149072483010201</v>
      </c>
      <c r="K68" s="139"/>
      <c r="L68" s="223"/>
      <c r="M68" s="221"/>
      <c r="N68" s="223"/>
      <c r="O68" s="221"/>
      <c r="P68" s="207"/>
      <c r="Q68" s="207"/>
      <c r="R68" s="207"/>
      <c r="S68" s="182"/>
      <c r="T68" s="139"/>
    </row>
    <row r="69" spans="1:240" ht="18.75" customHeight="1" x14ac:dyDescent="0.3">
      <c r="A69" s="86" t="s">
        <v>67</v>
      </c>
      <c r="B69" s="103">
        <f>B27+B43</f>
        <v>5515299.0725699998</v>
      </c>
      <c r="C69" s="103">
        <f>+C27+C43</f>
        <v>4050728.0432700003</v>
      </c>
      <c r="D69" s="104">
        <f>IF(B69=0, "    ---- ", IF(ABS(ROUND(100/B69*C69-100,1))&lt;999,ROUND(100/B69*C69-100,1),IF(ROUND(100/B69*C69-100,1)&gt;999,999,-999)))</f>
        <v>-26.6</v>
      </c>
      <c r="E69" s="409">
        <f t="shared" si="20"/>
        <v>5.1982278652952161</v>
      </c>
      <c r="F69" s="103"/>
      <c r="G69" s="176">
        <f>+G27+G43</f>
        <v>54220406.548429996</v>
      </c>
      <c r="H69" s="176">
        <f>+H27+H43</f>
        <v>58320362.067090005</v>
      </c>
      <c r="I69" s="104">
        <f t="shared" si="26"/>
        <v>999</v>
      </c>
      <c r="J69" s="409">
        <f t="shared" si="27"/>
        <v>3.9169477130745323</v>
      </c>
      <c r="K69" s="139"/>
      <c r="L69" s="223">
        <f ca="1">L42</f>
        <v>0</v>
      </c>
      <c r="M69" s="221">
        <f ca="1">M42</f>
        <v>0</v>
      </c>
      <c r="N69" s="223">
        <f ca="1">N42</f>
        <v>0</v>
      </c>
      <c r="O69" s="221">
        <f ca="1">O42</f>
        <v>0</v>
      </c>
      <c r="P69" s="207"/>
      <c r="Q69" s="207"/>
      <c r="R69" s="207"/>
      <c r="S69" s="182"/>
      <c r="T69" s="139"/>
    </row>
    <row r="70" spans="1:240" ht="18.75" customHeight="1" x14ac:dyDescent="0.3">
      <c r="A70" s="107" t="s">
        <v>95</v>
      </c>
      <c r="B70" s="103">
        <f>B44+B28</f>
        <v>12565240.699999999</v>
      </c>
      <c r="C70" s="103">
        <f>+C28+C44</f>
        <v>13678880.592999998</v>
      </c>
      <c r="D70" s="104">
        <f>IF(B70=0, "    ---- ", IF(ABS(ROUND(100/B70*C70-100,1))&lt;999,ROUND(100/B70*C70-100,1),IF(ROUND(100/B70*C70-100,1)&gt;999,999,-999)))</f>
        <v>8.9</v>
      </c>
      <c r="E70" s="409">
        <f t="shared" si="20"/>
        <v>17.553866244542398</v>
      </c>
      <c r="F70" s="103"/>
      <c r="G70" s="176">
        <f>+G28+G44</f>
        <v>288729820.15100002</v>
      </c>
      <c r="H70" s="176">
        <f>+H28+H44</f>
        <v>306912878.13699996</v>
      </c>
      <c r="I70" s="104">
        <f t="shared" si="26"/>
        <v>466</v>
      </c>
      <c r="J70" s="409">
        <f t="shared" si="27"/>
        <v>20.613069835693299</v>
      </c>
      <c r="K70" s="139"/>
      <c r="L70" s="223">
        <f ca="1">L28+L43</f>
        <v>0</v>
      </c>
      <c r="M70" s="221">
        <f t="shared" ref="M70:O71" ca="1" si="30">+M28+M43</f>
        <v>0</v>
      </c>
      <c r="N70" s="223">
        <f t="shared" ca="1" si="30"/>
        <v>0</v>
      </c>
      <c r="O70" s="221">
        <f t="shared" ca="1" si="30"/>
        <v>0</v>
      </c>
      <c r="P70" s="207"/>
      <c r="Q70" s="207"/>
      <c r="R70" s="207"/>
      <c r="S70" s="182"/>
      <c r="T70" s="139"/>
    </row>
    <row r="71" spans="1:240" ht="18.75" customHeight="1" x14ac:dyDescent="0.3">
      <c r="A71" s="107" t="s">
        <v>96</v>
      </c>
      <c r="B71" s="103">
        <f>B29</f>
        <v>0</v>
      </c>
      <c r="C71" s="103">
        <f>+C29</f>
        <v>0</v>
      </c>
      <c r="D71" s="104" t="str">
        <f>IF(B71=0, "    ---- ", IF(ABS(ROUND(100/B71*C71-100,1))&lt;999,ROUND(100/B71*C71-100,1),IF(ROUND(100/B71*C71-100,1)&gt;999,999,-999)))</f>
        <v xml:space="preserve">    ---- </v>
      </c>
      <c r="E71" s="409">
        <f t="shared" si="20"/>
        <v>0</v>
      </c>
      <c r="F71" s="103"/>
      <c r="G71" s="176">
        <f t="shared" ref="G71:H73" si="31">+G29</f>
        <v>0</v>
      </c>
      <c r="H71" s="176">
        <f t="shared" si="31"/>
        <v>0</v>
      </c>
      <c r="I71" s="104">
        <f t="shared" si="26"/>
        <v>-100</v>
      </c>
      <c r="J71" s="409">
        <f t="shared" si="27"/>
        <v>0</v>
      </c>
      <c r="K71" s="139"/>
      <c r="L71" s="223">
        <f ca="1">L44+L29</f>
        <v>0</v>
      </c>
      <c r="M71" s="221">
        <f t="shared" ca="1" si="30"/>
        <v>0</v>
      </c>
      <c r="N71" s="223">
        <f t="shared" ca="1" si="30"/>
        <v>0</v>
      </c>
      <c r="O71" s="221">
        <f t="shared" ca="1" si="30"/>
        <v>0</v>
      </c>
      <c r="P71" s="207"/>
      <c r="Q71" s="207"/>
      <c r="R71" s="207"/>
      <c r="S71" s="182"/>
      <c r="T71" s="139"/>
    </row>
    <row r="72" spans="1:240" ht="18.75" customHeight="1" x14ac:dyDescent="0.3">
      <c r="A72" s="107" t="s">
        <v>97</v>
      </c>
      <c r="B72" s="103">
        <f>B30</f>
        <v>577343.84699999995</v>
      </c>
      <c r="C72" s="103">
        <f>+C30</f>
        <v>574050.93926000001</v>
      </c>
      <c r="D72" s="104">
        <f>IF(B72=0, "    ---- ", IF(ABS(ROUND(100/B72*C72-100,1))&lt;999,ROUND(100/B72*C72-100,1),IF(ROUND(100/B72*C72-100,1)&gt;999,999,-999)))</f>
        <v>-0.6</v>
      </c>
      <c r="E72" s="409">
        <f t="shared" si="20"/>
        <v>0.73666944724122085</v>
      </c>
      <c r="F72" s="103"/>
      <c r="G72" s="176">
        <f t="shared" si="31"/>
        <v>0</v>
      </c>
      <c r="H72" s="176">
        <f t="shared" si="31"/>
        <v>0</v>
      </c>
      <c r="I72" s="104" t="str">
        <f t="shared" si="26"/>
        <v xml:space="preserve">    ---- </v>
      </c>
      <c r="J72" s="409">
        <f t="shared" si="27"/>
        <v>0</v>
      </c>
      <c r="K72" s="139"/>
      <c r="L72" s="223">
        <f ca="1">L30</f>
        <v>0</v>
      </c>
      <c r="M72" s="221">
        <f t="shared" ref="M72:O73" ca="1" si="32">+M30</f>
        <v>0</v>
      </c>
      <c r="N72" s="223">
        <f t="shared" ca="1" si="32"/>
        <v>0</v>
      </c>
      <c r="O72" s="221">
        <f t="shared" ca="1" si="32"/>
        <v>0</v>
      </c>
      <c r="P72" s="207"/>
      <c r="Q72" s="207"/>
      <c r="R72" s="207"/>
      <c r="S72" s="182"/>
      <c r="T72" s="139"/>
    </row>
    <row r="73" spans="1:240" ht="18.75" customHeight="1" x14ac:dyDescent="0.3">
      <c r="A73" s="193" t="s">
        <v>418</v>
      </c>
      <c r="B73" s="103">
        <f>B31</f>
        <v>0</v>
      </c>
      <c r="C73" s="103">
        <f>C31</f>
        <v>1151</v>
      </c>
      <c r="D73" s="104" t="str">
        <f t="shared" ref="D73" si="33">IF(B73=0, "    ---- ", IF(ABS(ROUND(100/B73*C73-100,1))&lt;999,ROUND(100/B73*C73-100,1),IF(ROUND(100/B73*C73-100,1)&gt;999,999,-999)))</f>
        <v xml:space="preserve">    ---- </v>
      </c>
      <c r="E73" s="409">
        <f t="shared" si="20"/>
        <v>1.4770580026707528E-3</v>
      </c>
      <c r="F73" s="103"/>
      <c r="G73" s="176">
        <f t="shared" si="31"/>
        <v>0</v>
      </c>
      <c r="H73" s="176">
        <f t="shared" si="31"/>
        <v>0</v>
      </c>
      <c r="I73" s="104" t="str">
        <f t="shared" si="26"/>
        <v xml:space="preserve">    ---- </v>
      </c>
      <c r="J73" s="409">
        <f t="shared" si="27"/>
        <v>0</v>
      </c>
      <c r="K73" s="139"/>
      <c r="L73" s="223">
        <f ca="1">L31</f>
        <v>0</v>
      </c>
      <c r="M73" s="221">
        <f t="shared" ca="1" si="32"/>
        <v>0</v>
      </c>
      <c r="N73" s="223">
        <f t="shared" ca="1" si="32"/>
        <v>0</v>
      </c>
      <c r="O73" s="221">
        <f t="shared" ca="1" si="32"/>
        <v>0</v>
      </c>
      <c r="P73" s="207"/>
      <c r="Q73" s="207"/>
      <c r="R73" s="207"/>
      <c r="S73" s="182"/>
      <c r="T73" s="139"/>
    </row>
    <row r="74" spans="1:240" ht="18.75" customHeight="1" x14ac:dyDescent="0.3">
      <c r="A74" s="113" t="s">
        <v>2</v>
      </c>
      <c r="B74" s="114">
        <f>SUM(B49:B72)</f>
        <v>84506622.541097045</v>
      </c>
      <c r="C74" s="114">
        <f>SUM(C49:C72)</f>
        <v>77925172.736535147</v>
      </c>
      <c r="D74" s="115">
        <f>IF(B74=0, "    ---- ", IF(ABS(ROUND(100/B74*C74-100,1))&lt;999,ROUND(100/B74*C74-100,1),IF(ROUND(100/B74*C74-100,1)&gt;999,999,-999)))</f>
        <v>-7.8</v>
      </c>
      <c r="E74" s="412">
        <f>SUM(E49:E72)</f>
        <v>100.00000000000001</v>
      </c>
      <c r="F74" s="109"/>
      <c r="G74" s="181">
        <f>SUM(G49:G73)</f>
        <v>1404235440.7612488</v>
      </c>
      <c r="H74" s="181">
        <f>SUM(H49:H73)</f>
        <v>1488923680.8655934</v>
      </c>
      <c r="I74" s="115">
        <f>IF(G74=0, "    ---- ", IF(ABS(ROUND(100/G74*H74-100,1))&lt;999,ROUND(100/G74*H74-100,1),IF(ROUND(100/G74*H74-100,1)&gt;999,999,-999)))</f>
        <v>6</v>
      </c>
      <c r="J74" s="412">
        <f>SUM(J49:J73)</f>
        <v>99.996511750825974</v>
      </c>
      <c r="K74" s="139"/>
      <c r="L74" s="223"/>
      <c r="M74" s="221"/>
      <c r="N74" s="223"/>
      <c r="O74" s="221"/>
      <c r="P74" s="207"/>
      <c r="Q74" s="207"/>
      <c r="R74" s="207"/>
      <c r="S74" s="182"/>
      <c r="T74" s="139"/>
    </row>
    <row r="75" spans="1:240" s="111" customFormat="1" ht="18.75" customHeight="1" x14ac:dyDescent="0.3">
      <c r="A75" s="112" t="s">
        <v>101</v>
      </c>
      <c r="B75" s="112"/>
      <c r="C75" s="112"/>
      <c r="D75" s="112"/>
      <c r="E75" s="112"/>
      <c r="F75" s="112"/>
      <c r="G75" s="112"/>
      <c r="K75" s="179"/>
      <c r="L75" s="229" t="e">
        <f ca="1">SUM(L49:L73)</f>
        <v>#REF!</v>
      </c>
      <c r="M75" s="230" t="e">
        <f ca="1">SUM(M49:M73)</f>
        <v>#REF!</v>
      </c>
      <c r="N75" s="229" t="e">
        <f ca="1">SUM(N49:N73)</f>
        <v>#REF!</v>
      </c>
      <c r="O75" s="230" t="e">
        <f ca="1">SUM(O49:O73)</f>
        <v>#REF!</v>
      </c>
      <c r="P75" s="209"/>
      <c r="Q75" s="209"/>
      <c r="R75" s="209"/>
      <c r="S75" s="138"/>
      <c r="T75" s="179"/>
    </row>
    <row r="76" spans="1:240" ht="18.75" customHeight="1" x14ac:dyDescent="0.3">
      <c r="H76" s="112"/>
      <c r="I76" s="112"/>
      <c r="J76" s="112"/>
      <c r="K76" s="112"/>
      <c r="L76" s="186"/>
      <c r="M76" s="186"/>
      <c r="N76" s="186"/>
      <c r="O76" s="186"/>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c r="AO76" s="112"/>
      <c r="AP76" s="112"/>
      <c r="AQ76" s="112"/>
      <c r="AR76" s="112"/>
      <c r="AS76" s="112"/>
      <c r="AT76" s="112"/>
      <c r="AU76" s="112"/>
      <c r="AV76" s="112"/>
      <c r="AW76" s="112"/>
      <c r="AX76" s="112"/>
      <c r="AY76" s="112"/>
      <c r="AZ76" s="112"/>
      <c r="BA76" s="112"/>
      <c r="BB76" s="112"/>
      <c r="BC76" s="112"/>
      <c r="BD76" s="112"/>
      <c r="BE76" s="112"/>
      <c r="BF76" s="112"/>
      <c r="BG76" s="112"/>
      <c r="BH76" s="112"/>
      <c r="BI76" s="112"/>
      <c r="BJ76" s="112"/>
      <c r="BK76" s="112"/>
      <c r="BL76" s="112"/>
      <c r="BM76" s="112"/>
      <c r="BN76" s="112"/>
      <c r="BO76" s="112"/>
      <c r="BP76" s="112"/>
      <c r="BQ76" s="112"/>
      <c r="BR76" s="112"/>
      <c r="BS76" s="112"/>
      <c r="BT76" s="112"/>
      <c r="BU76" s="112"/>
      <c r="BV76" s="112"/>
      <c r="BW76" s="112"/>
      <c r="BX76" s="112"/>
      <c r="BY76" s="112"/>
      <c r="BZ76" s="112"/>
      <c r="CA76" s="112"/>
      <c r="CB76" s="112"/>
      <c r="CC76" s="112"/>
      <c r="CD76" s="112"/>
      <c r="CE76" s="112"/>
      <c r="CF76" s="112"/>
      <c r="CG76" s="112"/>
      <c r="CH76" s="112"/>
      <c r="CI76" s="112"/>
      <c r="CJ76" s="112"/>
      <c r="CK76" s="112"/>
      <c r="CL76" s="112"/>
      <c r="CM76" s="112"/>
      <c r="CN76" s="112"/>
      <c r="CO76" s="112"/>
      <c r="CP76" s="112"/>
      <c r="CQ76" s="112"/>
      <c r="CR76" s="112"/>
      <c r="CS76" s="112"/>
      <c r="CT76" s="112"/>
      <c r="CU76" s="112"/>
      <c r="CV76" s="112"/>
      <c r="CW76" s="112"/>
      <c r="CX76" s="112"/>
      <c r="CY76" s="112"/>
      <c r="CZ76" s="112"/>
      <c r="DA76" s="112"/>
      <c r="DB76" s="112"/>
      <c r="DC76" s="112"/>
      <c r="DD76" s="112"/>
      <c r="DE76" s="112"/>
      <c r="DF76" s="112"/>
      <c r="DG76" s="112"/>
      <c r="DH76" s="112"/>
      <c r="DI76" s="112"/>
      <c r="DJ76" s="112"/>
      <c r="DK76" s="112"/>
      <c r="DL76" s="112"/>
      <c r="DM76" s="112"/>
      <c r="DN76" s="112"/>
      <c r="DO76" s="112"/>
      <c r="DP76" s="112"/>
      <c r="DQ76" s="112"/>
      <c r="DR76" s="112"/>
      <c r="DS76" s="112"/>
      <c r="DT76" s="112"/>
      <c r="DU76" s="112"/>
      <c r="DV76" s="112"/>
      <c r="DW76" s="112"/>
      <c r="DX76" s="112"/>
      <c r="DY76" s="112"/>
      <c r="DZ76" s="112"/>
      <c r="EA76" s="112"/>
      <c r="EB76" s="112"/>
      <c r="EC76" s="112"/>
      <c r="ED76" s="112"/>
      <c r="EE76" s="112"/>
      <c r="EF76" s="112"/>
      <c r="EG76" s="112"/>
      <c r="EH76" s="112"/>
      <c r="EI76" s="112"/>
      <c r="EJ76" s="112"/>
      <c r="EK76" s="112"/>
      <c r="EL76" s="112"/>
      <c r="EM76" s="112"/>
      <c r="EN76" s="112"/>
      <c r="EO76" s="112"/>
      <c r="EP76" s="112"/>
      <c r="EQ76" s="112"/>
      <c r="ER76" s="112"/>
      <c r="ES76" s="112"/>
      <c r="ET76" s="112"/>
      <c r="EU76" s="112"/>
      <c r="EV76" s="112"/>
      <c r="EW76" s="112"/>
      <c r="EX76" s="112"/>
      <c r="EY76" s="112"/>
      <c r="EZ76" s="112"/>
      <c r="FA76" s="112"/>
      <c r="FB76" s="112"/>
      <c r="FC76" s="112"/>
      <c r="FD76" s="112"/>
      <c r="FE76" s="112"/>
      <c r="FF76" s="112"/>
      <c r="FG76" s="112"/>
      <c r="FH76" s="112"/>
      <c r="FI76" s="112"/>
      <c r="FJ76" s="112"/>
      <c r="FK76" s="112"/>
      <c r="FL76" s="112"/>
      <c r="FM76" s="112"/>
      <c r="FN76" s="112"/>
      <c r="FO76" s="112"/>
      <c r="FP76" s="112"/>
      <c r="FQ76" s="112"/>
      <c r="FR76" s="112"/>
      <c r="FS76" s="112"/>
      <c r="FT76" s="112"/>
      <c r="FU76" s="112"/>
      <c r="FV76" s="112"/>
      <c r="FW76" s="112"/>
      <c r="FX76" s="112"/>
      <c r="FY76" s="112"/>
      <c r="FZ76" s="112"/>
      <c r="GA76" s="112"/>
      <c r="GB76" s="112"/>
      <c r="GC76" s="112"/>
      <c r="GD76" s="112"/>
      <c r="GE76" s="112"/>
      <c r="GF76" s="112"/>
      <c r="GG76" s="112"/>
      <c r="GH76" s="112"/>
      <c r="GI76" s="112"/>
      <c r="GJ76" s="112"/>
      <c r="GK76" s="112"/>
      <c r="GL76" s="112"/>
      <c r="GM76" s="112"/>
      <c r="GN76" s="112"/>
      <c r="GO76" s="112"/>
      <c r="GP76" s="112"/>
      <c r="GQ76" s="112"/>
      <c r="GR76" s="112"/>
      <c r="GS76" s="112"/>
      <c r="GT76" s="112"/>
      <c r="GU76" s="112"/>
      <c r="GV76" s="112"/>
      <c r="GW76" s="112"/>
      <c r="GX76" s="112"/>
      <c r="GY76" s="112"/>
      <c r="GZ76" s="112"/>
      <c r="HA76" s="112"/>
      <c r="HB76" s="112"/>
      <c r="HC76" s="112"/>
      <c r="HD76" s="112"/>
      <c r="HE76" s="112"/>
      <c r="HF76" s="112"/>
      <c r="HG76" s="112"/>
      <c r="HH76" s="112"/>
      <c r="HI76" s="112"/>
      <c r="HJ76" s="112"/>
      <c r="HK76" s="112"/>
      <c r="HL76" s="112"/>
      <c r="HM76" s="112"/>
      <c r="HN76" s="112"/>
      <c r="HO76" s="112"/>
      <c r="HP76" s="112"/>
      <c r="HQ76" s="112"/>
      <c r="HR76" s="112"/>
      <c r="HS76" s="112"/>
      <c r="HT76" s="112"/>
      <c r="HU76" s="112"/>
      <c r="HV76" s="112"/>
      <c r="HW76" s="112"/>
      <c r="HX76" s="112"/>
      <c r="HY76" s="112"/>
      <c r="HZ76" s="112"/>
      <c r="IA76" s="112"/>
      <c r="IB76" s="112"/>
      <c r="IC76" s="112"/>
      <c r="ID76" s="112"/>
      <c r="IE76" s="112"/>
      <c r="IF76" s="112"/>
    </row>
    <row r="77" spans="1:240" ht="18.75" customHeight="1" x14ac:dyDescent="0.3">
      <c r="A77" s="74"/>
      <c r="B77" s="74"/>
      <c r="C77" s="74"/>
      <c r="D77" s="74"/>
      <c r="E77" s="74"/>
      <c r="F77" s="74"/>
      <c r="G77" s="74"/>
      <c r="H77" s="74"/>
      <c r="I77" s="74"/>
      <c r="J77" s="74"/>
      <c r="K77" s="74"/>
    </row>
    <row r="78" spans="1:240" ht="18.75" customHeight="1" x14ac:dyDescent="0.3">
      <c r="A78" s="74"/>
      <c r="B78" s="74"/>
      <c r="C78" s="74"/>
      <c r="D78" s="74"/>
      <c r="E78" s="74"/>
      <c r="F78" s="74"/>
      <c r="G78" s="74"/>
      <c r="H78" s="74"/>
      <c r="I78" s="74"/>
      <c r="J78" s="74"/>
      <c r="K78" s="74"/>
    </row>
    <row r="79" spans="1:240" ht="18.75" customHeight="1" x14ac:dyDescent="0.3">
      <c r="A79" s="74"/>
      <c r="B79" s="77"/>
      <c r="C79" s="77"/>
      <c r="D79" s="74"/>
      <c r="E79" s="74"/>
      <c r="F79" s="74"/>
      <c r="G79" s="77"/>
      <c r="H79" s="77"/>
      <c r="I79" s="74"/>
      <c r="J79" s="74"/>
      <c r="K79" s="74"/>
    </row>
    <row r="80" spans="1:240" ht="18.75" customHeight="1" x14ac:dyDescent="0.3">
      <c r="A80" s="74"/>
      <c r="B80" s="74"/>
      <c r="C80" s="74"/>
      <c r="D80" s="74"/>
      <c r="E80" s="74"/>
      <c r="F80" s="74"/>
      <c r="G80" s="74"/>
      <c r="H80" s="74"/>
      <c r="I80" s="74"/>
      <c r="J80" s="74"/>
      <c r="K80" s="74"/>
    </row>
    <row r="81" spans="1:11" ht="18.75" customHeight="1" x14ac:dyDescent="0.3">
      <c r="A81" s="74"/>
      <c r="B81" s="74"/>
      <c r="C81" s="74"/>
      <c r="D81" s="74"/>
      <c r="E81" s="74"/>
      <c r="F81" s="74"/>
      <c r="G81" s="74"/>
      <c r="H81" s="74"/>
      <c r="I81" s="74"/>
      <c r="J81" s="74"/>
      <c r="K81" s="74"/>
    </row>
    <row r="82" spans="1:11" ht="18.75" customHeight="1" x14ac:dyDescent="0.3">
      <c r="A82" s="74"/>
      <c r="B82" s="74"/>
      <c r="C82" s="74"/>
      <c r="D82" s="74"/>
      <c r="E82" s="74"/>
      <c r="F82" s="74"/>
      <c r="G82" s="74"/>
      <c r="H82" s="74"/>
      <c r="I82" s="74"/>
      <c r="J82" s="74"/>
      <c r="K82" s="74"/>
    </row>
    <row r="83" spans="1:11" ht="18.75" customHeight="1" x14ac:dyDescent="0.3">
      <c r="A83" s="74"/>
      <c r="B83" s="74"/>
      <c r="C83" s="74"/>
      <c r="D83" s="74"/>
      <c r="E83" s="74"/>
      <c r="F83" s="74"/>
      <c r="G83" s="74"/>
      <c r="H83" s="74"/>
      <c r="I83" s="74"/>
      <c r="J83" s="74"/>
      <c r="K83" s="74"/>
    </row>
    <row r="84" spans="1:11" ht="18.75" x14ac:dyDescent="0.3">
      <c r="A84" s="74"/>
      <c r="B84" s="74"/>
      <c r="C84" s="74"/>
      <c r="D84" s="74"/>
      <c r="E84" s="74"/>
      <c r="F84" s="74"/>
      <c r="G84" s="74"/>
      <c r="H84" s="74"/>
      <c r="I84" s="74"/>
      <c r="J84" s="74"/>
      <c r="K84" s="74"/>
    </row>
    <row r="85" spans="1:11" ht="18.75" x14ac:dyDescent="0.3">
      <c r="A85" s="74"/>
      <c r="B85" s="74"/>
      <c r="C85" s="74"/>
      <c r="D85" s="74"/>
      <c r="E85" s="74"/>
      <c r="F85" s="74"/>
      <c r="G85" s="74"/>
      <c r="H85" s="74"/>
      <c r="I85" s="74"/>
      <c r="J85" s="74"/>
      <c r="K85" s="74"/>
    </row>
    <row r="86" spans="1:11" ht="18.75" x14ac:dyDescent="0.3">
      <c r="A86" s="74"/>
      <c r="B86" s="74"/>
      <c r="C86" s="74"/>
      <c r="D86" s="74"/>
      <c r="E86" s="74"/>
      <c r="F86" s="74"/>
      <c r="G86" s="74"/>
      <c r="H86" s="74"/>
      <c r="I86" s="74"/>
      <c r="J86" s="74"/>
      <c r="K86" s="74"/>
    </row>
    <row r="87" spans="1:11" ht="18.75" x14ac:dyDescent="0.3">
      <c r="A87" s="74"/>
      <c r="B87" s="74"/>
      <c r="C87" s="74"/>
      <c r="D87" s="74"/>
      <c r="E87" s="74"/>
      <c r="F87" s="74"/>
      <c r="G87" s="74"/>
      <c r="H87" s="74"/>
      <c r="I87" s="74"/>
      <c r="J87" s="74"/>
      <c r="K87" s="74"/>
    </row>
    <row r="88" spans="1:11" ht="18.75" x14ac:dyDescent="0.3">
      <c r="A88" s="74"/>
      <c r="B88" s="74"/>
      <c r="C88" s="74"/>
      <c r="D88" s="74"/>
      <c r="E88" s="74"/>
      <c r="F88" s="74"/>
      <c r="G88" s="74"/>
      <c r="H88" s="74"/>
      <c r="I88" s="74"/>
      <c r="J88" s="74"/>
      <c r="K88" s="74"/>
    </row>
    <row r="89" spans="1:11" ht="18.75" x14ac:dyDescent="0.3">
      <c r="A89" s="74"/>
      <c r="B89" s="74"/>
      <c r="C89" s="74"/>
      <c r="D89" s="74"/>
      <c r="E89" s="74"/>
      <c r="F89" s="74"/>
      <c r="G89" s="74"/>
      <c r="H89" s="74"/>
      <c r="I89" s="74"/>
      <c r="J89" s="74"/>
      <c r="K89" s="74"/>
    </row>
    <row r="90" spans="1:11" ht="18.75" x14ac:dyDescent="0.3">
      <c r="A90" s="74"/>
      <c r="B90" s="74"/>
      <c r="C90" s="74"/>
      <c r="D90" s="74"/>
      <c r="E90" s="74"/>
      <c r="F90" s="74"/>
      <c r="G90" s="74"/>
      <c r="H90" s="74"/>
      <c r="I90" s="74"/>
      <c r="J90" s="74"/>
      <c r="K90" s="74"/>
    </row>
    <row r="91" spans="1:11" ht="18.75" x14ac:dyDescent="0.3">
      <c r="A91" s="74"/>
      <c r="B91" s="74"/>
      <c r="C91" s="74"/>
      <c r="D91" s="74"/>
      <c r="E91" s="74"/>
      <c r="F91" s="74"/>
      <c r="G91" s="74"/>
      <c r="H91" s="74"/>
      <c r="I91" s="74"/>
      <c r="J91" s="74"/>
      <c r="K91" s="74"/>
    </row>
    <row r="92" spans="1:11" ht="18.75" x14ac:dyDescent="0.3">
      <c r="A92" s="74"/>
      <c r="B92" s="74"/>
      <c r="C92" s="74"/>
      <c r="D92" s="74"/>
      <c r="E92" s="74"/>
      <c r="F92" s="74"/>
      <c r="G92" s="74"/>
      <c r="H92" s="74"/>
      <c r="I92" s="74"/>
      <c r="J92" s="74"/>
      <c r="K92" s="74"/>
    </row>
    <row r="93" spans="1:11" ht="18.75" x14ac:dyDescent="0.3">
      <c r="A93" s="74"/>
      <c r="B93" s="74"/>
      <c r="C93" s="74"/>
      <c r="D93" s="74"/>
      <c r="E93" s="74"/>
      <c r="F93" s="74"/>
      <c r="G93" s="74"/>
      <c r="H93" s="74"/>
      <c r="I93" s="74"/>
      <c r="J93" s="74"/>
      <c r="K93" s="74"/>
    </row>
    <row r="94" spans="1:11" ht="18.75" x14ac:dyDescent="0.3">
      <c r="A94" s="74"/>
      <c r="B94" s="74"/>
      <c r="C94" s="74"/>
      <c r="D94" s="74"/>
      <c r="E94" s="74"/>
      <c r="F94" s="74"/>
      <c r="G94" s="74"/>
      <c r="H94" s="74"/>
      <c r="I94" s="74"/>
      <c r="J94" s="74"/>
      <c r="K94" s="74"/>
    </row>
    <row r="95" spans="1:11" ht="18.75" x14ac:dyDescent="0.3">
      <c r="A95" s="74"/>
      <c r="B95" s="74"/>
      <c r="C95" s="74"/>
      <c r="D95" s="74"/>
      <c r="E95" s="74"/>
      <c r="F95" s="74"/>
      <c r="G95" s="74"/>
      <c r="H95" s="74"/>
      <c r="I95" s="74"/>
      <c r="J95" s="74"/>
      <c r="K95" s="74"/>
    </row>
    <row r="96" spans="1:11" ht="18.75" x14ac:dyDescent="0.3">
      <c r="A96" s="74"/>
      <c r="B96" s="74"/>
      <c r="C96" s="74"/>
      <c r="D96" s="74"/>
      <c r="E96" s="74"/>
      <c r="F96" s="74"/>
      <c r="G96" s="74"/>
      <c r="H96" s="74"/>
      <c r="I96" s="74"/>
      <c r="J96" s="74"/>
      <c r="K96" s="74"/>
    </row>
    <row r="97" spans="1:11" ht="18.75" x14ac:dyDescent="0.3">
      <c r="A97" s="74"/>
      <c r="B97" s="74"/>
      <c r="C97" s="74"/>
      <c r="D97" s="74"/>
      <c r="E97" s="74"/>
      <c r="F97" s="74"/>
      <c r="G97" s="74"/>
      <c r="H97" s="74"/>
      <c r="I97" s="74"/>
      <c r="J97" s="74"/>
      <c r="K97" s="74"/>
    </row>
    <row r="98" spans="1:11" ht="18.75" x14ac:dyDescent="0.3">
      <c r="A98" s="74"/>
      <c r="B98" s="74"/>
      <c r="C98" s="74"/>
      <c r="D98" s="74"/>
      <c r="E98" s="74"/>
      <c r="F98" s="74"/>
      <c r="G98" s="74"/>
      <c r="H98" s="74"/>
      <c r="I98" s="74"/>
      <c r="J98" s="74"/>
      <c r="K98" s="74"/>
    </row>
    <row r="99" spans="1:11" ht="18.75" x14ac:dyDescent="0.3">
      <c r="A99" s="74"/>
      <c r="B99" s="74"/>
      <c r="C99" s="74"/>
      <c r="D99" s="74"/>
      <c r="E99" s="74"/>
      <c r="F99" s="74"/>
      <c r="G99" s="74"/>
      <c r="H99" s="74"/>
      <c r="I99" s="74"/>
      <c r="J99" s="74"/>
      <c r="K99" s="74"/>
    </row>
    <row r="100" spans="1:11" ht="18.75" x14ac:dyDescent="0.3">
      <c r="A100" s="74"/>
      <c r="B100" s="74"/>
      <c r="C100" s="74"/>
      <c r="D100" s="74"/>
      <c r="E100" s="74"/>
      <c r="F100" s="74"/>
      <c r="G100" s="74"/>
      <c r="H100" s="74"/>
      <c r="I100" s="74"/>
      <c r="J100" s="74"/>
      <c r="K100" s="74"/>
    </row>
    <row r="101" spans="1:11" ht="18.75" x14ac:dyDescent="0.3">
      <c r="A101" s="112"/>
      <c r="B101" s="112"/>
      <c r="C101" s="112"/>
      <c r="D101" s="112"/>
      <c r="E101" s="112"/>
      <c r="F101" s="112"/>
      <c r="G101" s="112"/>
      <c r="H101" s="112"/>
      <c r="I101" s="112"/>
      <c r="J101" s="112"/>
      <c r="K101" s="112"/>
    </row>
    <row r="102" spans="1:11" ht="18.75" x14ac:dyDescent="0.3">
      <c r="A102" s="116"/>
      <c r="B102" s="117"/>
      <c r="C102" s="117"/>
      <c r="D102" s="117"/>
      <c r="E102" s="74"/>
      <c r="F102" s="74"/>
      <c r="G102" s="74"/>
      <c r="H102" s="74"/>
      <c r="I102" s="74"/>
      <c r="J102" s="75"/>
      <c r="K102" s="75"/>
    </row>
    <row r="103" spans="1:11" ht="18.75" x14ac:dyDescent="0.3">
      <c r="A103" s="74"/>
      <c r="B103" s="74"/>
      <c r="C103" s="74"/>
      <c r="D103" s="74"/>
      <c r="E103" s="74"/>
      <c r="F103" s="74"/>
      <c r="G103" s="74"/>
      <c r="H103" s="74"/>
      <c r="I103" s="74"/>
      <c r="J103" s="74"/>
      <c r="K103" s="74"/>
    </row>
    <row r="104" spans="1:11" ht="18.75" x14ac:dyDescent="0.3">
      <c r="A104" s="74"/>
      <c r="B104" s="74"/>
      <c r="C104" s="74"/>
      <c r="D104" s="74"/>
      <c r="E104" s="74"/>
      <c r="F104" s="74"/>
      <c r="G104" s="74"/>
      <c r="H104" s="74"/>
      <c r="I104" s="74"/>
      <c r="J104" s="74"/>
      <c r="K104" s="74"/>
    </row>
    <row r="105" spans="1:11" ht="18.75" x14ac:dyDescent="0.3">
      <c r="A105" s="74"/>
      <c r="B105" s="74"/>
      <c r="C105" s="74"/>
      <c r="D105" s="74"/>
      <c r="E105" s="74"/>
      <c r="F105" s="74"/>
      <c r="G105" s="74"/>
      <c r="H105" s="74"/>
      <c r="I105" s="74"/>
      <c r="J105" s="74"/>
      <c r="K105" s="74"/>
    </row>
    <row r="106" spans="1:11" ht="18.75" x14ac:dyDescent="0.3">
      <c r="A106" s="74"/>
      <c r="B106" s="74"/>
      <c r="C106" s="74"/>
      <c r="D106" s="74"/>
      <c r="E106" s="74"/>
      <c r="F106" s="74"/>
      <c r="G106" s="74"/>
      <c r="H106" s="74"/>
      <c r="I106" s="74"/>
      <c r="J106" s="74"/>
      <c r="K106" s="74"/>
    </row>
    <row r="107" spans="1:11" ht="18.75" x14ac:dyDescent="0.3">
      <c r="A107" s="74"/>
      <c r="B107" s="74"/>
      <c r="C107" s="74"/>
      <c r="D107" s="74"/>
      <c r="E107" s="74"/>
      <c r="F107" s="74"/>
      <c r="G107" s="74"/>
      <c r="H107" s="74"/>
      <c r="I107" s="74"/>
      <c r="J107" s="74"/>
      <c r="K107" s="74"/>
    </row>
    <row r="108" spans="1:11" ht="18.75" x14ac:dyDescent="0.3">
      <c r="A108" s="74"/>
      <c r="B108" s="74"/>
      <c r="C108" s="74"/>
      <c r="D108" s="74"/>
      <c r="E108" s="74"/>
      <c r="F108" s="74"/>
      <c r="G108" s="74"/>
      <c r="H108" s="74"/>
      <c r="I108" s="74"/>
      <c r="J108" s="74"/>
      <c r="K108" s="74"/>
    </row>
    <row r="109" spans="1:11" ht="18.75" x14ac:dyDescent="0.3">
      <c r="A109" s="74"/>
      <c r="B109" s="74"/>
      <c r="C109" s="74"/>
      <c r="D109" s="74"/>
      <c r="E109" s="74"/>
      <c r="F109" s="74"/>
      <c r="G109" s="74"/>
      <c r="H109" s="74"/>
      <c r="I109" s="74"/>
      <c r="J109" s="74"/>
      <c r="K109" s="74"/>
    </row>
    <row r="110" spans="1:11" ht="18.75" x14ac:dyDescent="0.3">
      <c r="A110" s="74"/>
      <c r="B110" s="74"/>
      <c r="C110" s="74"/>
      <c r="D110" s="74"/>
      <c r="E110" s="74"/>
      <c r="F110" s="74"/>
      <c r="G110" s="74"/>
      <c r="H110" s="74"/>
      <c r="I110" s="74"/>
      <c r="J110" s="74"/>
      <c r="K110" s="74"/>
    </row>
    <row r="111" spans="1:11" ht="18.75" x14ac:dyDescent="0.3">
      <c r="A111" s="74"/>
      <c r="B111" s="74"/>
      <c r="C111" s="74"/>
      <c r="D111" s="74"/>
      <c r="E111" s="74"/>
      <c r="F111" s="74"/>
      <c r="G111" s="74"/>
      <c r="H111" s="74"/>
      <c r="I111" s="74"/>
      <c r="J111" s="74"/>
      <c r="K111" s="74"/>
    </row>
    <row r="112" spans="1:11" ht="18.75" x14ac:dyDescent="0.3">
      <c r="A112" s="74"/>
      <c r="B112" s="74"/>
      <c r="C112" s="74"/>
      <c r="D112" s="74"/>
      <c r="E112" s="74"/>
      <c r="F112" s="74"/>
      <c r="G112" s="74"/>
      <c r="H112" s="74"/>
      <c r="I112" s="74"/>
      <c r="J112" s="74"/>
      <c r="K112" s="74"/>
    </row>
    <row r="113" spans="1:11" ht="18.75" x14ac:dyDescent="0.3">
      <c r="A113" s="74"/>
      <c r="B113" s="74"/>
      <c r="C113" s="74"/>
      <c r="D113" s="74"/>
      <c r="E113" s="74"/>
      <c r="F113" s="74"/>
      <c r="G113" s="74"/>
      <c r="H113" s="74"/>
      <c r="I113" s="74"/>
      <c r="J113" s="74"/>
      <c r="K113" s="74"/>
    </row>
    <row r="114" spans="1:11" ht="18.75" x14ac:dyDescent="0.3">
      <c r="A114" s="74"/>
      <c r="B114" s="74"/>
      <c r="C114" s="74"/>
      <c r="D114" s="74"/>
      <c r="E114" s="74"/>
      <c r="F114" s="74"/>
      <c r="G114" s="74"/>
      <c r="H114" s="74"/>
      <c r="I114" s="74"/>
      <c r="J114" s="74"/>
      <c r="K114" s="74"/>
    </row>
  </sheetData>
  <mergeCells count="5">
    <mergeCell ref="N5:O5"/>
    <mergeCell ref="A3:B3"/>
    <mergeCell ref="B5:E5"/>
    <mergeCell ref="G5:J5"/>
    <mergeCell ref="L5:M5"/>
  </mergeCells>
  <hyperlinks>
    <hyperlink ref="B1" location="Innhold!A1" display="Tilbake" xr:uid="{00000000-0004-0000-0300-000000000000}"/>
  </hyperlinks>
  <pageMargins left="0.70866141732283472" right="0.70866141732283472" top="0.78740157480314965" bottom="0.78740157480314965" header="0.31496062992125984" footer="0.31496062992125984"/>
  <pageSetup paperSize="9" scale="3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dimension ref="A1:W115"/>
  <sheetViews>
    <sheetView showGridLines="0" showZeros="0" zoomScale="80" zoomScaleNormal="80" workbookViewId="0">
      <pane xSplit="1" ySplit="7" topLeftCell="B8" activePane="bottomRight" state="frozen"/>
      <selection pane="topRight" activeCell="B1" sqref="B1"/>
      <selection pane="bottomLeft" activeCell="A8" sqref="A8"/>
      <selection pane="bottomRight" activeCell="A4" sqref="A4"/>
    </sheetView>
  </sheetViews>
  <sheetFormatPr baseColWidth="10" defaultColWidth="11.42578125" defaultRowHeight="18" x14ac:dyDescent="0.25"/>
  <cols>
    <col min="1" max="1" width="51" style="81" customWidth="1"/>
    <col min="2" max="3" width="17.85546875" style="81" bestFit="1" customWidth="1"/>
    <col min="4" max="4" width="9.28515625" style="81" bestFit="1" customWidth="1"/>
    <col min="5" max="5" width="4.7109375" style="81" customWidth="1"/>
    <col min="6" max="7" width="16.7109375" style="81" customWidth="1"/>
    <col min="8" max="8" width="9.28515625" style="81" bestFit="1" customWidth="1"/>
    <col min="9" max="9" width="4.7109375" style="81" customWidth="1"/>
    <col min="10" max="10" width="18.85546875" style="81" customWidth="1"/>
    <col min="11" max="11" width="18" style="81" bestFit="1" customWidth="1"/>
    <col min="12" max="12" width="9.28515625" style="81" bestFit="1" customWidth="1"/>
    <col min="13" max="13" width="11.42578125" style="81"/>
    <col min="14" max="15" width="17.140625" style="81" bestFit="1" customWidth="1"/>
    <col min="16" max="16384" width="11.42578125" style="81"/>
  </cols>
  <sheetData>
    <row r="1" spans="1:13" ht="20.25" x14ac:dyDescent="0.3">
      <c r="A1" s="80" t="s">
        <v>76</v>
      </c>
      <c r="B1" s="73" t="s">
        <v>52</v>
      </c>
      <c r="C1" s="74"/>
      <c r="D1" s="74"/>
      <c r="E1" s="74"/>
      <c r="F1" s="74"/>
      <c r="G1" s="74"/>
      <c r="H1" s="74"/>
      <c r="I1" s="74"/>
      <c r="J1" s="74"/>
      <c r="K1" s="74"/>
      <c r="L1" s="74"/>
      <c r="M1" s="74"/>
    </row>
    <row r="2" spans="1:13" ht="20.25" x14ac:dyDescent="0.3">
      <c r="A2" s="80" t="s">
        <v>102</v>
      </c>
      <c r="B2" s="73"/>
      <c r="C2" s="74"/>
      <c r="D2" s="74"/>
      <c r="E2" s="74"/>
      <c r="F2" s="74"/>
      <c r="G2" s="74"/>
      <c r="H2" s="74"/>
      <c r="I2" s="74"/>
      <c r="J2" s="74"/>
      <c r="K2" s="74"/>
      <c r="L2" s="74"/>
      <c r="M2" s="74"/>
    </row>
    <row r="3" spans="1:13" ht="18.75" x14ac:dyDescent="0.3">
      <c r="A3" s="75" t="s">
        <v>103</v>
      </c>
      <c r="B3" s="74"/>
      <c r="C3" s="74"/>
      <c r="D3" s="74"/>
      <c r="E3" s="74"/>
      <c r="F3" s="74"/>
      <c r="G3" s="74"/>
      <c r="H3" s="74"/>
      <c r="I3" s="74"/>
      <c r="J3" s="74"/>
      <c r="K3" s="74"/>
      <c r="L3" s="74"/>
      <c r="M3" s="74"/>
    </row>
    <row r="4" spans="1:13" ht="18.75" x14ac:dyDescent="0.3">
      <c r="A4" s="82" t="s">
        <v>420</v>
      </c>
      <c r="B4" s="102"/>
      <c r="C4" s="118"/>
      <c r="D4" s="119"/>
      <c r="E4" s="112"/>
      <c r="F4" s="83"/>
      <c r="G4" s="84"/>
      <c r="H4" s="85"/>
      <c r="I4" s="112"/>
      <c r="J4" s="83"/>
      <c r="K4" s="84"/>
      <c r="L4" s="85"/>
      <c r="M4" s="74"/>
    </row>
    <row r="5" spans="1:13" ht="18.75" x14ac:dyDescent="0.3">
      <c r="A5" s="120"/>
      <c r="B5" s="714" t="s">
        <v>0</v>
      </c>
      <c r="C5" s="715"/>
      <c r="D5" s="716"/>
      <c r="E5" s="89"/>
      <c r="F5" s="714" t="s">
        <v>1</v>
      </c>
      <c r="G5" s="715"/>
      <c r="H5" s="716"/>
      <c r="I5" s="121"/>
      <c r="J5" s="714" t="s">
        <v>104</v>
      </c>
      <c r="K5" s="715"/>
      <c r="L5" s="716"/>
      <c r="M5" s="74"/>
    </row>
    <row r="6" spans="1:13" ht="18.75" x14ac:dyDescent="0.3">
      <c r="A6" s="122"/>
      <c r="B6" s="123"/>
      <c r="C6" s="124"/>
      <c r="D6" s="94" t="s">
        <v>105</v>
      </c>
      <c r="E6" s="100"/>
      <c r="F6" s="123"/>
      <c r="G6" s="124"/>
      <c r="H6" s="94" t="s">
        <v>105</v>
      </c>
      <c r="I6" s="125"/>
      <c r="J6" s="123"/>
      <c r="K6" s="124"/>
      <c r="L6" s="94" t="s">
        <v>105</v>
      </c>
      <c r="M6" s="74"/>
    </row>
    <row r="7" spans="1:13" ht="18.75" x14ac:dyDescent="0.3">
      <c r="A7" s="126" t="s">
        <v>106</v>
      </c>
      <c r="B7" s="127">
        <v>2019</v>
      </c>
      <c r="C7" s="185">
        <v>2020</v>
      </c>
      <c r="D7" s="99" t="s">
        <v>82</v>
      </c>
      <c r="E7" s="100"/>
      <c r="F7" s="97">
        <v>2019</v>
      </c>
      <c r="G7" s="127">
        <v>2020</v>
      </c>
      <c r="H7" s="99" t="s">
        <v>82</v>
      </c>
      <c r="I7" s="128"/>
      <c r="J7" s="184">
        <v>2019</v>
      </c>
      <c r="K7" s="185">
        <v>2020</v>
      </c>
      <c r="L7" s="99" t="s">
        <v>82</v>
      </c>
      <c r="M7" s="74"/>
    </row>
    <row r="8" spans="1:13" ht="22.5" x14ac:dyDescent="0.3">
      <c r="A8" s="192" t="s">
        <v>107</v>
      </c>
      <c r="B8" s="232"/>
      <c r="C8" s="201"/>
      <c r="D8" s="201"/>
      <c r="E8" s="182"/>
      <c r="F8" s="201"/>
      <c r="G8" s="201"/>
      <c r="H8" s="201"/>
      <c r="I8" s="202"/>
      <c r="J8" s="201"/>
      <c r="K8" s="201"/>
      <c r="L8" s="201"/>
      <c r="M8" s="74"/>
    </row>
    <row r="9" spans="1:13" ht="18.75" x14ac:dyDescent="0.3">
      <c r="A9" s="193" t="s">
        <v>108</v>
      </c>
      <c r="B9" s="104">
        <f>'Skjema total MA'!B7</f>
        <v>3648140.3237320976</v>
      </c>
      <c r="C9" s="104">
        <f>'Skjema total MA'!C7</f>
        <v>3690062.0809851093</v>
      </c>
      <c r="D9" s="233">
        <f>IF(B9=0, "    ---- ", IF(ABS(ROUND(100/B9*C9-100,1))&lt;999,ROUND(100/B9*C9-100,1),IF(ROUND(100/B9*C9-100,1)&gt;999,999,-999)))</f>
        <v>1.1000000000000001</v>
      </c>
      <c r="E9" s="182"/>
      <c r="F9" s="196">
        <f>'Skjema total MA'!E7</f>
        <v>7165809.1212200001</v>
      </c>
      <c r="G9" s="196">
        <f>'Skjema total MA'!F7</f>
        <v>6903912.3569899993</v>
      </c>
      <c r="H9" s="233">
        <f>IF(F9=0, "    ---- ", IF(ABS(ROUND(100/F9*G9-100,1))&lt;999,ROUND(100/F9*G9-100,1),IF(ROUND(100/F9*G9-100,1)&gt;999,999,-999)))</f>
        <v>-3.7</v>
      </c>
      <c r="I9" s="182"/>
      <c r="J9" s="196">
        <f t="shared" ref="J9:K60" si="0">SUM(B9+F9)</f>
        <v>10813949.444952097</v>
      </c>
      <c r="K9" s="196">
        <f t="shared" si="0"/>
        <v>10593974.437975109</v>
      </c>
      <c r="L9" s="231">
        <f>IF(J9=0, "    ---- ", IF(ABS(ROUND(100/J9*K9-100,1))&lt;999,ROUND(100/J9*K9-100,1),IF(ROUND(100/J9*K9-100,1)&gt;999,999,-999)))</f>
        <v>-2</v>
      </c>
      <c r="M9" s="74"/>
    </row>
    <row r="10" spans="1:13" ht="18.75" x14ac:dyDescent="0.3">
      <c r="A10" s="193" t="s">
        <v>109</v>
      </c>
      <c r="B10" s="104">
        <f>'Skjema total MA'!B22</f>
        <v>1362767.7466070242</v>
      </c>
      <c r="C10" s="104">
        <f>'Skjema total MA'!C22</f>
        <v>1338518.7363557161</v>
      </c>
      <c r="D10" s="233">
        <f t="shared" ref="D10:D17" si="1">IF(B10=0, "    ---- ", IF(ABS(ROUND(100/B10*C10-100,1))&lt;999,ROUND(100/B10*C10-100,1),IF(ROUND(100/B10*C10-100,1)&gt;999,999,-999)))</f>
        <v>-1.8</v>
      </c>
      <c r="E10" s="182"/>
      <c r="F10" s="196">
        <f>'Skjema total MA'!E22</f>
        <v>798772.13164000004</v>
      </c>
      <c r="G10" s="196">
        <f>'Skjema total MA'!F22</f>
        <v>923681.47884</v>
      </c>
      <c r="H10" s="233">
        <f t="shared" ref="H10:H57" si="2">IF(F10=0, "    ---- ", IF(ABS(ROUND(100/F10*G10-100,1))&lt;999,ROUND(100/F10*G10-100,1),IF(ROUND(100/F10*G10-100,1)&gt;999,999,-999)))</f>
        <v>15.6</v>
      </c>
      <c r="I10" s="182"/>
      <c r="J10" s="196">
        <f t="shared" si="0"/>
        <v>2161539.8782470245</v>
      </c>
      <c r="K10" s="196">
        <f t="shared" si="0"/>
        <v>2262200.2151957164</v>
      </c>
      <c r="L10" s="231">
        <f t="shared" ref="L10:L60" si="3">IF(J10=0, "    ---- ", IF(ABS(ROUND(100/J10*K10-100,1))&lt;999,ROUND(100/J10*K10-100,1),IF(ROUND(100/J10*K10-100,1)&gt;999,999,-999)))</f>
        <v>4.7</v>
      </c>
      <c r="M10" s="74"/>
    </row>
    <row r="11" spans="1:13" ht="18.75" x14ac:dyDescent="0.3">
      <c r="A11" s="193" t="s">
        <v>110</v>
      </c>
      <c r="B11" s="104">
        <f>'Skjema total MA'!B47</f>
        <v>3826287.23887792</v>
      </c>
      <c r="C11" s="104">
        <f>'Skjema total MA'!C47</f>
        <v>4226084.6171943173</v>
      </c>
      <c r="D11" s="233">
        <f t="shared" si="1"/>
        <v>10.4</v>
      </c>
      <c r="E11" s="182"/>
      <c r="F11" s="196"/>
      <c r="G11" s="196"/>
      <c r="H11" s="233" t="str">
        <f t="shared" si="2"/>
        <v xml:space="preserve">    ---- </v>
      </c>
      <c r="I11" s="182"/>
      <c r="J11" s="196">
        <f t="shared" si="0"/>
        <v>3826287.23887792</v>
      </c>
      <c r="K11" s="196">
        <f t="shared" si="0"/>
        <v>4226084.6171943173</v>
      </c>
      <c r="L11" s="231">
        <f t="shared" si="3"/>
        <v>10.4</v>
      </c>
      <c r="M11" s="74"/>
    </row>
    <row r="12" spans="1:13" ht="18.75" x14ac:dyDescent="0.3">
      <c r="A12" s="193" t="s">
        <v>111</v>
      </c>
      <c r="B12" s="104">
        <f>'Skjema total MA'!B66</f>
        <v>7110980.4089499991</v>
      </c>
      <c r="C12" s="104">
        <f>'Skjema total MA'!C66</f>
        <v>5924651.3501699995</v>
      </c>
      <c r="D12" s="233">
        <f t="shared" si="1"/>
        <v>-16.7</v>
      </c>
      <c r="E12" s="182"/>
      <c r="F12" s="196">
        <f>'Skjema total MA'!E66</f>
        <v>23786683.901489999</v>
      </c>
      <c r="G12" s="196">
        <f>'Skjema total MA'!F66</f>
        <v>26016433.351750001</v>
      </c>
      <c r="H12" s="233">
        <f t="shared" si="2"/>
        <v>9.4</v>
      </c>
      <c r="I12" s="182"/>
      <c r="J12" s="196">
        <f t="shared" si="0"/>
        <v>30897664.310439996</v>
      </c>
      <c r="K12" s="196">
        <f t="shared" si="0"/>
        <v>31941084.701920003</v>
      </c>
      <c r="L12" s="231">
        <f t="shared" si="3"/>
        <v>3.4</v>
      </c>
      <c r="M12" s="74"/>
    </row>
    <row r="13" spans="1:13" ht="18.75" x14ac:dyDescent="0.3">
      <c r="A13" s="193" t="s">
        <v>112</v>
      </c>
      <c r="B13" s="104">
        <f>'Skjema total MA'!B68</f>
        <v>130691.25651000001</v>
      </c>
      <c r="C13" s="104">
        <f>'Skjema total MA'!C68</f>
        <v>118405.78634999999</v>
      </c>
      <c r="D13" s="233">
        <f t="shared" si="1"/>
        <v>-9.4</v>
      </c>
      <c r="E13" s="182"/>
      <c r="F13" s="196">
        <f>'Skjema total MA'!E68</f>
        <v>23470528.546039999</v>
      </c>
      <c r="G13" s="196">
        <f>'Skjema total MA'!F68</f>
        <v>24987417.430980001</v>
      </c>
      <c r="H13" s="233">
        <f t="shared" si="2"/>
        <v>6.5</v>
      </c>
      <c r="I13" s="182"/>
      <c r="J13" s="196">
        <f t="shared" si="0"/>
        <v>23601219.802549999</v>
      </c>
      <c r="K13" s="196">
        <f t="shared" si="0"/>
        <v>25105823.217330001</v>
      </c>
      <c r="L13" s="231">
        <f t="shared" si="3"/>
        <v>6.4</v>
      </c>
      <c r="M13" s="74"/>
    </row>
    <row r="14" spans="1:13" s="133" customFormat="1" ht="18.75" x14ac:dyDescent="0.3">
      <c r="A14" s="194" t="s">
        <v>113</v>
      </c>
      <c r="B14" s="131">
        <f>'Skjema total MA'!B75</f>
        <v>295660.35291999998</v>
      </c>
      <c r="C14" s="131">
        <f>'Skjema total MA'!C75</f>
        <v>335864.80619999999</v>
      </c>
      <c r="D14" s="233">
        <f t="shared" si="1"/>
        <v>13.6</v>
      </c>
      <c r="E14" s="183"/>
      <c r="F14" s="197">
        <f>'Skjema total MA'!E75</f>
        <v>316155.35545000003</v>
      </c>
      <c r="G14" s="197">
        <f>'Skjema total MA'!F75</f>
        <v>1029015.92077</v>
      </c>
      <c r="H14" s="233">
        <f t="shared" si="2"/>
        <v>225.5</v>
      </c>
      <c r="I14" s="183"/>
      <c r="J14" s="196">
        <f t="shared" si="0"/>
        <v>611815.70837000001</v>
      </c>
      <c r="K14" s="196">
        <f t="shared" si="0"/>
        <v>1364880.72697</v>
      </c>
      <c r="L14" s="231">
        <f t="shared" si="3"/>
        <v>123.1</v>
      </c>
      <c r="M14" s="132"/>
    </row>
    <row r="15" spans="1:13" ht="22.5" x14ac:dyDescent="0.3">
      <c r="A15" s="193" t="s">
        <v>353</v>
      </c>
      <c r="B15" s="104">
        <f>'Skjema total MA'!B134</f>
        <v>36679238.238579996</v>
      </c>
      <c r="C15" s="104">
        <f>'Skjema total MA'!C134</f>
        <v>28836361.399250001</v>
      </c>
      <c r="D15" s="233">
        <f t="shared" si="1"/>
        <v>-21.4</v>
      </c>
      <c r="E15" s="182"/>
      <c r="F15" s="196">
        <f>'Skjema total MA'!E134</f>
        <v>125663.209</v>
      </c>
      <c r="G15" s="196">
        <f>'Skjema total MA'!F134</f>
        <v>63880.035000000003</v>
      </c>
      <c r="H15" s="233">
        <f t="shared" si="2"/>
        <v>-49.2</v>
      </c>
      <c r="I15" s="182"/>
      <c r="J15" s="196">
        <f t="shared" si="0"/>
        <v>36804901.447579995</v>
      </c>
      <c r="K15" s="196">
        <f t="shared" si="0"/>
        <v>28900241.434250001</v>
      </c>
      <c r="L15" s="231">
        <f t="shared" si="3"/>
        <v>-21.5</v>
      </c>
      <c r="M15" s="74"/>
    </row>
    <row r="16" spans="1:13" ht="18.75" x14ac:dyDescent="0.3">
      <c r="A16" s="193" t="s">
        <v>114</v>
      </c>
      <c r="B16" s="104">
        <f>'Skjema total MA'!B36</f>
        <v>2280.221</v>
      </c>
      <c r="C16" s="104">
        <f>'Skjema total MA'!C36</f>
        <v>2738.33</v>
      </c>
      <c r="D16" s="233">
        <f t="shared" si="1"/>
        <v>20.100000000000001</v>
      </c>
      <c r="E16" s="182"/>
      <c r="F16" s="196">
        <f>'Skjema total MA'!E36</f>
        <v>0</v>
      </c>
      <c r="G16" s="196">
        <f>'Skjema total MA'!F36</f>
        <v>0</v>
      </c>
      <c r="H16" s="233" t="str">
        <f t="shared" si="2"/>
        <v xml:space="preserve">    ---- </v>
      </c>
      <c r="I16" s="182"/>
      <c r="J16" s="196">
        <f t="shared" si="0"/>
        <v>2280.221</v>
      </c>
      <c r="K16" s="196">
        <f t="shared" si="0"/>
        <v>2738.33</v>
      </c>
      <c r="L16" s="231">
        <f t="shared" si="3"/>
        <v>20.100000000000001</v>
      </c>
      <c r="M16" s="74"/>
    </row>
    <row r="17" spans="1:23" s="135" customFormat="1" ht="18.75" customHeight="1" x14ac:dyDescent="0.3">
      <c r="A17" s="137" t="s">
        <v>115</v>
      </c>
      <c r="B17" s="110">
        <f>'Tabel 1.1'!B32</f>
        <v>52629694.177747048</v>
      </c>
      <c r="C17" s="198">
        <f>'Tabel 1.1'!C32</f>
        <v>44017265.513955139</v>
      </c>
      <c r="D17" s="233">
        <f t="shared" si="1"/>
        <v>-16.399999999999999</v>
      </c>
      <c r="E17" s="138"/>
      <c r="F17" s="198">
        <f>'Tabel 1.1'!B45</f>
        <v>31876928.36335</v>
      </c>
      <c r="G17" s="198">
        <f>'Tabel 1.1'!C45</f>
        <v>33907907.222580001</v>
      </c>
      <c r="H17" s="233">
        <f t="shared" si="2"/>
        <v>6.4</v>
      </c>
      <c r="I17" s="138"/>
      <c r="J17" s="198">
        <f t="shared" si="0"/>
        <v>84506622.541097045</v>
      </c>
      <c r="K17" s="198">
        <f t="shared" si="0"/>
        <v>77925172.736535132</v>
      </c>
      <c r="L17" s="231">
        <f t="shared" si="3"/>
        <v>-7.8</v>
      </c>
      <c r="M17" s="75"/>
      <c r="N17" s="134"/>
      <c r="O17" s="134"/>
      <c r="Q17" s="136"/>
      <c r="R17" s="136"/>
      <c r="S17" s="136"/>
      <c r="T17" s="136"/>
      <c r="U17" s="136"/>
      <c r="V17" s="136"/>
      <c r="W17" s="136"/>
    </row>
    <row r="18" spans="1:23" ht="18.75" customHeight="1" x14ac:dyDescent="0.3">
      <c r="A18" s="137"/>
      <c r="B18" s="104"/>
      <c r="C18" s="196"/>
      <c r="D18" s="196"/>
      <c r="E18" s="182"/>
      <c r="F18" s="196"/>
      <c r="G18" s="196"/>
      <c r="H18" s="233"/>
      <c r="I18" s="182"/>
      <c r="J18" s="196"/>
      <c r="K18" s="196"/>
      <c r="L18" s="231"/>
      <c r="M18" s="74"/>
    </row>
    <row r="19" spans="1:23" ht="18.75" customHeight="1" x14ac:dyDescent="0.3">
      <c r="A19" s="192" t="s">
        <v>354</v>
      </c>
      <c r="B19" s="200"/>
      <c r="C19" s="203"/>
      <c r="D19" s="196"/>
      <c r="E19" s="182"/>
      <c r="F19" s="203"/>
      <c r="G19" s="203"/>
      <c r="H19" s="233"/>
      <c r="I19" s="182"/>
      <c r="J19" s="196"/>
      <c r="K19" s="196"/>
      <c r="L19" s="231"/>
      <c r="M19" s="74"/>
    </row>
    <row r="20" spans="1:23" ht="18.75" customHeight="1" x14ac:dyDescent="0.3">
      <c r="A20" s="193" t="s">
        <v>108</v>
      </c>
      <c r="B20" s="104">
        <f>'Skjema total MA'!B10</f>
        <v>19308741.75651937</v>
      </c>
      <c r="C20" s="104">
        <f>'Skjema total MA'!C10</f>
        <v>18030106.492632322</v>
      </c>
      <c r="D20" s="233">
        <f>IF(B20=0, "    ---- ", IF(ABS(ROUND(100/B20*C20-100,1))&lt;999,ROUND(100/B20*C20-100,1),IF(ROUND(100/B20*C20-100,1)&gt;999,999,-999)))</f>
        <v>-6.6</v>
      </c>
      <c r="E20" s="182"/>
      <c r="F20" s="196">
        <f>'Skjema total MA'!E10</f>
        <v>49243113.64593</v>
      </c>
      <c r="G20" s="196">
        <f>'Skjema total MA'!F10</f>
        <v>55394936.068370007</v>
      </c>
      <c r="H20" s="233">
        <f t="shared" si="2"/>
        <v>12.5</v>
      </c>
      <c r="I20" s="182"/>
      <c r="J20" s="196">
        <f t="shared" si="0"/>
        <v>68551855.402449369</v>
      </c>
      <c r="K20" s="196">
        <f t="shared" si="0"/>
        <v>73425042.561002329</v>
      </c>
      <c r="L20" s="231">
        <f t="shared" si="3"/>
        <v>7.1</v>
      </c>
      <c r="M20" s="74"/>
    </row>
    <row r="21" spans="1:23" ht="18.75" customHeight="1" x14ac:dyDescent="0.3">
      <c r="A21" s="193" t="s">
        <v>109</v>
      </c>
      <c r="B21" s="104">
        <f>'Skjema total MA'!B29</f>
        <v>46962248.738984928</v>
      </c>
      <c r="C21" s="104">
        <f>'Skjema total MA'!C29</f>
        <v>45964750.093721807</v>
      </c>
      <c r="D21" s="233">
        <f t="shared" ref="D21:D27" si="4">IF(B21=0, "    ---- ", IF(ABS(ROUND(100/B21*C21-100,1))&lt;999,ROUND(100/B21*C21-100,1),IF(ROUND(100/B21*C21-100,1)&gt;999,999,-999)))</f>
        <v>-2.1</v>
      </c>
      <c r="E21" s="182"/>
      <c r="F21" s="196">
        <f>'Skjema total MA'!E29</f>
        <v>21296746.107960001</v>
      </c>
      <c r="G21" s="196">
        <f>'Skjema total MA'!F29</f>
        <v>22869004.873020001</v>
      </c>
      <c r="H21" s="233">
        <f t="shared" si="2"/>
        <v>7.4</v>
      </c>
      <c r="I21" s="182"/>
      <c r="J21" s="196">
        <f t="shared" si="0"/>
        <v>68258994.846944928</v>
      </c>
      <c r="K21" s="196">
        <f t="shared" si="0"/>
        <v>68833754.9667418</v>
      </c>
      <c r="L21" s="231">
        <f t="shared" si="3"/>
        <v>0.8</v>
      </c>
      <c r="M21" s="74"/>
    </row>
    <row r="22" spans="1:23" ht="18.75" x14ac:dyDescent="0.3">
      <c r="A22" s="193" t="s">
        <v>111</v>
      </c>
      <c r="B22" s="104">
        <f>'Skjema total MA'!B87</f>
        <v>390291110.36356461</v>
      </c>
      <c r="C22" s="104">
        <f>'Skjema total MA'!C87</f>
        <v>393428792.2764495</v>
      </c>
      <c r="D22" s="233">
        <f t="shared" si="4"/>
        <v>0.8</v>
      </c>
      <c r="E22" s="182"/>
      <c r="F22" s="196">
        <f>'Skjema total MA'!E87</f>
        <v>294500655.63305002</v>
      </c>
      <c r="G22" s="196">
        <f>'Skjema total MA'!F87</f>
        <v>338275750.26129001</v>
      </c>
      <c r="H22" s="233">
        <f t="shared" si="2"/>
        <v>14.9</v>
      </c>
      <c r="I22" s="182"/>
      <c r="J22" s="196">
        <f t="shared" si="0"/>
        <v>684791765.99661469</v>
      </c>
      <c r="K22" s="196">
        <f t="shared" si="0"/>
        <v>731704542.53773952</v>
      </c>
      <c r="L22" s="231">
        <f t="shared" si="3"/>
        <v>6.9</v>
      </c>
      <c r="M22" s="74"/>
    </row>
    <row r="23" spans="1:23" ht="22.5" x14ac:dyDescent="0.3">
      <c r="A23" s="193" t="s">
        <v>116</v>
      </c>
      <c r="B23" s="104">
        <f>'Skjema total MA'!B89</f>
        <v>2953783.0261034803</v>
      </c>
      <c r="C23" s="104">
        <f>'Skjema total MA'!C89</f>
        <v>3168063.6674366803</v>
      </c>
      <c r="D23" s="233">
        <f t="shared" si="4"/>
        <v>7.3</v>
      </c>
      <c r="E23" s="182"/>
      <c r="F23" s="196">
        <f>'Skjema total MA'!E89</f>
        <v>293104991.97979999</v>
      </c>
      <c r="G23" s="196">
        <f>'Skjema total MA'!F89</f>
        <v>335703451.27889997</v>
      </c>
      <c r="H23" s="233">
        <f t="shared" si="2"/>
        <v>14.5</v>
      </c>
      <c r="I23" s="182"/>
      <c r="J23" s="196">
        <f t="shared" si="0"/>
        <v>296058775.00590348</v>
      </c>
      <c r="K23" s="196">
        <f t="shared" si="0"/>
        <v>338871514.94633663</v>
      </c>
      <c r="L23" s="231">
        <f t="shared" si="3"/>
        <v>14.5</v>
      </c>
      <c r="M23" s="74"/>
    </row>
    <row r="24" spans="1:23" ht="18.75" x14ac:dyDescent="0.3">
      <c r="A24" s="194" t="s">
        <v>113</v>
      </c>
      <c r="B24" s="104">
        <f>'Skjema total MA'!B96</f>
        <v>1242885.31745</v>
      </c>
      <c r="C24" s="104">
        <f>'Skjema total MA'!C96</f>
        <v>1843898.0478699999</v>
      </c>
      <c r="D24" s="233">
        <f t="shared" si="4"/>
        <v>48.4</v>
      </c>
      <c r="E24" s="182"/>
      <c r="F24" s="196">
        <f>'Skjema total MA'!E96</f>
        <v>1395663.65325</v>
      </c>
      <c r="G24" s="196">
        <f>'Skjema total MA'!F96</f>
        <v>2572298.98239</v>
      </c>
      <c r="H24" s="233">
        <f t="shared" si="2"/>
        <v>84.3</v>
      </c>
      <c r="I24" s="182"/>
      <c r="J24" s="196">
        <f t="shared" si="0"/>
        <v>2638548.9706999999</v>
      </c>
      <c r="K24" s="196">
        <f t="shared" si="0"/>
        <v>4416197.0302600004</v>
      </c>
      <c r="L24" s="231">
        <f t="shared" si="3"/>
        <v>67.400000000000006</v>
      </c>
      <c r="M24" s="74"/>
    </row>
    <row r="25" spans="1:23" ht="22.5" x14ac:dyDescent="0.3">
      <c r="A25" s="193" t="s">
        <v>353</v>
      </c>
      <c r="B25" s="104">
        <f>'Skjema total MA'!B135</f>
        <v>576252216.01008999</v>
      </c>
      <c r="C25" s="104">
        <f>'Skjema total MA'!C135</f>
        <v>609403402.69496012</v>
      </c>
      <c r="D25" s="233">
        <f t="shared" si="4"/>
        <v>5.8</v>
      </c>
      <c r="E25" s="182"/>
      <c r="F25" s="196">
        <f>'Skjema total MA'!E135</f>
        <v>2644541.49015</v>
      </c>
      <c r="G25" s="196">
        <f>'Skjema total MA'!F135</f>
        <v>1974716.5681499999</v>
      </c>
      <c r="H25" s="233">
        <f t="shared" si="2"/>
        <v>-25.3</v>
      </c>
      <c r="I25" s="182"/>
      <c r="J25" s="196">
        <f t="shared" si="0"/>
        <v>578896757.50023997</v>
      </c>
      <c r="K25" s="196">
        <f t="shared" si="0"/>
        <v>611378119.26311016</v>
      </c>
      <c r="L25" s="231">
        <f t="shared" si="3"/>
        <v>5.6</v>
      </c>
      <c r="M25" s="74"/>
    </row>
    <row r="26" spans="1:23" ht="18.75" x14ac:dyDescent="0.3">
      <c r="A26" s="193" t="s">
        <v>114</v>
      </c>
      <c r="B26" s="104">
        <f>'Skjema total MA'!B37</f>
        <v>3736067.0150000001</v>
      </c>
      <c r="C26" s="104">
        <f>'Skjema total MA'!C37</f>
        <v>3582221.537</v>
      </c>
      <c r="D26" s="233">
        <f t="shared" si="4"/>
        <v>-4.0999999999999996</v>
      </c>
      <c r="E26" s="182"/>
      <c r="F26" s="196">
        <f>'Skjema total MA'!E37</f>
        <v>0</v>
      </c>
      <c r="G26" s="196">
        <f>'Skjema total MA'!F37</f>
        <v>0</v>
      </c>
      <c r="H26" s="233" t="str">
        <f t="shared" si="2"/>
        <v xml:space="preserve">    ---- </v>
      </c>
      <c r="I26" s="182"/>
      <c r="J26" s="196">
        <f t="shared" si="0"/>
        <v>3736067.0150000001</v>
      </c>
      <c r="K26" s="196">
        <f t="shared" si="0"/>
        <v>3582221.537</v>
      </c>
      <c r="L26" s="231">
        <f t="shared" si="3"/>
        <v>-4.0999999999999996</v>
      </c>
      <c r="M26" s="74"/>
    </row>
    <row r="27" spans="1:23" s="135" customFormat="1" ht="18.75" x14ac:dyDescent="0.3">
      <c r="A27" s="137" t="s">
        <v>117</v>
      </c>
      <c r="B27" s="110">
        <f>'Tabel 1.1'!G32</f>
        <v>1036550383.884159</v>
      </c>
      <c r="C27" s="198">
        <f>'Tabel 1.1'!H32</f>
        <v>1070409273.0947638</v>
      </c>
      <c r="D27" s="233">
        <f t="shared" si="4"/>
        <v>3.3</v>
      </c>
      <c r="E27" s="138"/>
      <c r="F27" s="198">
        <f>'Tabel 1.1'!G45</f>
        <v>367685056.87708998</v>
      </c>
      <c r="G27" s="198">
        <f>'Tabel 1.1'!H45</f>
        <v>418514407.77083004</v>
      </c>
      <c r="H27" s="233">
        <f t="shared" si="2"/>
        <v>13.8</v>
      </c>
      <c r="I27" s="138"/>
      <c r="J27" s="198">
        <f t="shared" si="0"/>
        <v>1404235440.7612491</v>
      </c>
      <c r="K27" s="198">
        <f t="shared" si="0"/>
        <v>1488923680.8655939</v>
      </c>
      <c r="L27" s="231">
        <f t="shared" si="3"/>
        <v>6</v>
      </c>
      <c r="M27" s="75"/>
      <c r="N27" s="134"/>
      <c r="O27" s="134"/>
    </row>
    <row r="28" spans="1:23" ht="18.75" x14ac:dyDescent="0.3">
      <c r="A28" s="137"/>
      <c r="B28" s="104"/>
      <c r="C28" s="196"/>
      <c r="D28" s="233"/>
      <c r="E28" s="182"/>
      <c r="F28" s="196"/>
      <c r="G28" s="196"/>
      <c r="H28" s="233"/>
      <c r="I28" s="182"/>
      <c r="J28" s="196">
        <f t="shared" si="0"/>
        <v>0</v>
      </c>
      <c r="K28" s="196">
        <f t="shared" si="0"/>
        <v>0</v>
      </c>
      <c r="L28" s="231"/>
      <c r="M28" s="74"/>
    </row>
    <row r="29" spans="1:23" ht="22.5" x14ac:dyDescent="0.3">
      <c r="A29" s="192" t="s">
        <v>355</v>
      </c>
      <c r="B29" s="200"/>
      <c r="C29" s="203"/>
      <c r="D29" s="196"/>
      <c r="E29" s="182"/>
      <c r="F29" s="196"/>
      <c r="G29" s="196"/>
      <c r="H29" s="233"/>
      <c r="I29" s="182"/>
      <c r="J29" s="196"/>
      <c r="K29" s="196"/>
      <c r="L29" s="231"/>
      <c r="M29" s="74"/>
    </row>
    <row r="30" spans="1:23" ht="18.75" x14ac:dyDescent="0.3">
      <c r="A30" s="193" t="s">
        <v>108</v>
      </c>
      <c r="B30" s="104">
        <f>'Skjema total MA'!B11</f>
        <v>45521.815999999999</v>
      </c>
      <c r="C30" s="104">
        <f>'Skjema total MA'!C11</f>
        <v>29977</v>
      </c>
      <c r="D30" s="233">
        <f>IF(B30=0, "    ---- ", IF(ABS(ROUND(100/B30*C30-100,1))&lt;999,ROUND(100/B30*C30-100,1),IF(ROUND(100/B30*C30-100,1)&gt;999,999,-999)))</f>
        <v>-34.1</v>
      </c>
      <c r="E30" s="182"/>
      <c r="F30" s="196">
        <f>'Skjema total MA'!E11</f>
        <v>230644.28218000001</v>
      </c>
      <c r="G30" s="196">
        <f>'Skjema total MA'!F11</f>
        <v>259078.51036999997</v>
      </c>
      <c r="H30" s="233">
        <f t="shared" si="2"/>
        <v>12.3</v>
      </c>
      <c r="I30" s="182"/>
      <c r="J30" s="196">
        <f t="shared" si="0"/>
        <v>276166.09818000003</v>
      </c>
      <c r="K30" s="196">
        <f t="shared" si="0"/>
        <v>289055.51036999997</v>
      </c>
      <c r="L30" s="231">
        <f t="shared" si="3"/>
        <v>4.7</v>
      </c>
      <c r="M30" s="74"/>
    </row>
    <row r="31" spans="1:23" ht="18.75" x14ac:dyDescent="0.3">
      <c r="A31" s="193" t="s">
        <v>109</v>
      </c>
      <c r="B31" s="104">
        <f>'Skjema total MA'!B34</f>
        <v>21812.762000000002</v>
      </c>
      <c r="C31" s="104">
        <f>'Skjema total MA'!C34</f>
        <v>14222.078000000001</v>
      </c>
      <c r="D31" s="233">
        <f t="shared" ref="D31:D38" si="5">IF(B31=0, "    ---- ", IF(ABS(ROUND(100/B31*C31-100,1))&lt;999,ROUND(100/B31*C31-100,1),IF(ROUND(100/B31*C31-100,1)&gt;999,999,-999)))</f>
        <v>-34.799999999999997</v>
      </c>
      <c r="E31" s="182"/>
      <c r="F31" s="196">
        <f>'Skjema total MA'!E34</f>
        <v>56709.114930000003</v>
      </c>
      <c r="G31" s="196">
        <f>'Skjema total MA'!F34</f>
        <v>10888.071449999998</v>
      </c>
      <c r="H31" s="233">
        <f t="shared" si="2"/>
        <v>-80.8</v>
      </c>
      <c r="I31" s="182"/>
      <c r="J31" s="196">
        <f t="shared" si="0"/>
        <v>78521.876929999999</v>
      </c>
      <c r="K31" s="196">
        <f t="shared" si="0"/>
        <v>25110.149449999997</v>
      </c>
      <c r="L31" s="231">
        <f t="shared" si="3"/>
        <v>-68</v>
      </c>
      <c r="M31" s="74"/>
    </row>
    <row r="32" spans="1:23" ht="18.75" x14ac:dyDescent="0.3">
      <c r="A32" s="193" t="s">
        <v>111</v>
      </c>
      <c r="B32" s="104">
        <f>'Skjema total MA'!B111</f>
        <v>379040.60068999999</v>
      </c>
      <c r="C32" s="104">
        <f>'Skjema total MA'!C111</f>
        <v>664553.65385999996</v>
      </c>
      <c r="D32" s="233">
        <f t="shared" si="5"/>
        <v>75.3</v>
      </c>
      <c r="E32" s="182"/>
      <c r="F32" s="196">
        <f>'Skjema total MA'!E111</f>
        <v>11036026.356990002</v>
      </c>
      <c r="G32" s="196">
        <f>'Skjema total MA'!F111</f>
        <v>14745075.340380002</v>
      </c>
      <c r="H32" s="233">
        <f t="shared" si="2"/>
        <v>33.6</v>
      </c>
      <c r="I32" s="182"/>
      <c r="J32" s="196">
        <f t="shared" si="0"/>
        <v>11415066.957680002</v>
      </c>
      <c r="K32" s="196">
        <f t="shared" si="0"/>
        <v>15409628.994240001</v>
      </c>
      <c r="L32" s="231">
        <f t="shared" si="3"/>
        <v>35</v>
      </c>
      <c r="M32" s="74"/>
    </row>
    <row r="33" spans="1:15" ht="22.5" x14ac:dyDescent="0.3">
      <c r="A33" s="193" t="s">
        <v>353</v>
      </c>
      <c r="B33" s="104">
        <f>'Skjema total MA'!B136</f>
        <v>106107.522</v>
      </c>
      <c r="C33" s="104">
        <f>'Skjema total MA'!C136</f>
        <v>3309007.423</v>
      </c>
      <c r="D33" s="233">
        <f t="shared" si="5"/>
        <v>999</v>
      </c>
      <c r="E33" s="182"/>
      <c r="F33" s="196">
        <f>'Skjema total MA'!E136</f>
        <v>0</v>
      </c>
      <c r="G33" s="196">
        <f>'Skjema total MA'!F136</f>
        <v>-462823.85</v>
      </c>
      <c r="H33" s="233" t="str">
        <f t="shared" si="2"/>
        <v xml:space="preserve">    ---- </v>
      </c>
      <c r="I33" s="182"/>
      <c r="J33" s="196">
        <f t="shared" si="0"/>
        <v>106107.522</v>
      </c>
      <c r="K33" s="196">
        <f t="shared" si="0"/>
        <v>2846183.5729999999</v>
      </c>
      <c r="L33" s="231">
        <f t="shared" si="3"/>
        <v>999</v>
      </c>
      <c r="M33" s="74"/>
    </row>
    <row r="34" spans="1:15" ht="18.75" x14ac:dyDescent="0.3">
      <c r="A34" s="193" t="s">
        <v>114</v>
      </c>
      <c r="B34" s="104">
        <f>'Skjema total MA'!B38</f>
        <v>0</v>
      </c>
      <c r="C34" s="104">
        <f>'Skjema total MA'!C38</f>
        <v>0</v>
      </c>
      <c r="D34" s="233"/>
      <c r="E34" s="182"/>
      <c r="F34" s="196">
        <f>'Skjema total MA'!E38</f>
        <v>0</v>
      </c>
      <c r="G34" s="196">
        <f>'Skjema total MA'!F38</f>
        <v>0</v>
      </c>
      <c r="H34" s="233"/>
      <c r="I34" s="182"/>
      <c r="J34" s="196">
        <f t="shared" si="0"/>
        <v>0</v>
      </c>
      <c r="K34" s="196">
        <f t="shared" si="0"/>
        <v>0</v>
      </c>
      <c r="L34" s="231"/>
      <c r="M34" s="74"/>
    </row>
    <row r="35" spans="1:15" s="135" customFormat="1" ht="18.75" x14ac:dyDescent="0.3">
      <c r="A35" s="137" t="s">
        <v>118</v>
      </c>
      <c r="B35" s="110">
        <f>SUM(B30:B34)</f>
        <v>552482.70068999997</v>
      </c>
      <c r="C35" s="198">
        <f>SUM(C30:C34)</f>
        <v>4017760.1548600001</v>
      </c>
      <c r="D35" s="233">
        <f t="shared" si="5"/>
        <v>627.20000000000005</v>
      </c>
      <c r="E35" s="138"/>
      <c r="F35" s="198">
        <f>SUM(F30:F34)</f>
        <v>11323379.754100002</v>
      </c>
      <c r="G35" s="198">
        <f>SUM(G30:G34)</f>
        <v>14552218.072200002</v>
      </c>
      <c r="H35" s="233">
        <f t="shared" si="2"/>
        <v>28.5</v>
      </c>
      <c r="I35" s="138"/>
      <c r="J35" s="198">
        <f t="shared" si="0"/>
        <v>11875862.454790002</v>
      </c>
      <c r="K35" s="198">
        <f t="shared" si="0"/>
        <v>18569978.227060001</v>
      </c>
      <c r="L35" s="231">
        <f t="shared" si="3"/>
        <v>56.4</v>
      </c>
      <c r="M35" s="75"/>
    </row>
    <row r="36" spans="1:15" ht="18.75" x14ac:dyDescent="0.3">
      <c r="A36" s="137"/>
      <c r="B36" s="110"/>
      <c r="C36" s="198"/>
      <c r="D36" s="233"/>
      <c r="E36" s="138"/>
      <c r="F36" s="198"/>
      <c r="G36" s="198"/>
      <c r="H36" s="233"/>
      <c r="I36" s="138"/>
      <c r="J36" s="196"/>
      <c r="K36" s="196"/>
      <c r="L36" s="231"/>
      <c r="M36" s="74"/>
    </row>
    <row r="37" spans="1:15" ht="22.5" x14ac:dyDescent="0.3">
      <c r="A37" s="137" t="s">
        <v>356</v>
      </c>
      <c r="B37" s="110"/>
      <c r="C37" s="198"/>
      <c r="D37" s="196"/>
      <c r="E37" s="138"/>
      <c r="F37" s="198"/>
      <c r="G37" s="198"/>
      <c r="H37" s="233"/>
      <c r="I37" s="138"/>
      <c r="J37" s="196"/>
      <c r="K37" s="196"/>
      <c r="L37" s="231"/>
      <c r="M37" s="74"/>
    </row>
    <row r="38" spans="1:15" s="135" customFormat="1" ht="18.75" x14ac:dyDescent="0.3">
      <c r="A38" s="137" t="s">
        <v>110</v>
      </c>
      <c r="B38" s="110">
        <f>'Skjema total MA'!B53</f>
        <v>227550.31900000002</v>
      </c>
      <c r="C38" s="110">
        <f>'Skjema total MA'!C53</f>
        <v>155462.67000000001</v>
      </c>
      <c r="D38" s="233">
        <f t="shared" si="5"/>
        <v>-31.7</v>
      </c>
      <c r="E38" s="138"/>
      <c r="F38" s="198"/>
      <c r="G38" s="198"/>
      <c r="H38" s="233"/>
      <c r="I38" s="138"/>
      <c r="J38" s="198">
        <f t="shared" si="0"/>
        <v>227550.31900000002</v>
      </c>
      <c r="K38" s="198">
        <f t="shared" si="0"/>
        <v>155462.67000000001</v>
      </c>
      <c r="L38" s="231">
        <f t="shared" si="3"/>
        <v>-31.7</v>
      </c>
      <c r="M38" s="75"/>
    </row>
    <row r="39" spans="1:15" ht="18.75" x14ac:dyDescent="0.3">
      <c r="A39" s="137"/>
      <c r="B39" s="110"/>
      <c r="C39" s="198"/>
      <c r="D39" s="196"/>
      <c r="E39" s="138"/>
      <c r="F39" s="198"/>
      <c r="G39" s="198"/>
      <c r="H39" s="233"/>
      <c r="I39" s="138"/>
      <c r="J39" s="196"/>
      <c r="K39" s="196"/>
      <c r="L39" s="231"/>
      <c r="M39" s="74"/>
    </row>
    <row r="40" spans="1:15" ht="22.5" x14ac:dyDescent="0.3">
      <c r="A40" s="192" t="s">
        <v>357</v>
      </c>
      <c r="B40" s="200"/>
      <c r="C40" s="203"/>
      <c r="D40" s="196"/>
      <c r="E40" s="182"/>
      <c r="F40" s="196"/>
      <c r="G40" s="196"/>
      <c r="H40" s="233"/>
      <c r="I40" s="182"/>
      <c r="J40" s="196"/>
      <c r="K40" s="196"/>
      <c r="L40" s="231"/>
      <c r="M40" s="74"/>
    </row>
    <row r="41" spans="1:15" ht="18.75" x14ac:dyDescent="0.3">
      <c r="A41" s="193" t="s">
        <v>108</v>
      </c>
      <c r="B41" s="104">
        <f>'Skjema total MA'!B12</f>
        <v>4903</v>
      </c>
      <c r="C41" s="104">
        <f>'Skjema total MA'!C12</f>
        <v>2399</v>
      </c>
      <c r="D41" s="233">
        <f>IF(B41=0, "    ---- ", IF(ABS(ROUND(100/B41*C41-100,1))&lt;999,ROUND(100/B41*C41-100,1),IF(ROUND(100/B41*C41-100,1)&gt;999,999,-999)))</f>
        <v>-51.1</v>
      </c>
      <c r="E41" s="182"/>
      <c r="F41" s="196">
        <f>'Skjema total MA'!E12</f>
        <v>168556.18584999998</v>
      </c>
      <c r="G41" s="196">
        <f>'Skjema total MA'!F12</f>
        <v>196657.65009000001</v>
      </c>
      <c r="H41" s="233">
        <f t="shared" si="2"/>
        <v>16.7</v>
      </c>
      <c r="I41" s="182"/>
      <c r="J41" s="196">
        <f t="shared" si="0"/>
        <v>173459.18584999998</v>
      </c>
      <c r="K41" s="196">
        <f t="shared" si="0"/>
        <v>199056.65009000001</v>
      </c>
      <c r="L41" s="231">
        <f t="shared" si="3"/>
        <v>14.8</v>
      </c>
      <c r="M41" s="74"/>
    </row>
    <row r="42" spans="1:15" ht="18.75" x14ac:dyDescent="0.3">
      <c r="A42" s="193" t="s">
        <v>109</v>
      </c>
      <c r="B42" s="104">
        <f>'Skjema total MA'!B35</f>
        <v>-14995.950700000001</v>
      </c>
      <c r="C42" s="104">
        <f>'Skjema total MA'!C35</f>
        <v>-77011.543429999991</v>
      </c>
      <c r="D42" s="233">
        <f t="shared" ref="D42:D46" si="6">IF(B42=0, "    ---- ", IF(ABS(ROUND(100/B42*C42-100,1))&lt;999,ROUND(100/B42*C42-100,1),IF(ROUND(100/B42*C42-100,1)&gt;999,999,-999)))</f>
        <v>413.5</v>
      </c>
      <c r="E42" s="182"/>
      <c r="F42" s="196">
        <f>'Skjema total MA'!E35</f>
        <v>88011.717409999983</v>
      </c>
      <c r="G42" s="196">
        <f>'Skjema total MA'!F35</f>
        <v>115743.15936000002</v>
      </c>
      <c r="H42" s="233">
        <f t="shared" si="2"/>
        <v>31.5</v>
      </c>
      <c r="I42" s="182"/>
      <c r="J42" s="196">
        <f t="shared" si="0"/>
        <v>73015.766709999982</v>
      </c>
      <c r="K42" s="196">
        <f t="shared" si="0"/>
        <v>38731.615930000029</v>
      </c>
      <c r="L42" s="231">
        <f t="shared" si="3"/>
        <v>-47</v>
      </c>
      <c r="M42" s="74"/>
    </row>
    <row r="43" spans="1:15" ht="18.75" x14ac:dyDescent="0.3">
      <c r="A43" s="193" t="s">
        <v>111</v>
      </c>
      <c r="B43" s="104">
        <f>'Skjema total MA'!B119</f>
        <v>388362.41899999988</v>
      </c>
      <c r="C43" s="104">
        <f>'Skjema total MA'!C119</f>
        <v>735115.97393999994</v>
      </c>
      <c r="D43" s="233">
        <f t="shared" si="6"/>
        <v>89.3</v>
      </c>
      <c r="E43" s="182"/>
      <c r="F43" s="196">
        <f>'Skjema total MA'!E119</f>
        <v>11062987.154130001</v>
      </c>
      <c r="G43" s="196">
        <f>'Skjema total MA'!F119</f>
        <v>14665945.305569999</v>
      </c>
      <c r="H43" s="233">
        <f t="shared" si="2"/>
        <v>32.6</v>
      </c>
      <c r="I43" s="182"/>
      <c r="J43" s="196">
        <f t="shared" si="0"/>
        <v>11451349.57313</v>
      </c>
      <c r="K43" s="196">
        <f t="shared" si="0"/>
        <v>15401061.279509999</v>
      </c>
      <c r="L43" s="231">
        <f t="shared" si="3"/>
        <v>34.5</v>
      </c>
      <c r="M43" s="74"/>
    </row>
    <row r="44" spans="1:15" ht="22.5" x14ac:dyDescent="0.3">
      <c r="A44" s="193" t="s">
        <v>353</v>
      </c>
      <c r="B44" s="104">
        <f>'Skjema total MA'!B137</f>
        <v>288211.58799999999</v>
      </c>
      <c r="C44" s="104">
        <f>'Skjema total MA'!C137</f>
        <v>7708306.0199999996</v>
      </c>
      <c r="D44" s="233">
        <f t="shared" si="6"/>
        <v>999</v>
      </c>
      <c r="E44" s="182"/>
      <c r="F44" s="196">
        <f>'Skjema total MA'!E137</f>
        <v>0</v>
      </c>
      <c r="G44" s="196">
        <f>'Skjema total MA'!F137</f>
        <v>0</v>
      </c>
      <c r="H44" s="233"/>
      <c r="I44" s="182"/>
      <c r="J44" s="196">
        <f t="shared" si="0"/>
        <v>288211.58799999999</v>
      </c>
      <c r="K44" s="196">
        <f t="shared" si="0"/>
        <v>7708306.0199999996</v>
      </c>
      <c r="L44" s="231">
        <f t="shared" si="3"/>
        <v>999</v>
      </c>
      <c r="M44" s="74"/>
    </row>
    <row r="45" spans="1:15" ht="18.75" x14ac:dyDescent="0.3">
      <c r="A45" s="193" t="s">
        <v>114</v>
      </c>
      <c r="B45" s="104">
        <f>'Skjema total MA'!B39</f>
        <v>2</v>
      </c>
      <c r="C45" s="104">
        <f>'Skjema total MA'!C39</f>
        <v>17</v>
      </c>
      <c r="D45" s="233">
        <f t="shared" si="6"/>
        <v>750</v>
      </c>
      <c r="E45" s="182"/>
      <c r="F45" s="196"/>
      <c r="G45" s="196"/>
      <c r="H45" s="233"/>
      <c r="I45" s="182"/>
      <c r="J45" s="196">
        <f t="shared" si="0"/>
        <v>2</v>
      </c>
      <c r="K45" s="196">
        <f t="shared" si="0"/>
        <v>17</v>
      </c>
      <c r="L45" s="231">
        <f t="shared" si="3"/>
        <v>750</v>
      </c>
      <c r="M45" s="74"/>
    </row>
    <row r="46" spans="1:15" s="135" customFormat="1" ht="18.75" x14ac:dyDescent="0.3">
      <c r="A46" s="137" t="s">
        <v>119</v>
      </c>
      <c r="B46" s="110">
        <f>SUM(B41:B45)</f>
        <v>666483.05629999982</v>
      </c>
      <c r="C46" s="198">
        <f>SUM(C41:C45)</f>
        <v>8368826.4505099999</v>
      </c>
      <c r="D46" s="233">
        <f t="shared" si="6"/>
        <v>999</v>
      </c>
      <c r="E46" s="138"/>
      <c r="F46" s="198">
        <f>SUM(F41:F45)</f>
        <v>11319555.057390001</v>
      </c>
      <c r="G46" s="272">
        <f>SUM(G41:G45)</f>
        <v>14978346.115019999</v>
      </c>
      <c r="H46" s="233">
        <f t="shared" si="2"/>
        <v>32.299999999999997</v>
      </c>
      <c r="I46" s="138"/>
      <c r="J46" s="198">
        <f t="shared" si="0"/>
        <v>11986038.11369</v>
      </c>
      <c r="K46" s="198">
        <f t="shared" si="0"/>
        <v>23347172.565529998</v>
      </c>
      <c r="L46" s="231">
        <f t="shared" si="3"/>
        <v>94.8</v>
      </c>
      <c r="M46" s="75"/>
      <c r="N46" s="134"/>
      <c r="O46" s="134"/>
    </row>
    <row r="47" spans="1:15" ht="18.75" x14ac:dyDescent="0.3">
      <c r="A47" s="137"/>
      <c r="B47" s="110"/>
      <c r="C47" s="198"/>
      <c r="D47" s="196"/>
      <c r="E47" s="138"/>
      <c r="F47" s="198"/>
      <c r="G47" s="198"/>
      <c r="H47" s="233"/>
      <c r="I47" s="138"/>
      <c r="J47" s="196"/>
      <c r="K47" s="196"/>
      <c r="L47" s="231"/>
      <c r="M47" s="74"/>
    </row>
    <row r="48" spans="1:15" ht="22.5" x14ac:dyDescent="0.3">
      <c r="A48" s="137" t="s">
        <v>358</v>
      </c>
      <c r="B48" s="110"/>
      <c r="C48" s="198"/>
      <c r="D48" s="196"/>
      <c r="E48" s="138"/>
      <c r="F48" s="198"/>
      <c r="G48" s="198"/>
      <c r="H48" s="233"/>
      <c r="I48" s="138"/>
      <c r="J48" s="196"/>
      <c r="K48" s="196"/>
      <c r="L48" s="231"/>
      <c r="M48" s="74"/>
    </row>
    <row r="49" spans="1:15" s="135" customFormat="1" ht="18.75" x14ac:dyDescent="0.3">
      <c r="A49" s="137" t="s">
        <v>110</v>
      </c>
      <c r="B49" s="110">
        <f>'Skjema total MA'!B56</f>
        <v>167772.37900000002</v>
      </c>
      <c r="C49" s="110">
        <f>'Skjema total MA'!C56</f>
        <v>118718.458</v>
      </c>
      <c r="D49" s="233">
        <f t="shared" ref="D49" si="7">IF(B49=0, "    ---- ", IF(ABS(ROUND(100/B49*C49-100,1))&lt;999,ROUND(100/B49*C49-100,1),IF(ROUND(100/B49*C49-100,1)&gt;999,999,-999)))</f>
        <v>-29.2</v>
      </c>
      <c r="E49" s="138"/>
      <c r="F49" s="198"/>
      <c r="G49" s="198"/>
      <c r="H49" s="233"/>
      <c r="I49" s="138"/>
      <c r="J49" s="198">
        <f>SUM(B49+F49)</f>
        <v>167772.37900000002</v>
      </c>
      <c r="K49" s="198">
        <f>SUM(C49+G49)</f>
        <v>118718.458</v>
      </c>
      <c r="L49" s="231">
        <f t="shared" si="3"/>
        <v>-29.2</v>
      </c>
      <c r="M49" s="75"/>
    </row>
    <row r="50" spans="1:15" ht="18.75" x14ac:dyDescent="0.3">
      <c r="A50" s="137"/>
      <c r="B50" s="104"/>
      <c r="C50" s="196"/>
      <c r="D50" s="196"/>
      <c r="E50" s="182"/>
      <c r="F50" s="196"/>
      <c r="G50" s="196"/>
      <c r="H50" s="233"/>
      <c r="I50" s="182"/>
      <c r="J50" s="196"/>
      <c r="K50" s="196"/>
      <c r="L50" s="231"/>
      <c r="M50" s="74"/>
    </row>
    <row r="51" spans="1:15" ht="21.75" x14ac:dyDescent="0.3">
      <c r="A51" s="192" t="s">
        <v>359</v>
      </c>
      <c r="B51" s="104"/>
      <c r="C51" s="196"/>
      <c r="D51" s="196"/>
      <c r="E51" s="182"/>
      <c r="F51" s="196"/>
      <c r="G51" s="196"/>
      <c r="H51" s="233"/>
      <c r="I51" s="182"/>
      <c r="J51" s="196"/>
      <c r="K51" s="196"/>
      <c r="L51" s="231" t="str">
        <f t="shared" si="3"/>
        <v xml:space="preserve">    ---- </v>
      </c>
      <c r="M51" s="74"/>
    </row>
    <row r="52" spans="1:15" ht="18.75" x14ac:dyDescent="0.3">
      <c r="A52" s="193" t="s">
        <v>108</v>
      </c>
      <c r="B52" s="104">
        <f>B30-B41</f>
        <v>40618.815999999999</v>
      </c>
      <c r="C52" s="196">
        <f>C30-C41</f>
        <v>27578</v>
      </c>
      <c r="D52" s="233">
        <f>IF(B52=0, "    ---- ", IF(ABS(ROUND(100/B52*C52-100,1))&lt;999,ROUND(100/B52*C52-100,1),IF(ROUND(100/B52*C52-100,1)&gt;999,999,-999)))</f>
        <v>-32.1</v>
      </c>
      <c r="E52" s="182"/>
      <c r="F52" s="196">
        <f>F30-F41</f>
        <v>62088.096330000029</v>
      </c>
      <c r="G52" s="196">
        <f>G30-G41</f>
        <v>62420.860279999964</v>
      </c>
      <c r="H52" s="233">
        <f t="shared" si="2"/>
        <v>0.5</v>
      </c>
      <c r="I52" s="182"/>
      <c r="J52" s="196">
        <f t="shared" si="0"/>
        <v>102706.91233000002</v>
      </c>
      <c r="K52" s="196">
        <f t="shared" si="0"/>
        <v>89998.860279999964</v>
      </c>
      <c r="L52" s="231">
        <f t="shared" si="3"/>
        <v>-12.4</v>
      </c>
      <c r="M52" s="74"/>
    </row>
    <row r="53" spans="1:15" ht="18.75" x14ac:dyDescent="0.3">
      <c r="A53" s="193" t="s">
        <v>109</v>
      </c>
      <c r="B53" s="104">
        <f t="shared" ref="B53:C56" si="8">B31-B42</f>
        <v>36808.712700000004</v>
      </c>
      <c r="C53" s="196">
        <f t="shared" si="8"/>
        <v>91233.621429999999</v>
      </c>
      <c r="D53" s="233">
        <f t="shared" ref="D53:D60" si="9">IF(B53=0, "    ---- ", IF(ABS(ROUND(100/B53*C53-100,1))&lt;999,ROUND(100/B53*C53-100,1),IF(ROUND(100/B53*C53-100,1)&gt;999,999,-999)))</f>
        <v>147.9</v>
      </c>
      <c r="E53" s="182"/>
      <c r="F53" s="196">
        <f t="shared" ref="F53:G56" si="10">F31-F42</f>
        <v>-31302.60247999998</v>
      </c>
      <c r="G53" s="196">
        <f t="shared" si="10"/>
        <v>-104855.08791000002</v>
      </c>
      <c r="H53" s="233">
        <f t="shared" si="2"/>
        <v>235</v>
      </c>
      <c r="I53" s="182"/>
      <c r="J53" s="196">
        <f t="shared" si="0"/>
        <v>5506.1102200000241</v>
      </c>
      <c r="K53" s="196">
        <f t="shared" si="0"/>
        <v>-13621.466480000017</v>
      </c>
      <c r="L53" s="231">
        <f t="shared" si="3"/>
        <v>-347.4</v>
      </c>
      <c r="M53" s="74"/>
    </row>
    <row r="54" spans="1:15" ht="18.75" x14ac:dyDescent="0.3">
      <c r="A54" s="193" t="s">
        <v>111</v>
      </c>
      <c r="B54" s="104">
        <f t="shared" si="8"/>
        <v>-9321.818309999886</v>
      </c>
      <c r="C54" s="196">
        <f t="shared" si="8"/>
        <v>-70562.320079999976</v>
      </c>
      <c r="D54" s="233">
        <f t="shared" si="9"/>
        <v>657</v>
      </c>
      <c r="E54" s="182"/>
      <c r="F54" s="196">
        <f t="shared" si="10"/>
        <v>-26960.797139998525</v>
      </c>
      <c r="G54" s="196">
        <f t="shared" si="10"/>
        <v>79130.034810002893</v>
      </c>
      <c r="H54" s="233">
        <f t="shared" si="2"/>
        <v>-393.5</v>
      </c>
      <c r="I54" s="182"/>
      <c r="J54" s="196">
        <f t="shared" si="0"/>
        <v>-36282.615449998411</v>
      </c>
      <c r="K54" s="196">
        <f t="shared" si="0"/>
        <v>8567.7147300029173</v>
      </c>
      <c r="L54" s="231">
        <f t="shared" si="3"/>
        <v>-123.6</v>
      </c>
      <c r="M54" s="74"/>
    </row>
    <row r="55" spans="1:15" ht="22.5" x14ac:dyDescent="0.3">
      <c r="A55" s="193" t="s">
        <v>353</v>
      </c>
      <c r="B55" s="104">
        <f t="shared" si="8"/>
        <v>-182104.06599999999</v>
      </c>
      <c r="C55" s="196">
        <f t="shared" si="8"/>
        <v>-4399298.5969999991</v>
      </c>
      <c r="D55" s="233">
        <f t="shared" si="9"/>
        <v>999</v>
      </c>
      <c r="E55" s="182"/>
      <c r="F55" s="196">
        <f t="shared" si="10"/>
        <v>0</v>
      </c>
      <c r="G55" s="196">
        <f t="shared" si="10"/>
        <v>-462823.85</v>
      </c>
      <c r="H55" s="233" t="str">
        <f t="shared" si="2"/>
        <v xml:space="preserve">    ---- </v>
      </c>
      <c r="I55" s="182"/>
      <c r="J55" s="196">
        <f t="shared" si="0"/>
        <v>-182104.06599999999</v>
      </c>
      <c r="K55" s="196">
        <f t="shared" si="0"/>
        <v>-4862122.4469999988</v>
      </c>
      <c r="L55" s="231">
        <f t="shared" si="3"/>
        <v>999</v>
      </c>
      <c r="M55" s="74"/>
    </row>
    <row r="56" spans="1:15" ht="18.75" x14ac:dyDescent="0.3">
      <c r="A56" s="193" t="s">
        <v>114</v>
      </c>
      <c r="B56" s="104">
        <f t="shared" si="8"/>
        <v>-2</v>
      </c>
      <c r="C56" s="196">
        <f t="shared" si="8"/>
        <v>-17</v>
      </c>
      <c r="D56" s="233">
        <f t="shared" si="9"/>
        <v>750</v>
      </c>
      <c r="E56" s="182"/>
      <c r="F56" s="196">
        <f t="shared" si="10"/>
        <v>0</v>
      </c>
      <c r="G56" s="196">
        <f t="shared" si="10"/>
        <v>0</v>
      </c>
      <c r="H56" s="233"/>
      <c r="I56" s="182"/>
      <c r="J56" s="196">
        <f t="shared" si="0"/>
        <v>-2</v>
      </c>
      <c r="K56" s="196">
        <f t="shared" si="0"/>
        <v>-17</v>
      </c>
      <c r="L56" s="231">
        <f t="shared" si="3"/>
        <v>750</v>
      </c>
      <c r="M56" s="74"/>
    </row>
    <row r="57" spans="1:15" s="135" customFormat="1" ht="18.75" x14ac:dyDescent="0.3">
      <c r="A57" s="137" t="s">
        <v>120</v>
      </c>
      <c r="B57" s="110">
        <f>SUM(B52:B56)</f>
        <v>-114000.35560999988</v>
      </c>
      <c r="C57" s="198">
        <f>SUM(C52:C56)</f>
        <v>-4351066.2956499988</v>
      </c>
      <c r="D57" s="233">
        <f>IF(B57=0, "    ---- ", IF(ABS(ROUND(100/B57*C57-100,1))&lt;999,ROUND(100/B57*C57-100,1),IF(ROUND(100/B57*C57-100,1)&gt;999,999,-999)))</f>
        <v>999</v>
      </c>
      <c r="E57" s="138"/>
      <c r="F57" s="198">
        <f>SUM(F52:F56)</f>
        <v>3824.6967100015245</v>
      </c>
      <c r="G57" s="272">
        <f>SUM(G52:G56)</f>
        <v>-426128.04281999712</v>
      </c>
      <c r="H57" s="233">
        <f t="shared" si="2"/>
        <v>-999</v>
      </c>
      <c r="I57" s="138"/>
      <c r="J57" s="198">
        <f t="shared" si="0"/>
        <v>-110175.65889999835</v>
      </c>
      <c r="K57" s="196">
        <f t="shared" si="0"/>
        <v>-4777194.3384699961</v>
      </c>
      <c r="L57" s="231">
        <f t="shared" si="3"/>
        <v>999</v>
      </c>
      <c r="M57" s="75"/>
      <c r="N57" s="134"/>
      <c r="O57" s="134"/>
    </row>
    <row r="58" spans="1:15" ht="18.75" x14ac:dyDescent="0.3">
      <c r="A58" s="137"/>
      <c r="B58" s="110"/>
      <c r="C58" s="198"/>
      <c r="D58" s="233"/>
      <c r="E58" s="138"/>
      <c r="F58" s="198"/>
      <c r="G58" s="198"/>
      <c r="H58" s="233"/>
      <c r="I58" s="138"/>
      <c r="J58" s="198"/>
      <c r="K58" s="196"/>
      <c r="L58" s="231"/>
      <c r="M58" s="74"/>
    </row>
    <row r="59" spans="1:15" ht="22.5" x14ac:dyDescent="0.3">
      <c r="A59" s="137" t="s">
        <v>360</v>
      </c>
      <c r="B59" s="110"/>
      <c r="C59" s="198"/>
      <c r="D59" s="233"/>
      <c r="E59" s="138"/>
      <c r="F59" s="198"/>
      <c r="G59" s="198"/>
      <c r="H59" s="233"/>
      <c r="I59" s="138"/>
      <c r="J59" s="198"/>
      <c r="K59" s="196"/>
      <c r="L59" s="231"/>
      <c r="M59" s="74"/>
    </row>
    <row r="60" spans="1:15" s="135" customFormat="1" ht="18.75" x14ac:dyDescent="0.3">
      <c r="A60" s="137" t="s">
        <v>110</v>
      </c>
      <c r="B60" s="110">
        <f>B38-B49</f>
        <v>59777.94</v>
      </c>
      <c r="C60" s="198">
        <f>C38-C49</f>
        <v>36744.212000000014</v>
      </c>
      <c r="D60" s="233">
        <f t="shared" si="9"/>
        <v>-38.5</v>
      </c>
      <c r="E60" s="138"/>
      <c r="F60" s="198">
        <f>F38-F49</f>
        <v>0</v>
      </c>
      <c r="G60" s="198">
        <f>G38-G49</f>
        <v>0</v>
      </c>
      <c r="H60" s="233"/>
      <c r="I60" s="138"/>
      <c r="J60" s="198">
        <f t="shared" si="0"/>
        <v>59777.94</v>
      </c>
      <c r="K60" s="196">
        <f t="shared" si="0"/>
        <v>36744.212000000014</v>
      </c>
      <c r="L60" s="231">
        <f t="shared" si="3"/>
        <v>-38.5</v>
      </c>
      <c r="M60" s="75"/>
    </row>
    <row r="61" spans="1:15" s="135" customFormat="1" ht="18.75" x14ac:dyDescent="0.3">
      <c r="A61" s="195"/>
      <c r="B61" s="115"/>
      <c r="C61" s="199"/>
      <c r="D61" s="204"/>
      <c r="E61" s="138"/>
      <c r="F61" s="199"/>
      <c r="G61" s="199"/>
      <c r="H61" s="204"/>
      <c r="I61" s="138"/>
      <c r="J61" s="204"/>
      <c r="K61" s="204"/>
      <c r="L61" s="204"/>
      <c r="M61" s="75"/>
    </row>
    <row r="62" spans="1:15" ht="18.75" x14ac:dyDescent="0.3">
      <c r="A62" s="112" t="s">
        <v>121</v>
      </c>
      <c r="C62" s="139"/>
      <c r="D62" s="139"/>
      <c r="E62" s="139"/>
      <c r="F62" s="139"/>
      <c r="G62" s="112"/>
      <c r="H62" s="74"/>
      <c r="I62" s="112"/>
      <c r="J62" s="112"/>
      <c r="K62" s="112"/>
      <c r="L62" s="74"/>
      <c r="M62" s="74"/>
    </row>
    <row r="63" spans="1:15" ht="18.75" x14ac:dyDescent="0.3">
      <c r="A63" s="112" t="s">
        <v>122</v>
      </c>
      <c r="C63" s="139"/>
      <c r="D63" s="139"/>
      <c r="E63" s="139"/>
      <c r="F63" s="139"/>
      <c r="G63" s="74"/>
      <c r="H63" s="74"/>
      <c r="I63" s="74"/>
      <c r="J63" s="74"/>
      <c r="K63" s="74"/>
      <c r="L63" s="74"/>
      <c r="M63" s="74"/>
    </row>
    <row r="64" spans="1:15" ht="18.75" x14ac:dyDescent="0.3">
      <c r="A64" s="112" t="s">
        <v>101</v>
      </c>
      <c r="B64" s="74"/>
      <c r="C64" s="74"/>
      <c r="D64" s="74"/>
      <c r="E64" s="74"/>
      <c r="F64" s="74"/>
      <c r="G64" s="74"/>
      <c r="H64" s="74"/>
      <c r="I64" s="74"/>
      <c r="J64" s="74"/>
      <c r="K64" s="74"/>
      <c r="L64" s="74"/>
      <c r="M64" s="74"/>
    </row>
    <row r="65" spans="1:13" ht="18.75" x14ac:dyDescent="0.3">
      <c r="A65" s="74"/>
      <c r="C65" s="74"/>
      <c r="D65" s="74"/>
      <c r="E65" s="74"/>
      <c r="F65" s="74"/>
      <c r="G65" s="74"/>
      <c r="H65" s="74"/>
      <c r="I65" s="74"/>
      <c r="J65" s="74"/>
      <c r="K65" s="74"/>
      <c r="L65" s="74"/>
      <c r="M65" s="74"/>
    </row>
    <row r="66" spans="1:13" ht="18.75" x14ac:dyDescent="0.3">
      <c r="A66" s="74"/>
      <c r="B66" s="74"/>
      <c r="C66" s="74"/>
      <c r="D66" s="74"/>
      <c r="E66" s="74"/>
      <c r="F66" s="74"/>
      <c r="G66" s="74"/>
      <c r="H66" s="74"/>
      <c r="I66" s="74"/>
      <c r="J66" s="74"/>
      <c r="K66" s="74"/>
      <c r="L66" s="74"/>
      <c r="M66" s="74"/>
    </row>
    <row r="67" spans="1:13" ht="18.75" x14ac:dyDescent="0.3">
      <c r="A67" s="74"/>
      <c r="B67" s="74"/>
      <c r="C67" s="74"/>
      <c r="D67" s="74"/>
      <c r="E67" s="74"/>
      <c r="F67" s="74"/>
      <c r="G67" s="74"/>
      <c r="H67" s="74"/>
      <c r="I67" s="74"/>
      <c r="J67" s="74"/>
      <c r="K67" s="74"/>
      <c r="L67" s="74"/>
      <c r="M67" s="74"/>
    </row>
    <row r="68" spans="1:13" ht="18.75" x14ac:dyDescent="0.3">
      <c r="A68" s="74"/>
      <c r="B68" s="74"/>
      <c r="C68" s="74"/>
      <c r="D68" s="74"/>
      <c r="E68" s="74"/>
      <c r="F68" s="74"/>
      <c r="G68" s="74"/>
      <c r="H68" s="74"/>
      <c r="I68" s="74"/>
      <c r="J68" s="74"/>
      <c r="K68" s="74"/>
      <c r="L68" s="74"/>
      <c r="M68" s="74"/>
    </row>
    <row r="69" spans="1:13" ht="18.75" x14ac:dyDescent="0.3">
      <c r="A69" s="74"/>
      <c r="B69" s="74"/>
      <c r="C69" s="74"/>
      <c r="D69" s="74"/>
      <c r="E69" s="74"/>
      <c r="F69" s="74"/>
      <c r="G69" s="74"/>
      <c r="H69" s="74"/>
      <c r="I69" s="74"/>
      <c r="J69" s="74"/>
      <c r="K69" s="74"/>
      <c r="L69" s="74"/>
      <c r="M69" s="74"/>
    </row>
    <row r="70" spans="1:13" ht="18.75" x14ac:dyDescent="0.3">
      <c r="A70" s="74"/>
      <c r="B70" s="74"/>
      <c r="C70" s="74"/>
      <c r="D70" s="74"/>
      <c r="E70" s="74"/>
      <c r="F70" s="74"/>
      <c r="G70" s="74"/>
      <c r="H70" s="74"/>
      <c r="I70" s="74"/>
      <c r="J70" s="74"/>
      <c r="K70" s="74"/>
      <c r="L70" s="74"/>
      <c r="M70" s="74"/>
    </row>
    <row r="71" spans="1:13" ht="18.75" x14ac:dyDescent="0.3">
      <c r="A71" s="74"/>
      <c r="B71" s="74"/>
      <c r="C71" s="74"/>
      <c r="D71" s="74"/>
      <c r="E71" s="74"/>
      <c r="F71" s="74"/>
      <c r="G71" s="74"/>
      <c r="H71" s="74"/>
      <c r="I71" s="74"/>
      <c r="J71" s="74"/>
      <c r="K71" s="74"/>
      <c r="L71" s="74"/>
      <c r="M71" s="74"/>
    </row>
    <row r="72" spans="1:13" ht="18.75" x14ac:dyDescent="0.3">
      <c r="A72" s="74"/>
      <c r="B72" s="74"/>
      <c r="C72" s="74"/>
      <c r="D72" s="74"/>
      <c r="E72" s="74"/>
      <c r="F72" s="74"/>
      <c r="G72" s="74"/>
      <c r="H72" s="74"/>
      <c r="I72" s="74"/>
      <c r="J72" s="74"/>
      <c r="K72" s="74"/>
      <c r="L72" s="74"/>
      <c r="M72" s="74"/>
    </row>
    <row r="73" spans="1:13" ht="18.75" x14ac:dyDescent="0.3">
      <c r="A73" s="74"/>
      <c r="B73" s="74"/>
      <c r="C73" s="74"/>
      <c r="D73" s="74"/>
      <c r="E73" s="74"/>
      <c r="F73" s="74"/>
      <c r="G73" s="74"/>
      <c r="H73" s="74"/>
      <c r="I73" s="74"/>
      <c r="J73" s="74"/>
      <c r="K73" s="74"/>
      <c r="L73" s="74"/>
      <c r="M73" s="74"/>
    </row>
    <row r="74" spans="1:13" ht="18.75" x14ac:dyDescent="0.3">
      <c r="A74" s="74"/>
      <c r="B74" s="74"/>
      <c r="C74" s="74"/>
      <c r="D74" s="74"/>
      <c r="E74" s="74"/>
      <c r="F74" s="74"/>
      <c r="G74" s="74"/>
      <c r="H74" s="74"/>
      <c r="I74" s="74"/>
      <c r="J74" s="74"/>
      <c r="K74" s="74"/>
      <c r="L74" s="74"/>
      <c r="M74" s="74"/>
    </row>
    <row r="75" spans="1:13" ht="18.75" x14ac:dyDescent="0.3">
      <c r="A75" s="74"/>
      <c r="B75" s="74"/>
      <c r="C75" s="74"/>
      <c r="D75" s="74"/>
      <c r="E75" s="74"/>
      <c r="F75" s="74"/>
      <c r="G75" s="74"/>
      <c r="H75" s="74"/>
      <c r="I75" s="74"/>
      <c r="J75" s="74"/>
      <c r="K75" s="74"/>
      <c r="L75" s="74"/>
      <c r="M75" s="74"/>
    </row>
    <row r="76" spans="1:13" ht="18.75" x14ac:dyDescent="0.3">
      <c r="A76" s="74"/>
      <c r="B76" s="74"/>
      <c r="C76" s="74"/>
      <c r="D76" s="74"/>
      <c r="E76" s="74"/>
      <c r="F76" s="74"/>
      <c r="G76" s="74"/>
      <c r="H76" s="74"/>
      <c r="I76" s="74"/>
      <c r="J76" s="74"/>
      <c r="K76" s="74"/>
      <c r="L76" s="74"/>
      <c r="M76" s="74"/>
    </row>
    <row r="77" spans="1:13" ht="18.75" x14ac:dyDescent="0.3">
      <c r="A77" s="74"/>
      <c r="B77" s="74"/>
      <c r="C77" s="74"/>
      <c r="D77" s="74"/>
      <c r="E77" s="74"/>
      <c r="F77" s="74"/>
      <c r="G77" s="74"/>
      <c r="H77" s="74"/>
      <c r="I77" s="74"/>
      <c r="J77" s="74"/>
      <c r="K77" s="74"/>
      <c r="L77" s="74"/>
      <c r="M77" s="74"/>
    </row>
    <row r="78" spans="1:13" ht="18.75" x14ac:dyDescent="0.3">
      <c r="A78" s="74"/>
      <c r="B78" s="74"/>
      <c r="C78" s="74"/>
      <c r="D78" s="74"/>
      <c r="E78" s="74"/>
      <c r="F78" s="74"/>
      <c r="G78" s="74"/>
      <c r="H78" s="74"/>
      <c r="I78" s="74"/>
      <c r="J78" s="74"/>
      <c r="K78" s="74"/>
      <c r="L78" s="74"/>
      <c r="M78" s="74"/>
    </row>
    <row r="79" spans="1:13" ht="18.75" x14ac:dyDescent="0.3">
      <c r="A79" s="74"/>
      <c r="B79" s="74"/>
      <c r="C79" s="74"/>
      <c r="D79" s="74"/>
      <c r="E79" s="74"/>
      <c r="F79" s="74"/>
      <c r="G79" s="74"/>
      <c r="H79" s="74"/>
      <c r="I79" s="74"/>
      <c r="J79" s="74"/>
      <c r="K79" s="74"/>
      <c r="L79" s="74"/>
      <c r="M79" s="74"/>
    </row>
    <row r="80" spans="1:13" ht="18.75" x14ac:dyDescent="0.3">
      <c r="A80" s="74"/>
      <c r="B80" s="74"/>
      <c r="C80" s="74"/>
      <c r="D80" s="74"/>
      <c r="E80" s="74"/>
      <c r="F80" s="74"/>
      <c r="G80" s="74"/>
      <c r="H80" s="74"/>
      <c r="I80" s="74"/>
      <c r="J80" s="74"/>
      <c r="K80" s="74"/>
      <c r="L80" s="74"/>
      <c r="M80" s="74"/>
    </row>
    <row r="81" spans="1:13" ht="18.75" x14ac:dyDescent="0.3">
      <c r="A81" s="74"/>
      <c r="B81" s="74"/>
      <c r="C81" s="74"/>
      <c r="D81" s="74"/>
      <c r="E81" s="74"/>
      <c r="F81" s="74"/>
      <c r="G81" s="74"/>
      <c r="H81" s="74"/>
      <c r="I81" s="74"/>
      <c r="J81" s="74"/>
      <c r="K81" s="74"/>
      <c r="L81" s="74"/>
      <c r="M81" s="74"/>
    </row>
    <row r="82" spans="1:13" ht="18.75" x14ac:dyDescent="0.3">
      <c r="A82" s="74"/>
      <c r="B82" s="74"/>
      <c r="C82" s="74"/>
      <c r="D82" s="74"/>
      <c r="E82" s="74"/>
      <c r="F82" s="74"/>
      <c r="G82" s="74"/>
      <c r="H82" s="74"/>
      <c r="I82" s="74"/>
      <c r="J82" s="74"/>
      <c r="K82" s="74"/>
      <c r="L82" s="74"/>
      <c r="M82" s="74"/>
    </row>
    <row r="83" spans="1:13" ht="18.75" x14ac:dyDescent="0.3">
      <c r="A83" s="74"/>
      <c r="B83" s="74"/>
      <c r="C83" s="74"/>
      <c r="D83" s="74"/>
      <c r="E83" s="74"/>
      <c r="F83" s="74"/>
      <c r="G83" s="74"/>
      <c r="H83" s="74"/>
      <c r="I83" s="74"/>
      <c r="J83" s="74"/>
      <c r="K83" s="74"/>
      <c r="L83" s="74"/>
      <c r="M83" s="74"/>
    </row>
    <row r="84" spans="1:13" ht="18.75" x14ac:dyDescent="0.3">
      <c r="A84" s="74"/>
      <c r="B84" s="74"/>
      <c r="C84" s="74"/>
      <c r="D84" s="74"/>
      <c r="E84" s="74"/>
      <c r="F84" s="74"/>
      <c r="G84" s="74"/>
      <c r="H84" s="74"/>
      <c r="I84" s="74"/>
      <c r="J84" s="74"/>
      <c r="K84" s="74"/>
      <c r="L84" s="74"/>
      <c r="M84" s="74"/>
    </row>
    <row r="85" spans="1:13" ht="18.75" x14ac:dyDescent="0.3">
      <c r="A85" s="74"/>
      <c r="B85" s="74"/>
      <c r="C85" s="74"/>
      <c r="D85" s="74"/>
      <c r="E85" s="74"/>
      <c r="F85" s="74"/>
      <c r="G85" s="74"/>
      <c r="H85" s="74"/>
      <c r="I85" s="74"/>
      <c r="J85" s="74"/>
      <c r="K85" s="74"/>
      <c r="L85" s="74"/>
      <c r="M85" s="74"/>
    </row>
    <row r="86" spans="1:13" ht="18.75" x14ac:dyDescent="0.3">
      <c r="A86" s="74"/>
      <c r="B86" s="74"/>
      <c r="C86" s="74"/>
      <c r="D86" s="74"/>
      <c r="E86" s="74"/>
      <c r="F86" s="74"/>
      <c r="G86" s="74"/>
      <c r="H86" s="74"/>
      <c r="I86" s="74"/>
      <c r="J86" s="74"/>
      <c r="K86" s="74"/>
      <c r="L86" s="74"/>
      <c r="M86" s="74"/>
    </row>
    <row r="87" spans="1:13" ht="18.75" x14ac:dyDescent="0.3">
      <c r="A87" s="74"/>
      <c r="B87" s="74"/>
      <c r="C87" s="74"/>
      <c r="D87" s="74"/>
      <c r="E87" s="74"/>
      <c r="F87" s="74"/>
      <c r="G87" s="74"/>
      <c r="H87" s="74"/>
      <c r="I87" s="74"/>
      <c r="J87" s="74"/>
      <c r="K87" s="74"/>
      <c r="L87" s="74"/>
      <c r="M87" s="74"/>
    </row>
    <row r="88" spans="1:13" ht="18.75" x14ac:dyDescent="0.3">
      <c r="A88" s="74"/>
      <c r="B88" s="74"/>
      <c r="C88" s="74"/>
      <c r="D88" s="74"/>
      <c r="E88" s="74"/>
      <c r="F88" s="74"/>
      <c r="G88" s="74"/>
      <c r="H88" s="74"/>
      <c r="I88" s="74"/>
      <c r="J88" s="74"/>
      <c r="K88" s="74"/>
      <c r="L88" s="74"/>
      <c r="M88" s="74"/>
    </row>
    <row r="89" spans="1:13" ht="18.75" x14ac:dyDescent="0.3">
      <c r="A89" s="74"/>
      <c r="B89" s="74"/>
      <c r="C89" s="74"/>
      <c r="D89" s="74"/>
      <c r="E89" s="74"/>
      <c r="F89" s="74"/>
      <c r="G89" s="74"/>
      <c r="H89" s="74"/>
      <c r="I89" s="74"/>
      <c r="J89" s="74"/>
      <c r="K89" s="74"/>
      <c r="L89" s="74"/>
      <c r="M89" s="74"/>
    </row>
    <row r="90" spans="1:13" ht="18.75" x14ac:dyDescent="0.3">
      <c r="A90" s="74"/>
      <c r="B90" s="74"/>
      <c r="C90" s="74"/>
      <c r="D90" s="74"/>
      <c r="E90" s="74"/>
      <c r="F90" s="74"/>
      <c r="G90" s="74"/>
      <c r="H90" s="74"/>
      <c r="I90" s="74"/>
      <c r="J90" s="74"/>
      <c r="K90" s="74"/>
      <c r="L90" s="74"/>
      <c r="M90" s="74"/>
    </row>
    <row r="91" spans="1:13" ht="18.75" x14ac:dyDescent="0.3">
      <c r="A91" s="74"/>
      <c r="B91" s="74"/>
      <c r="C91" s="74"/>
      <c r="D91" s="74"/>
      <c r="E91" s="74"/>
      <c r="F91" s="74"/>
      <c r="G91" s="74"/>
      <c r="H91" s="74"/>
      <c r="I91" s="74"/>
      <c r="J91" s="74"/>
      <c r="K91" s="74"/>
      <c r="L91" s="74"/>
      <c r="M91" s="74"/>
    </row>
    <row r="92" spans="1:13" ht="18.75" x14ac:dyDescent="0.3">
      <c r="A92" s="74"/>
      <c r="B92" s="74"/>
      <c r="C92" s="74"/>
      <c r="D92" s="74"/>
      <c r="E92" s="74"/>
      <c r="F92" s="74"/>
      <c r="G92" s="74"/>
      <c r="H92" s="74"/>
      <c r="I92" s="74"/>
      <c r="J92" s="74"/>
      <c r="K92" s="74"/>
      <c r="L92" s="74"/>
      <c r="M92" s="74"/>
    </row>
    <row r="93" spans="1:13" ht="18.75" x14ac:dyDescent="0.3">
      <c r="A93" s="74"/>
      <c r="B93" s="74"/>
      <c r="C93" s="74"/>
      <c r="D93" s="74"/>
      <c r="E93" s="74"/>
      <c r="F93" s="74"/>
      <c r="G93" s="74"/>
      <c r="H93" s="74"/>
      <c r="I93" s="74"/>
      <c r="J93" s="74"/>
      <c r="K93" s="74"/>
      <c r="L93" s="74"/>
      <c r="M93" s="74"/>
    </row>
    <row r="94" spans="1:13" ht="18.75" x14ac:dyDescent="0.3">
      <c r="A94" s="74"/>
      <c r="B94" s="74"/>
      <c r="C94" s="74"/>
      <c r="D94" s="74"/>
      <c r="E94" s="74"/>
      <c r="F94" s="74"/>
      <c r="G94" s="74"/>
      <c r="H94" s="74"/>
      <c r="I94" s="74"/>
      <c r="J94" s="74"/>
      <c r="K94" s="74"/>
      <c r="L94" s="74"/>
      <c r="M94" s="74"/>
    </row>
    <row r="95" spans="1:13" ht="18.75" x14ac:dyDescent="0.3">
      <c r="A95" s="74"/>
      <c r="B95" s="74"/>
      <c r="C95" s="74"/>
      <c r="D95" s="74"/>
      <c r="E95" s="74"/>
      <c r="F95" s="74"/>
      <c r="G95" s="74"/>
      <c r="H95" s="74"/>
      <c r="I95" s="74"/>
      <c r="J95" s="74"/>
      <c r="K95" s="74"/>
      <c r="L95" s="74"/>
      <c r="M95" s="74"/>
    </row>
    <row r="96" spans="1:13" ht="18.75" x14ac:dyDescent="0.3">
      <c r="A96" s="74"/>
      <c r="B96" s="74"/>
      <c r="C96" s="74"/>
      <c r="D96" s="74"/>
      <c r="E96" s="74"/>
      <c r="F96" s="74"/>
      <c r="G96" s="74"/>
      <c r="H96" s="74"/>
      <c r="I96" s="74"/>
      <c r="J96" s="74"/>
      <c r="K96" s="74"/>
      <c r="L96" s="74"/>
      <c r="M96" s="74"/>
    </row>
    <row r="97" spans="1:13" ht="18.75" x14ac:dyDescent="0.3">
      <c r="A97" s="74"/>
      <c r="B97" s="74"/>
      <c r="C97" s="74"/>
      <c r="D97" s="74"/>
      <c r="E97" s="74"/>
      <c r="F97" s="74"/>
      <c r="G97" s="74"/>
      <c r="H97" s="74"/>
      <c r="I97" s="74"/>
      <c r="J97" s="74"/>
      <c r="K97" s="74"/>
      <c r="L97" s="74"/>
      <c r="M97" s="74"/>
    </row>
    <row r="98" spans="1:13" ht="18.75" x14ac:dyDescent="0.3">
      <c r="A98" s="74"/>
      <c r="B98" s="74"/>
      <c r="C98" s="74"/>
      <c r="D98" s="74"/>
      <c r="E98" s="74"/>
      <c r="F98" s="74"/>
      <c r="G98" s="74"/>
      <c r="H98" s="74"/>
      <c r="I98" s="74"/>
      <c r="J98" s="74"/>
      <c r="K98" s="74"/>
      <c r="L98" s="74"/>
      <c r="M98" s="74"/>
    </row>
    <row r="99" spans="1:13" ht="18.75" x14ac:dyDescent="0.3">
      <c r="A99" s="74"/>
      <c r="B99" s="74"/>
      <c r="C99" s="74"/>
      <c r="D99" s="74"/>
      <c r="E99" s="74"/>
      <c r="F99" s="74"/>
      <c r="G99" s="74"/>
      <c r="H99" s="74"/>
      <c r="I99" s="74"/>
      <c r="J99" s="74"/>
      <c r="K99" s="74"/>
      <c r="L99" s="74"/>
      <c r="M99" s="74"/>
    </row>
    <row r="100" spans="1:13" ht="18.75" x14ac:dyDescent="0.3">
      <c r="A100" s="74"/>
      <c r="B100" s="74"/>
      <c r="C100" s="74"/>
      <c r="D100" s="74"/>
      <c r="E100" s="74"/>
      <c r="F100" s="74"/>
      <c r="G100" s="74"/>
      <c r="H100" s="74"/>
      <c r="I100" s="74"/>
      <c r="J100" s="74"/>
      <c r="K100" s="74"/>
      <c r="L100" s="74"/>
      <c r="M100" s="74"/>
    </row>
    <row r="101" spans="1:13" ht="18.75" x14ac:dyDescent="0.3">
      <c r="A101" s="74"/>
      <c r="B101" s="74"/>
      <c r="C101" s="74"/>
      <c r="D101" s="74"/>
      <c r="E101" s="74"/>
      <c r="F101" s="74"/>
      <c r="G101" s="74"/>
      <c r="H101" s="74"/>
      <c r="I101" s="74"/>
      <c r="J101" s="74"/>
      <c r="K101" s="74"/>
      <c r="L101" s="74"/>
      <c r="M101" s="74"/>
    </row>
    <row r="102" spans="1:13" ht="18.75" x14ac:dyDescent="0.3">
      <c r="A102" s="74"/>
      <c r="B102" s="74"/>
      <c r="C102" s="74"/>
      <c r="D102" s="74"/>
      <c r="E102" s="74"/>
      <c r="F102" s="74"/>
      <c r="G102" s="74"/>
      <c r="H102" s="74"/>
      <c r="I102" s="74"/>
      <c r="J102" s="74"/>
      <c r="K102" s="74"/>
      <c r="L102" s="74"/>
      <c r="M102" s="74"/>
    </row>
    <row r="103" spans="1:13" ht="18.75" x14ac:dyDescent="0.3">
      <c r="A103" s="74"/>
      <c r="B103" s="74"/>
      <c r="C103" s="74"/>
      <c r="D103" s="74"/>
      <c r="E103" s="74"/>
      <c r="F103" s="74"/>
      <c r="G103" s="74"/>
      <c r="H103" s="74"/>
      <c r="I103" s="74"/>
      <c r="J103" s="74"/>
      <c r="K103" s="74"/>
      <c r="L103" s="74"/>
      <c r="M103" s="74"/>
    </row>
    <row r="104" spans="1:13" ht="18.75" x14ac:dyDescent="0.3">
      <c r="A104" s="74"/>
      <c r="B104" s="74"/>
      <c r="C104" s="74"/>
      <c r="D104" s="74"/>
      <c r="E104" s="74"/>
      <c r="F104" s="74"/>
      <c r="G104" s="74"/>
      <c r="H104" s="74"/>
      <c r="I104" s="74"/>
      <c r="J104" s="74"/>
      <c r="K104" s="74"/>
      <c r="L104" s="74"/>
      <c r="M104" s="74"/>
    </row>
    <row r="105" spans="1:13" ht="18.75" x14ac:dyDescent="0.3">
      <c r="A105" s="74"/>
      <c r="B105" s="74"/>
      <c r="C105" s="74"/>
      <c r="D105" s="74"/>
      <c r="E105" s="74"/>
      <c r="F105" s="74"/>
      <c r="G105" s="74"/>
      <c r="H105" s="74"/>
      <c r="I105" s="74"/>
      <c r="J105" s="74"/>
      <c r="K105" s="74"/>
      <c r="L105" s="74"/>
      <c r="M105" s="74"/>
    </row>
    <row r="106" spans="1:13" ht="18.75" x14ac:dyDescent="0.3">
      <c r="A106" s="74"/>
      <c r="B106" s="74"/>
      <c r="C106" s="74"/>
      <c r="D106" s="74"/>
      <c r="E106" s="74"/>
      <c r="F106" s="74"/>
      <c r="G106" s="74"/>
      <c r="H106" s="74"/>
      <c r="I106" s="74"/>
      <c r="J106" s="74"/>
      <c r="K106" s="74"/>
      <c r="L106" s="74"/>
      <c r="M106" s="74"/>
    </row>
    <row r="107" spans="1:13" ht="18.75" x14ac:dyDescent="0.3">
      <c r="A107" s="74"/>
      <c r="B107" s="74"/>
      <c r="C107" s="74"/>
      <c r="D107" s="74"/>
      <c r="E107" s="74"/>
      <c r="F107" s="74"/>
      <c r="G107" s="74"/>
      <c r="H107" s="74"/>
      <c r="I107" s="74"/>
      <c r="J107" s="74"/>
      <c r="K107" s="74"/>
      <c r="L107" s="74"/>
      <c r="M107" s="74"/>
    </row>
    <row r="108" spans="1:13" ht="18.75" x14ac:dyDescent="0.3">
      <c r="A108" s="74"/>
      <c r="B108" s="74"/>
      <c r="C108" s="74"/>
      <c r="D108" s="74"/>
      <c r="E108" s="74"/>
      <c r="F108" s="74"/>
      <c r="G108" s="74"/>
      <c r="H108" s="74"/>
      <c r="I108" s="74"/>
      <c r="J108" s="74"/>
      <c r="K108" s="74"/>
      <c r="L108" s="74"/>
      <c r="M108" s="74"/>
    </row>
    <row r="109" spans="1:13" ht="18.75" x14ac:dyDescent="0.3">
      <c r="A109" s="74"/>
      <c r="B109" s="74"/>
      <c r="C109" s="74"/>
      <c r="D109" s="74"/>
      <c r="E109" s="74"/>
      <c r="F109" s="74"/>
      <c r="G109" s="74"/>
      <c r="H109" s="74"/>
      <c r="I109" s="74"/>
      <c r="J109" s="74"/>
      <c r="K109" s="74"/>
      <c r="L109" s="74"/>
      <c r="M109" s="74"/>
    </row>
    <row r="110" spans="1:13" ht="18.75" x14ac:dyDescent="0.3">
      <c r="A110" s="74"/>
      <c r="B110" s="74"/>
      <c r="C110" s="74"/>
      <c r="D110" s="74"/>
      <c r="E110" s="74"/>
      <c r="F110" s="74"/>
      <c r="G110" s="74"/>
      <c r="H110" s="74"/>
      <c r="I110" s="74"/>
      <c r="J110" s="74"/>
      <c r="K110" s="74"/>
      <c r="L110" s="74"/>
      <c r="M110" s="74"/>
    </row>
    <row r="111" spans="1:13" ht="18.75" x14ac:dyDescent="0.3">
      <c r="A111" s="74"/>
      <c r="B111" s="74"/>
      <c r="C111" s="74"/>
      <c r="D111" s="74"/>
      <c r="E111" s="74"/>
      <c r="F111" s="74"/>
      <c r="G111" s="74"/>
      <c r="H111" s="74"/>
      <c r="I111" s="74"/>
      <c r="J111" s="74"/>
      <c r="K111" s="74"/>
      <c r="L111" s="74"/>
      <c r="M111" s="74"/>
    </row>
    <row r="112" spans="1:13" ht="18.75" x14ac:dyDescent="0.3">
      <c r="A112" s="74"/>
      <c r="B112" s="74"/>
      <c r="C112" s="74"/>
      <c r="D112" s="74"/>
      <c r="E112" s="74"/>
      <c r="F112" s="74"/>
      <c r="G112" s="74"/>
      <c r="H112" s="74"/>
      <c r="I112" s="74"/>
      <c r="J112" s="74"/>
      <c r="K112" s="74"/>
      <c r="L112" s="74"/>
      <c r="M112" s="74"/>
    </row>
    <row r="113" spans="1:13" ht="18.75" x14ac:dyDescent="0.3">
      <c r="A113" s="74"/>
      <c r="B113" s="74"/>
      <c r="C113" s="74"/>
      <c r="D113" s="74"/>
      <c r="E113" s="74"/>
      <c r="F113" s="74"/>
      <c r="G113" s="74"/>
      <c r="H113" s="74"/>
      <c r="I113" s="74"/>
      <c r="J113" s="74"/>
      <c r="K113" s="74"/>
      <c r="L113" s="74"/>
      <c r="M113" s="74"/>
    </row>
    <row r="114" spans="1:13" ht="18.75" x14ac:dyDescent="0.3">
      <c r="A114" s="74"/>
      <c r="B114" s="74"/>
      <c r="C114" s="74"/>
      <c r="D114" s="74"/>
      <c r="E114" s="74"/>
      <c r="F114" s="74"/>
      <c r="G114" s="74"/>
      <c r="H114" s="74"/>
      <c r="I114" s="74"/>
      <c r="J114" s="74"/>
      <c r="K114" s="74"/>
      <c r="L114" s="74"/>
      <c r="M114" s="74"/>
    </row>
    <row r="115" spans="1:13" ht="18.75" x14ac:dyDescent="0.3">
      <c r="A115" s="74"/>
      <c r="B115" s="74"/>
      <c r="C115" s="74"/>
      <c r="D115" s="74"/>
      <c r="E115" s="74"/>
      <c r="F115" s="74"/>
      <c r="G115" s="74"/>
      <c r="H115" s="74"/>
      <c r="I115" s="74"/>
      <c r="J115" s="74"/>
      <c r="K115" s="74"/>
      <c r="L115" s="74"/>
      <c r="M115" s="74"/>
    </row>
  </sheetData>
  <mergeCells count="3">
    <mergeCell ref="B5:D5"/>
    <mergeCell ref="F5:H5"/>
    <mergeCell ref="J5:L5"/>
  </mergeCells>
  <hyperlinks>
    <hyperlink ref="B1" location="Innhold!A1" display="Tilbake" xr:uid="{00000000-0004-0000-0400-000000000000}"/>
  </hyperlinks>
  <pageMargins left="0.7" right="0.7" top="0.78740157499999996" bottom="0.78740157499999996" header="0.3" footer="0.3"/>
  <pageSetup paperSize="9" scale="4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10"/>
  <dimension ref="A1:J92"/>
  <sheetViews>
    <sheetView showGridLines="0" zoomScale="80" zoomScaleNormal="80" workbookViewId="0">
      <pane xSplit="1" ySplit="7" topLeftCell="B8" activePane="bottomRight" state="frozen"/>
      <selection pane="topRight" activeCell="B1" sqref="B1"/>
      <selection pane="bottomLeft" activeCell="A8" sqref="A8"/>
      <selection pane="bottomRight" activeCell="A3" sqref="A3"/>
    </sheetView>
  </sheetViews>
  <sheetFormatPr baseColWidth="10" defaultColWidth="11.42578125" defaultRowHeight="18" x14ac:dyDescent="0.25"/>
  <cols>
    <col min="1" max="1" width="35.85546875" style="81" customWidth="1"/>
    <col min="2" max="2" width="18.140625" style="81" customWidth="1"/>
    <col min="3" max="3" width="17.85546875" style="81" customWidth="1"/>
    <col min="4" max="4" width="11.7109375" style="81" customWidth="1"/>
    <col min="5" max="5" width="4.7109375" style="81" customWidth="1"/>
    <col min="6" max="7" width="13" style="81" customWidth="1"/>
    <col min="8" max="8" width="11.7109375" style="81" customWidth="1"/>
    <col min="9" max="9" width="12.42578125" style="81" customWidth="1"/>
    <col min="10" max="10" width="11.42578125" style="81"/>
    <col min="11" max="12" width="17.140625" style="81" bestFit="1" customWidth="1"/>
    <col min="13" max="16384" width="11.42578125" style="81"/>
  </cols>
  <sheetData>
    <row r="1" spans="1:10" ht="18.75" customHeight="1" x14ac:dyDescent="0.3">
      <c r="A1" s="80" t="s">
        <v>76</v>
      </c>
      <c r="B1" s="73" t="s">
        <v>52</v>
      </c>
      <c r="C1" s="80"/>
      <c r="D1" s="80"/>
      <c r="E1" s="80"/>
      <c r="F1" s="74"/>
      <c r="G1" s="74"/>
      <c r="H1" s="74"/>
      <c r="I1" s="74"/>
      <c r="J1" s="74"/>
    </row>
    <row r="2" spans="1:10" ht="20.100000000000001" customHeight="1" x14ac:dyDescent="0.3">
      <c r="A2" s="80" t="s">
        <v>158</v>
      </c>
      <c r="B2" s="80"/>
      <c r="C2" s="80"/>
      <c r="D2" s="80"/>
      <c r="E2" s="80"/>
      <c r="F2" s="74"/>
      <c r="G2" s="74"/>
      <c r="H2" s="74"/>
      <c r="I2" s="74"/>
      <c r="J2" s="74"/>
    </row>
    <row r="3" spans="1:10" ht="20.100000000000001" customHeight="1" x14ac:dyDescent="0.3">
      <c r="A3" s="75"/>
      <c r="B3" s="75"/>
      <c r="C3" s="75"/>
      <c r="D3" s="75"/>
      <c r="E3" s="256"/>
      <c r="F3" s="74"/>
      <c r="G3" s="74"/>
      <c r="H3" s="74"/>
      <c r="I3" s="74"/>
      <c r="J3" s="74"/>
    </row>
    <row r="4" spans="1:10" ht="20.100000000000001" customHeight="1" x14ac:dyDescent="0.3">
      <c r="A4" s="257"/>
      <c r="B4" s="718" t="s">
        <v>159</v>
      </c>
      <c r="C4" s="718"/>
      <c r="D4" s="719"/>
      <c r="E4" s="89"/>
      <c r="F4" s="720" t="s">
        <v>159</v>
      </c>
      <c r="G4" s="718"/>
      <c r="H4" s="719"/>
      <c r="I4" s="74"/>
      <c r="J4" s="74"/>
    </row>
    <row r="5" spans="1:10" ht="18.75" customHeight="1" x14ac:dyDescent="0.3">
      <c r="A5" s="258" t="s">
        <v>420</v>
      </c>
      <c r="B5" s="721" t="s">
        <v>160</v>
      </c>
      <c r="C5" s="722"/>
      <c r="D5" s="723"/>
      <c r="E5" s="259"/>
      <c r="F5" s="724" t="s">
        <v>161</v>
      </c>
      <c r="G5" s="725"/>
      <c r="H5" s="726"/>
      <c r="I5" s="112"/>
      <c r="J5" s="74"/>
    </row>
    <row r="6" spans="1:10" ht="18.75" customHeight="1" x14ac:dyDescent="0.3">
      <c r="A6" s="122"/>
      <c r="B6" s="120"/>
      <c r="C6" s="192"/>
      <c r="D6" s="260" t="s">
        <v>80</v>
      </c>
      <c r="E6" s="260"/>
      <c r="F6" s="123"/>
      <c r="G6" s="124"/>
      <c r="H6" s="94" t="s">
        <v>80</v>
      </c>
      <c r="I6" s="100"/>
      <c r="J6" s="74"/>
    </row>
    <row r="7" spans="1:10" ht="18.75" customHeight="1" x14ac:dyDescent="0.3">
      <c r="A7" s="126"/>
      <c r="B7" s="97">
        <v>2019</v>
      </c>
      <c r="C7" s="97">
        <v>2020</v>
      </c>
      <c r="D7" s="261" t="s">
        <v>82</v>
      </c>
      <c r="E7" s="260"/>
      <c r="F7" s="97">
        <v>2019</v>
      </c>
      <c r="G7" s="127">
        <v>2020</v>
      </c>
      <c r="H7" s="262" t="s">
        <v>82</v>
      </c>
      <c r="I7" s="100"/>
      <c r="J7" s="74"/>
    </row>
    <row r="8" spans="1:10" ht="18.75" customHeight="1" x14ac:dyDescent="0.3">
      <c r="A8" s="101" t="s">
        <v>162</v>
      </c>
      <c r="B8" s="109">
        <f>SUM(B9:B14)</f>
        <v>158691.58087001002</v>
      </c>
      <c r="C8" s="109">
        <f>SUM(C9:C14)</f>
        <v>163318.65380665002</v>
      </c>
      <c r="D8" s="263">
        <f t="shared" ref="D8:D38" si="0">IF(B8=0, "    ---- ", IF(ABS(ROUND(100/B8*C8-100,1))&lt;999,ROUND(100/B8*C8-100,1),IF(ROUND(100/B8*C8-100,1)&gt;999,999,-999)))</f>
        <v>2.9</v>
      </c>
      <c r="E8" s="264"/>
      <c r="F8" s="263">
        <f>SUM(F9:F14)</f>
        <v>99.999999999999986</v>
      </c>
      <c r="G8" s="263">
        <f>SUM(G9:G14)</f>
        <v>99.999999999999986</v>
      </c>
      <c r="H8" s="264">
        <f t="shared" ref="H8:H38" si="1">IF(F8=0, "    ---- ", IF(ABS(ROUND(100/F8*G8-100,1))&lt;999,ROUND(100/F8*G8-100,1),IF(ROUND(100/F8*G8-100,1)&gt;999,999,-999)))</f>
        <v>0</v>
      </c>
      <c r="I8" s="104"/>
      <c r="J8" s="74"/>
    </row>
    <row r="9" spans="1:10" ht="18.75" customHeight="1" x14ac:dyDescent="0.3">
      <c r="A9" s="86" t="s">
        <v>163</v>
      </c>
      <c r="B9" s="106">
        <f>'Tabell 6'!AR21</f>
        <v>2402.6755584500002</v>
      </c>
      <c r="C9" s="106">
        <f>'Tabell 6'!AS21</f>
        <v>3192.8705584499999</v>
      </c>
      <c r="D9" s="265">
        <f t="shared" si="0"/>
        <v>32.9</v>
      </c>
      <c r="E9" s="265"/>
      <c r="F9" s="265">
        <f>'Tabell 6'!AR21/'Tabell 6'!AR29*100</f>
        <v>1.5140535781908417</v>
      </c>
      <c r="G9" s="265">
        <f>'Tabell 6'!AS21/'Tabell 6'!AS29*100</f>
        <v>1.9549944136999693</v>
      </c>
      <c r="H9" s="266">
        <f t="shared" si="1"/>
        <v>29.1</v>
      </c>
      <c r="I9" s="104"/>
      <c r="J9" s="77"/>
    </row>
    <row r="10" spans="1:10" ht="18.75" customHeight="1" x14ac:dyDescent="0.3">
      <c r="A10" s="86" t="s">
        <v>164</v>
      </c>
      <c r="B10" s="105">
        <f>'Tabell 6'!AR18+'Tabell 6'!AR22</f>
        <v>75025.303718640003</v>
      </c>
      <c r="C10" s="105">
        <f>'Tabell 6'!AS18+'Tabell 6'!AS22</f>
        <v>75367.205253549997</v>
      </c>
      <c r="D10" s="265">
        <f t="shared" si="0"/>
        <v>0.5</v>
      </c>
      <c r="E10" s="265"/>
      <c r="F10" s="265">
        <f>('Tabell 6'!AR18+'Tabell 6'!AR22)/'Tabell 6'!AR29*100</f>
        <v>47.27743167427132</v>
      </c>
      <c r="G10" s="265">
        <f>('Tabell 6'!AS18+'Tabell 6'!AS22)/'Tabell 6'!AS29*100</f>
        <v>46.147334365599079</v>
      </c>
      <c r="H10" s="266">
        <f t="shared" si="1"/>
        <v>-2.4</v>
      </c>
      <c r="I10" s="104"/>
      <c r="J10" s="74"/>
    </row>
    <row r="11" spans="1:10" ht="18.75" customHeight="1" x14ac:dyDescent="0.3">
      <c r="A11" s="86" t="s">
        <v>165</v>
      </c>
      <c r="B11" s="105">
        <f>'Tabell 6'!AR14</f>
        <v>975.04313575000003</v>
      </c>
      <c r="C11" s="105">
        <f>'Tabell 6'!AS14</f>
        <v>971.16018874999997</v>
      </c>
      <c r="D11" s="265">
        <f t="shared" si="0"/>
        <v>-0.4</v>
      </c>
      <c r="E11" s="265"/>
      <c r="F11" s="265">
        <f>'Tabell 6'!AR14/'Tabell 6'!AR29*100</f>
        <v>0.61442650605938121</v>
      </c>
      <c r="G11" s="265">
        <f>'Tabell 6'!AS14/'Tabell 6'!AS29*100</f>
        <v>0.59464131384510355</v>
      </c>
      <c r="H11" s="266">
        <f t="shared" si="1"/>
        <v>-3.2</v>
      </c>
      <c r="I11" s="104"/>
      <c r="J11" s="74"/>
    </row>
    <row r="12" spans="1:10" ht="18.75" customHeight="1" x14ac:dyDescent="0.3">
      <c r="A12" s="108" t="s">
        <v>166</v>
      </c>
      <c r="B12" s="105">
        <f>'Tabell 6'!AR15</f>
        <v>24737.10447282</v>
      </c>
      <c r="C12" s="105">
        <f>'Tabell 6'!AS15</f>
        <v>25698.718763479999</v>
      </c>
      <c r="D12" s="267">
        <f t="shared" si="0"/>
        <v>3.9</v>
      </c>
      <c r="E12" s="267"/>
      <c r="F12" s="265">
        <f>'Tabell 6'!AR15/'Tabell 6'!AR29*100</f>
        <v>15.588164373435193</v>
      </c>
      <c r="G12" s="265">
        <f>'Tabell 6'!AS15/'Tabell 6'!AS29*100</f>
        <v>15.735323653784365</v>
      </c>
      <c r="H12" s="266">
        <f t="shared" si="1"/>
        <v>0.9</v>
      </c>
      <c r="I12" s="104"/>
      <c r="J12" s="74"/>
    </row>
    <row r="13" spans="1:10" ht="18.75" customHeight="1" x14ac:dyDescent="0.3">
      <c r="A13" s="86" t="s">
        <v>167</v>
      </c>
      <c r="B13" s="105">
        <f>'Tabell 6'!AR19+'Tabell 6'!AR23</f>
        <v>29336.683213229997</v>
      </c>
      <c r="C13" s="105">
        <f>'Tabell 6'!AS19+'Tabell 6'!AS23</f>
        <v>30312.545136500001</v>
      </c>
      <c r="D13" s="265">
        <f t="shared" si="0"/>
        <v>3.3</v>
      </c>
      <c r="E13" s="265"/>
      <c r="F13" s="265">
        <f>('Tabell 6'!AR19+'Tabell 6'!AR23)/'Tabell 6'!AR29*100</f>
        <v>18.486603418022995</v>
      </c>
      <c r="G13" s="265">
        <f>('Tabell 6'!AS19+'Tabell 6'!AS23)/'Tabell 6'!AS29*100</f>
        <v>18.560369210724986</v>
      </c>
      <c r="H13" s="266">
        <f t="shared" si="1"/>
        <v>0.4</v>
      </c>
      <c r="I13" s="104"/>
      <c r="J13" s="74"/>
    </row>
    <row r="14" spans="1:10" ht="18.75" customHeight="1" x14ac:dyDescent="0.3">
      <c r="A14" s="86" t="s">
        <v>168</v>
      </c>
      <c r="B14" s="176">
        <f>'Tabell 6'!AR17-'Tabell 6'!AR18+'Tabell 6'!AR24+'Tabell 6'!AR25+'Tabell 6'!AR26+'Tabell 6'!AR28</f>
        <v>26214.770771120002</v>
      </c>
      <c r="C14" s="176">
        <f>'Tabell 6'!AS17-'Tabell 6'!AS18+'Tabell 6'!AS24+'Tabell 6'!AS25+'Tabell 6'!AS26+'Tabell 6'!AS28</f>
        <v>27776.15390592</v>
      </c>
      <c r="D14" s="265">
        <f t="shared" si="0"/>
        <v>6</v>
      </c>
      <c r="E14" s="265"/>
      <c r="F14" s="265">
        <f>('Tabell 6'!AR17-'Tabell 6'!AR18+'Tabell 6'!AR24+'Tabell 6'!AR25+'Tabell 6'!AR26+'Tabell 6'!AR28)/'Tabell 6'!AR29*100</f>
        <v>16.51932045002026</v>
      </c>
      <c r="G14" s="265">
        <f>('Tabell 6'!AS17-'Tabell 6'!AS18+'Tabell 6'!AS24+'Tabell 6'!AS25+'Tabell 6'!AS26+'Tabell 6'!AS28)/'Tabell 6'!AS29*100</f>
        <v>17.007337042346482</v>
      </c>
      <c r="H14" s="266">
        <f t="shared" si="1"/>
        <v>3</v>
      </c>
      <c r="I14" s="104"/>
      <c r="J14" s="74"/>
    </row>
    <row r="15" spans="1:10" ht="18.75" customHeight="1" x14ac:dyDescent="0.3">
      <c r="A15" s="193"/>
      <c r="B15" s="103"/>
      <c r="C15" s="176"/>
      <c r="D15" s="266"/>
      <c r="E15" s="266"/>
      <c r="F15" s="266"/>
      <c r="G15" s="265"/>
      <c r="H15" s="266"/>
      <c r="I15" s="104"/>
      <c r="J15" s="74"/>
    </row>
    <row r="16" spans="1:10" s="135" customFormat="1" ht="18.75" customHeight="1" x14ac:dyDescent="0.3">
      <c r="A16" s="101" t="s">
        <v>169</v>
      </c>
      <c r="B16" s="109">
        <f>SUM(B17:B22)</f>
        <v>1129767.0138244801</v>
      </c>
      <c r="C16" s="109">
        <f>SUM(C17:C22)</f>
        <v>1168924.5381753899</v>
      </c>
      <c r="D16" s="263">
        <f t="shared" si="0"/>
        <v>3.5</v>
      </c>
      <c r="E16" s="263"/>
      <c r="F16" s="263">
        <f>SUM(F17:F22)</f>
        <v>100.00000000000001</v>
      </c>
      <c r="G16" s="263">
        <f>SUM(G17:G22)</f>
        <v>100.00000000000001</v>
      </c>
      <c r="H16" s="264">
        <f t="shared" si="1"/>
        <v>0</v>
      </c>
      <c r="I16" s="110"/>
      <c r="J16" s="75"/>
    </row>
    <row r="17" spans="1:10" ht="18.75" customHeight="1" x14ac:dyDescent="0.3">
      <c r="A17" s="86" t="s">
        <v>163</v>
      </c>
      <c r="B17" s="103">
        <f>'Tabell 6'!AR40</f>
        <v>202972.68894448</v>
      </c>
      <c r="C17" s="103">
        <f>'Tabell 6'!AS40</f>
        <v>187703.20311304997</v>
      </c>
      <c r="D17" s="265">
        <f t="shared" si="0"/>
        <v>-7.5</v>
      </c>
      <c r="E17" s="265"/>
      <c r="F17" s="265">
        <f>'Tabell 6'!AR40/('Tabell 6'!AR45+'Tabell 6'!AR46)*100</f>
        <v>17.965889113488824</v>
      </c>
      <c r="G17" s="265">
        <f>'Tabell 6'!AS40/('Tabell 6'!AS45+'Tabell 6'!AS46)*100</f>
        <v>16.057769084567397</v>
      </c>
      <c r="H17" s="266">
        <f t="shared" si="1"/>
        <v>-10.6</v>
      </c>
      <c r="I17" s="104"/>
      <c r="J17" s="74"/>
    </row>
    <row r="18" spans="1:10" ht="18.75" customHeight="1" x14ac:dyDescent="0.3">
      <c r="A18" s="86" t="s">
        <v>164</v>
      </c>
      <c r="B18" s="103">
        <f>'Tabell 6'!AR37+'Tabell 6'!AR41</f>
        <v>345597.59544507996</v>
      </c>
      <c r="C18" s="103">
        <f>'Tabell 6'!AS37+'Tabell 6'!AS41</f>
        <v>358978.35608794005</v>
      </c>
      <c r="D18" s="265">
        <f t="shared" si="0"/>
        <v>3.9</v>
      </c>
      <c r="E18" s="265"/>
      <c r="F18" s="265">
        <f>('Tabell 6'!AR37+'Tabell 6'!AR41)/('Tabell 6'!AR45+'Tabell 6'!AR46)*100</f>
        <v>30.590165159377886</v>
      </c>
      <c r="G18" s="265">
        <f>('Tabell 6'!AS37+'Tabell 6'!AS41)/('Tabell 6'!AS45+'Tabell 6'!AS46)*100</f>
        <v>30.7101394798573</v>
      </c>
      <c r="H18" s="266">
        <f t="shared" si="1"/>
        <v>0.4</v>
      </c>
      <c r="I18" s="104"/>
      <c r="J18" s="74"/>
    </row>
    <row r="19" spans="1:10" ht="18.75" customHeight="1" x14ac:dyDescent="0.3">
      <c r="A19" s="86" t="s">
        <v>165</v>
      </c>
      <c r="B19" s="103">
        <f>'Tabell 6'!AR33</f>
        <v>26.206001969999999</v>
      </c>
      <c r="C19" s="103">
        <f>'Tabell 6'!AS33</f>
        <v>22.242999999999999</v>
      </c>
      <c r="D19" s="265">
        <f t="shared" si="0"/>
        <v>-15.1</v>
      </c>
      <c r="E19" s="265"/>
      <c r="F19" s="265">
        <f>'Tabell 6'!AR33/('Tabell 6'!AR45+'Tabell 6'!AR46)*100</f>
        <v>2.3195934780647926E-3</v>
      </c>
      <c r="G19" s="265">
        <f>'Tabell 6'!AS33/('Tabell 6'!AS45+'Tabell 6'!AS46)*100</f>
        <v>1.9028602166842846E-3</v>
      </c>
      <c r="H19" s="266">
        <f t="shared" si="1"/>
        <v>-18</v>
      </c>
      <c r="I19" s="104"/>
      <c r="J19" s="74"/>
    </row>
    <row r="20" spans="1:10" ht="18.75" customHeight="1" x14ac:dyDescent="0.3">
      <c r="A20" s="108" t="s">
        <v>166</v>
      </c>
      <c r="B20" s="105">
        <f>'Tabell 6'!AR34</f>
        <v>149173.52251932002</v>
      </c>
      <c r="C20" s="105">
        <f>'Tabell 6'!AS34</f>
        <v>153813.04585432998</v>
      </c>
      <c r="D20" s="267">
        <f t="shared" si="0"/>
        <v>3.1</v>
      </c>
      <c r="E20" s="267"/>
      <c r="F20" s="265">
        <f>'Tabell 6'!AR34/('Tabell 6'!AR45+'Tabell 6'!AR46)*100</f>
        <v>13.20391909959725</v>
      </c>
      <c r="G20" s="265">
        <f>'Tabell 6'!AS34/('Tabell 6'!AS45+'Tabell 6'!AS46)*100</f>
        <v>13.158509453007246</v>
      </c>
      <c r="H20" s="266">
        <f t="shared" si="1"/>
        <v>-0.3</v>
      </c>
      <c r="I20" s="104"/>
      <c r="J20" s="74"/>
    </row>
    <row r="21" spans="1:10" ht="18.75" customHeight="1" x14ac:dyDescent="0.3">
      <c r="A21" s="86" t="s">
        <v>167</v>
      </c>
      <c r="B21" s="103">
        <f>'Tabell 6'!AR38+'Tabell 6'!AR42</f>
        <v>420925.96114090999</v>
      </c>
      <c r="C21" s="103">
        <f>'Tabell 6'!AS38+'Tabell 6'!AS42</f>
        <v>453414.06855780998</v>
      </c>
      <c r="D21" s="265">
        <f t="shared" si="0"/>
        <v>7.7</v>
      </c>
      <c r="E21" s="265"/>
      <c r="F21" s="265">
        <f>('Tabell 6'!AR38+'Tabell 6'!AR42)/('Tabell 6'!AR45+'Tabell 6'!AR46)*100</f>
        <v>37.257766954621395</v>
      </c>
      <c r="G21" s="265">
        <f>('Tabell 6'!AS38+'Tabell 6'!AS42)/('Tabell 6'!AS45+'Tabell 6'!AS46)*100</f>
        <v>38.788993964106346</v>
      </c>
      <c r="H21" s="266">
        <f t="shared" si="1"/>
        <v>4.0999999999999996</v>
      </c>
      <c r="I21" s="104"/>
      <c r="J21" s="74"/>
    </row>
    <row r="22" spans="1:10" ht="18.75" customHeight="1" x14ac:dyDescent="0.3">
      <c r="A22" s="193" t="s">
        <v>168</v>
      </c>
      <c r="B22" s="103">
        <f>'Tabell 6'!AR36-'Tabell 6'!AR37+'Tabell 6'!AR43+'Tabell 6'!AR44+'Tabell 6'!AR46</f>
        <v>11071.039772720002</v>
      </c>
      <c r="C22" s="103">
        <f>'Tabell 6'!AS36-'Tabell 6'!AS37+'Tabell 6'!AS43+'Tabell 6'!AS44+'Tabell 6'!AS46</f>
        <v>14993.621562259999</v>
      </c>
      <c r="D22" s="265">
        <f t="shared" si="0"/>
        <v>35.4</v>
      </c>
      <c r="E22" s="265"/>
      <c r="F22" s="266">
        <f>('Tabell 6'!AR36-'Tabell 6'!AR37+'Tabell 6'!AR43+'Tabell 6'!AR44+'Tabell 6'!AR46)/('Tabell 6'!AR45+'Tabell 6'!AR46)*100</f>
        <v>0.97994007943659023</v>
      </c>
      <c r="G22" s="266">
        <f>('Tabell 6'!AS36-'Tabell 6'!AS37+'Tabell 6'!AS43+'Tabell 6'!AS44+'Tabell 6'!AS46)/('Tabell 6'!AS45+'Tabell 6'!AS46)*100</f>
        <v>1.2826851582450312</v>
      </c>
      <c r="H22" s="266">
        <f t="shared" si="1"/>
        <v>30.9</v>
      </c>
      <c r="I22" s="104"/>
      <c r="J22" s="74"/>
    </row>
    <row r="23" spans="1:10" ht="18.75" customHeight="1" x14ac:dyDescent="0.3">
      <c r="A23" s="86"/>
      <c r="B23" s="176"/>
      <c r="C23" s="176"/>
      <c r="D23" s="266"/>
      <c r="E23" s="265"/>
      <c r="F23" s="265"/>
      <c r="G23" s="266"/>
      <c r="H23" s="266"/>
      <c r="I23" s="182"/>
      <c r="J23" s="74"/>
    </row>
    <row r="24" spans="1:10" ht="18.75" customHeight="1" x14ac:dyDescent="0.3">
      <c r="A24" s="137" t="s">
        <v>170</v>
      </c>
      <c r="B24" s="109">
        <f>SUM(B25:B30)</f>
        <v>368249.53092036996</v>
      </c>
      <c r="C24" s="109">
        <f>SUM(C25:C30)</f>
        <v>420059.15005186002</v>
      </c>
      <c r="D24" s="263">
        <f t="shared" si="0"/>
        <v>14.1</v>
      </c>
      <c r="E24" s="263"/>
      <c r="F24" s="264">
        <f>SUM(F25:F30)</f>
        <v>100.00000000000001</v>
      </c>
      <c r="G24" s="264">
        <f>SUM(G25:G30)</f>
        <v>100</v>
      </c>
      <c r="H24" s="266">
        <f t="shared" si="1"/>
        <v>0</v>
      </c>
      <c r="I24" s="182"/>
      <c r="J24" s="74"/>
    </row>
    <row r="25" spans="1:10" ht="18.75" customHeight="1" x14ac:dyDescent="0.3">
      <c r="A25" s="193" t="s">
        <v>163</v>
      </c>
      <c r="B25" s="103">
        <f>'Tabell 6'!AR55</f>
        <v>205743.92347690999</v>
      </c>
      <c r="C25" s="103">
        <f>'Tabell 6'!AS55</f>
        <v>262331.25985546998</v>
      </c>
      <c r="D25" s="265">
        <f t="shared" si="0"/>
        <v>27.5</v>
      </c>
      <c r="E25" s="265"/>
      <c r="F25" s="265">
        <f>'Tabell 6'!AR55/('Tabell 6'!AR60+'Tabell 6'!AR61)*100</f>
        <v>55.870790374855886</v>
      </c>
      <c r="G25" s="265">
        <f>'Tabell 6'!AS55/('Tabell 6'!AS60+'Tabell 6'!AS61)*100</f>
        <v>62.451028580875544</v>
      </c>
      <c r="H25" s="266">
        <f t="shared" si="1"/>
        <v>11.8</v>
      </c>
      <c r="I25" s="182"/>
      <c r="J25" s="74"/>
    </row>
    <row r="26" spans="1:10" ht="18.75" customHeight="1" x14ac:dyDescent="0.3">
      <c r="A26" s="193" t="s">
        <v>164</v>
      </c>
      <c r="B26" s="103">
        <f>'Tabell 6'!AR52+'Tabell 6'!AR56</f>
        <v>136721.38486592998</v>
      </c>
      <c r="C26" s="103">
        <f>'Tabell 6'!AS52+'Tabell 6'!AS56</f>
        <v>145782.32385121999</v>
      </c>
      <c r="D26" s="265">
        <f t="shared" si="0"/>
        <v>6.6</v>
      </c>
      <c r="E26" s="265"/>
      <c r="F26" s="265">
        <f>('Tabell 6'!AR52+'Tabell 6'!AR56)/('Tabell 6'!AR60+'Tabell 6'!AR61)*100</f>
        <v>37.127375158963751</v>
      </c>
      <c r="G26" s="265">
        <f>('Tabell 6'!AS52+'Tabell 6'!AS56)/('Tabell 6'!AS60+'Tabell 6'!AS61)*100</f>
        <v>34.705189455633068</v>
      </c>
      <c r="H26" s="266">
        <f t="shared" si="1"/>
        <v>-6.5</v>
      </c>
      <c r="I26" s="182"/>
      <c r="J26" s="74"/>
    </row>
    <row r="27" spans="1:10" ht="18.75" customHeight="1" x14ac:dyDescent="0.3">
      <c r="A27" s="193" t="s">
        <v>165</v>
      </c>
      <c r="B27" s="103">
        <f>'Tabell 6'!AR48</f>
        <v>0</v>
      </c>
      <c r="C27" s="103">
        <f>'Tabell 6'!AS48</f>
        <v>0</v>
      </c>
      <c r="D27" s="265" t="str">
        <f t="shared" si="0"/>
        <v xml:space="preserve">    ---- </v>
      </c>
      <c r="E27" s="265"/>
      <c r="F27" s="265">
        <f>'Tabell 6'!AR48/('Tabell 6'!AR60+'Tabell 6'!AR61)*100</f>
        <v>0</v>
      </c>
      <c r="G27" s="265">
        <f>'Tabell 6'!AS48/('Tabell 6'!AS60+'Tabell 6'!AS61)*100</f>
        <v>0</v>
      </c>
      <c r="H27" s="266" t="str">
        <f t="shared" si="1"/>
        <v xml:space="preserve">    ---- </v>
      </c>
      <c r="I27" s="182"/>
      <c r="J27" s="74"/>
    </row>
    <row r="28" spans="1:10" ht="18.75" customHeight="1" x14ac:dyDescent="0.3">
      <c r="A28" s="108" t="s">
        <v>166</v>
      </c>
      <c r="B28" s="105">
        <f>'Tabell 6'!AR49</f>
        <v>20249.656070879999</v>
      </c>
      <c r="C28" s="105">
        <f>'Tabell 6'!AS49</f>
        <v>7021.1791718799996</v>
      </c>
      <c r="D28" s="267">
        <f t="shared" si="0"/>
        <v>-65.3</v>
      </c>
      <c r="E28" s="267"/>
      <c r="F28" s="265">
        <f>'Tabell 6'!AR49/('Tabell 6'!AR60+'Tabell 6'!AR61)*100</f>
        <v>5.4988952790434844</v>
      </c>
      <c r="G28" s="265">
        <f>'Tabell 6'!AS49/('Tabell 6'!AS60+'Tabell 6'!AS61)*100</f>
        <v>1.6714739271869627</v>
      </c>
      <c r="H28" s="266">
        <f t="shared" si="1"/>
        <v>-69.599999999999994</v>
      </c>
      <c r="I28" s="182"/>
      <c r="J28" s="74"/>
    </row>
    <row r="29" spans="1:10" ht="18.75" customHeight="1" x14ac:dyDescent="0.3">
      <c r="A29" s="193" t="s">
        <v>167</v>
      </c>
      <c r="B29" s="103">
        <f>'Tabell 6'!AR53+'Tabell 6'!AR57</f>
        <v>3128.4406616800002</v>
      </c>
      <c r="C29" s="103">
        <f>'Tabell 6'!AS53+'Tabell 6'!AS57</f>
        <v>2664.4479874099998</v>
      </c>
      <c r="D29" s="265">
        <f t="shared" si="0"/>
        <v>-14.8</v>
      </c>
      <c r="E29" s="265"/>
      <c r="F29" s="265">
        <f>('Tabell 6'!AR53+'Tabell 6'!AR57)/('Tabell 6'!AR60+'Tabell 6'!AR61)*100</f>
        <v>0.84954369225157067</v>
      </c>
      <c r="G29" s="265">
        <f>('Tabell 6'!AS53+'Tabell 6'!AS57)/('Tabell 6'!AS60+'Tabell 6'!AS61)*100</f>
        <v>0.63430304686400729</v>
      </c>
      <c r="H29" s="266">
        <f t="shared" si="1"/>
        <v>-25.3</v>
      </c>
      <c r="I29" s="182"/>
      <c r="J29" s="74"/>
    </row>
    <row r="30" spans="1:10" ht="18.75" customHeight="1" x14ac:dyDescent="0.3">
      <c r="A30" s="86" t="s">
        <v>168</v>
      </c>
      <c r="B30" s="103">
        <f>'Tabell 6'!AR51-'Tabell 6'!AR52+'Tabell 6'!AR58+'Tabell 6'!AR59+'Tabell 6'!AR61</f>
        <v>2406.1258449699999</v>
      </c>
      <c r="C30" s="103">
        <f>'Tabell 6'!AS51-'Tabell 6'!AS52+'Tabell 6'!AS58+'Tabell 6'!AS59+'Tabell 6'!AS61</f>
        <v>2259.93918588</v>
      </c>
      <c r="D30" s="266">
        <f t="shared" si="0"/>
        <v>-6.1</v>
      </c>
      <c r="E30" s="266"/>
      <c r="F30" s="266">
        <f>('Tabell 6'!AR51-'Tabell 6'!AR52+'Tabell 6'!AR58+'Tabell 6'!AR59+'Tabell 6'!AR61)/('Tabell 6'!AR60+'Tabell 6'!AR61)*100</f>
        <v>0.65339549488531434</v>
      </c>
      <c r="G30" s="266">
        <f>('Tabell 6'!AS51-'Tabell 6'!AS52+'Tabell 6'!AS58+'Tabell 6'!AS59+'Tabell 6'!AS61)/('Tabell 6'!AS60+'Tabell 6'!AS61)*100</f>
        <v>0.53800498944041353</v>
      </c>
      <c r="H30" s="266">
        <f t="shared" si="1"/>
        <v>-17.7</v>
      </c>
      <c r="I30" s="182"/>
      <c r="J30" s="74"/>
    </row>
    <row r="31" spans="1:10" ht="18.75" customHeight="1" x14ac:dyDescent="0.3">
      <c r="A31" s="193"/>
      <c r="B31" s="176"/>
      <c r="C31" s="176"/>
      <c r="D31" s="265"/>
      <c r="E31" s="265"/>
      <c r="F31" s="265"/>
      <c r="G31" s="266"/>
      <c r="H31" s="266"/>
      <c r="I31" s="182"/>
      <c r="J31" s="74"/>
    </row>
    <row r="32" spans="1:10" ht="18.75" customHeight="1" x14ac:dyDescent="0.3">
      <c r="A32" s="137" t="s">
        <v>2</v>
      </c>
      <c r="B32" s="109">
        <f>SUM(B33:B38)</f>
        <v>1656708.1256148599</v>
      </c>
      <c r="C32" s="109">
        <f>SUM(C33:C38)</f>
        <v>1752302.3420338999</v>
      </c>
      <c r="D32" s="263">
        <f t="shared" si="0"/>
        <v>5.8</v>
      </c>
      <c r="E32" s="263"/>
      <c r="F32" s="263">
        <f>SUM(F33:F38)</f>
        <v>99.999999999999986</v>
      </c>
      <c r="G32" s="263">
        <f>SUM(G33:G38)</f>
        <v>100</v>
      </c>
      <c r="H32" s="264">
        <f t="shared" si="1"/>
        <v>0</v>
      </c>
      <c r="I32" s="182"/>
      <c r="J32" s="74"/>
    </row>
    <row r="33" spans="1:10" ht="18.75" customHeight="1" x14ac:dyDescent="0.3">
      <c r="A33" s="193" t="s">
        <v>163</v>
      </c>
      <c r="B33" s="103">
        <f t="shared" ref="B33:C38" si="2">B9+B17+B25</f>
        <v>411119.28797983995</v>
      </c>
      <c r="C33" s="103">
        <f t="shared" si="2"/>
        <v>453227.33352696995</v>
      </c>
      <c r="D33" s="265">
        <f t="shared" si="0"/>
        <v>10.199999999999999</v>
      </c>
      <c r="E33" s="265"/>
      <c r="F33" s="265">
        <f>B33/B32*100</f>
        <v>24.815432581237555</v>
      </c>
      <c r="G33" s="265">
        <f>C33/C32*100</f>
        <v>25.864676583203579</v>
      </c>
      <c r="H33" s="266">
        <f t="shared" si="1"/>
        <v>4.2</v>
      </c>
      <c r="I33" s="182"/>
      <c r="J33" s="74"/>
    </row>
    <row r="34" spans="1:10" ht="18.75" customHeight="1" x14ac:dyDescent="0.3">
      <c r="A34" s="193" t="s">
        <v>164</v>
      </c>
      <c r="B34" s="103">
        <f t="shared" si="2"/>
        <v>557344.28402964992</v>
      </c>
      <c r="C34" s="103">
        <f t="shared" si="2"/>
        <v>580127.88519270997</v>
      </c>
      <c r="D34" s="265">
        <f t="shared" si="0"/>
        <v>4.0999999999999996</v>
      </c>
      <c r="E34" s="265"/>
      <c r="F34" s="265">
        <f>B34/B32*100</f>
        <v>33.641670214106107</v>
      </c>
      <c r="G34" s="265">
        <f>C34/C32*100</f>
        <v>33.106609018130669</v>
      </c>
      <c r="H34" s="266">
        <f t="shared" si="1"/>
        <v>-1.6</v>
      </c>
      <c r="I34" s="182"/>
      <c r="J34" s="74"/>
    </row>
    <row r="35" spans="1:10" ht="18.75" customHeight="1" x14ac:dyDescent="0.3">
      <c r="A35" s="193" t="s">
        <v>165</v>
      </c>
      <c r="B35" s="103">
        <f t="shared" si="2"/>
        <v>1001.24913772</v>
      </c>
      <c r="C35" s="103">
        <f t="shared" si="2"/>
        <v>993.40318875000003</v>
      </c>
      <c r="D35" s="265">
        <f t="shared" si="0"/>
        <v>-0.8</v>
      </c>
      <c r="E35" s="265"/>
      <c r="F35" s="265">
        <f>B35/B32*100</f>
        <v>6.0436061261448994E-2</v>
      </c>
      <c r="G35" s="265">
        <f>C35/C32*100</f>
        <v>5.6691312048179746E-2</v>
      </c>
      <c r="H35" s="266">
        <f t="shared" si="1"/>
        <v>-6.2</v>
      </c>
      <c r="I35" s="182"/>
      <c r="J35" s="74"/>
    </row>
    <row r="36" spans="1:10" ht="18.75" customHeight="1" x14ac:dyDescent="0.3">
      <c r="A36" s="108" t="s">
        <v>166</v>
      </c>
      <c r="B36" s="105">
        <f t="shared" si="2"/>
        <v>194160.28306302003</v>
      </c>
      <c r="C36" s="105">
        <f t="shared" si="2"/>
        <v>186532.94378968998</v>
      </c>
      <c r="D36" s="267">
        <f t="shared" si="0"/>
        <v>-3.9</v>
      </c>
      <c r="E36" s="267"/>
      <c r="F36" s="265">
        <f>B36/B32*100</f>
        <v>11.719643313209479</v>
      </c>
      <c r="G36" s="265">
        <f>C36/C32*100</f>
        <v>10.64502051473497</v>
      </c>
      <c r="H36" s="266">
        <f t="shared" si="1"/>
        <v>-9.1999999999999993</v>
      </c>
      <c r="I36" s="182"/>
      <c r="J36" s="74"/>
    </row>
    <row r="37" spans="1:10" ht="18.75" customHeight="1" x14ac:dyDescent="0.3">
      <c r="A37" s="193" t="s">
        <v>167</v>
      </c>
      <c r="B37" s="103">
        <f t="shared" si="2"/>
        <v>453391.08501581999</v>
      </c>
      <c r="C37" s="103">
        <f t="shared" si="2"/>
        <v>486391.06168171996</v>
      </c>
      <c r="D37" s="265">
        <f t="shared" si="0"/>
        <v>7.3</v>
      </c>
      <c r="E37" s="265"/>
      <c r="F37" s="265">
        <f>B37/B32*100</f>
        <v>27.366986254597585</v>
      </c>
      <c r="G37" s="265">
        <f>C37/C32*100</f>
        <v>27.757256839431328</v>
      </c>
      <c r="H37" s="266">
        <f t="shared" si="1"/>
        <v>1.4</v>
      </c>
      <c r="I37" s="182"/>
      <c r="J37" s="74"/>
    </row>
    <row r="38" spans="1:10" ht="18.75" customHeight="1" x14ac:dyDescent="0.3">
      <c r="A38" s="268" t="s">
        <v>168</v>
      </c>
      <c r="B38" s="269">
        <f t="shared" si="2"/>
        <v>39691.936388810005</v>
      </c>
      <c r="C38" s="269">
        <f t="shared" si="2"/>
        <v>45029.714654060001</v>
      </c>
      <c r="D38" s="270">
        <f t="shared" si="0"/>
        <v>13.4</v>
      </c>
      <c r="E38" s="265"/>
      <c r="F38" s="270">
        <f>B38/B32*100</f>
        <v>2.3958315755878239</v>
      </c>
      <c r="G38" s="270">
        <f>C38/C32*100</f>
        <v>2.5697457324512816</v>
      </c>
      <c r="H38" s="271">
        <f t="shared" si="1"/>
        <v>7.3</v>
      </c>
      <c r="I38" s="182"/>
      <c r="J38" s="74"/>
    </row>
    <row r="39" spans="1:10" ht="18.75" customHeight="1" x14ac:dyDescent="0.3">
      <c r="A39" s="112"/>
      <c r="B39" s="112"/>
      <c r="C39" s="112"/>
      <c r="D39" s="112"/>
      <c r="E39" s="112"/>
      <c r="F39" s="182"/>
      <c r="G39" s="182"/>
      <c r="H39" s="182"/>
      <c r="I39" s="182"/>
      <c r="J39" s="74"/>
    </row>
    <row r="40" spans="1:10" ht="18.75" customHeight="1" x14ac:dyDescent="0.3">
      <c r="A40" s="112" t="s">
        <v>171</v>
      </c>
      <c r="B40" s="112"/>
      <c r="C40" s="112"/>
      <c r="D40" s="112"/>
      <c r="E40" s="112"/>
      <c r="F40" s="182"/>
      <c r="G40" s="182"/>
      <c r="H40" s="182"/>
      <c r="I40" s="182"/>
      <c r="J40" s="74"/>
    </row>
    <row r="41" spans="1:10" ht="18.75" x14ac:dyDescent="0.3">
      <c r="A41" s="112" t="s">
        <v>101</v>
      </c>
      <c r="B41" s="112"/>
      <c r="C41" s="112"/>
      <c r="D41" s="112"/>
      <c r="E41" s="112"/>
      <c r="F41" s="74"/>
      <c r="G41" s="74"/>
      <c r="H41" s="74"/>
      <c r="I41" s="74"/>
      <c r="J41" s="74"/>
    </row>
    <row r="42" spans="1:10" ht="18.75" x14ac:dyDescent="0.3">
      <c r="A42" s="74"/>
      <c r="B42" s="74"/>
      <c r="C42" s="74"/>
      <c r="D42" s="74"/>
      <c r="E42" s="74"/>
      <c r="G42" s="74"/>
      <c r="H42" s="74"/>
      <c r="I42" s="74"/>
      <c r="J42" s="74"/>
    </row>
    <row r="43" spans="1:10" ht="18.75" x14ac:dyDescent="0.3">
      <c r="A43" s="74"/>
      <c r="B43" s="74"/>
      <c r="C43" s="74"/>
      <c r="D43" s="74"/>
      <c r="E43" s="74"/>
      <c r="F43" s="74"/>
      <c r="G43" s="74"/>
      <c r="H43" s="74"/>
      <c r="I43" s="74"/>
      <c r="J43" s="74"/>
    </row>
    <row r="44" spans="1:10" ht="18.75" x14ac:dyDescent="0.3">
      <c r="A44" s="74"/>
      <c r="B44" s="74"/>
      <c r="C44" s="74"/>
      <c r="D44" s="74"/>
      <c r="E44" s="74"/>
      <c r="F44" s="74"/>
      <c r="G44" s="74"/>
      <c r="H44" s="74"/>
      <c r="I44" s="74"/>
      <c r="J44" s="74"/>
    </row>
    <row r="45" spans="1:10" ht="18.75" x14ac:dyDescent="0.3">
      <c r="A45" s="74"/>
      <c r="B45" s="74"/>
      <c r="C45" s="74"/>
      <c r="D45" s="74"/>
      <c r="E45" s="74"/>
      <c r="F45" s="74"/>
      <c r="G45" s="74"/>
      <c r="H45" s="74"/>
      <c r="I45" s="74"/>
      <c r="J45" s="74"/>
    </row>
    <row r="46" spans="1:10" ht="18.75" x14ac:dyDescent="0.3">
      <c r="A46" s="74"/>
      <c r="B46" s="74"/>
      <c r="C46" s="74"/>
      <c r="D46" s="74"/>
      <c r="E46" s="74"/>
      <c r="F46" s="74"/>
      <c r="G46" s="74"/>
      <c r="H46" s="74"/>
      <c r="I46" s="74"/>
      <c r="J46" s="74"/>
    </row>
    <row r="47" spans="1:10" ht="18.75" x14ac:dyDescent="0.3">
      <c r="A47" s="74"/>
      <c r="B47" s="74"/>
      <c r="C47" s="74"/>
      <c r="D47" s="74"/>
      <c r="E47" s="74"/>
      <c r="F47" s="74"/>
      <c r="G47" s="74"/>
      <c r="H47" s="74"/>
      <c r="I47" s="74"/>
      <c r="J47" s="74"/>
    </row>
    <row r="48" spans="1:10" ht="18.75" x14ac:dyDescent="0.3">
      <c r="A48" s="74"/>
      <c r="B48" s="74"/>
      <c r="C48" s="74"/>
      <c r="D48" s="74"/>
      <c r="E48" s="74"/>
      <c r="F48" s="74"/>
      <c r="G48" s="74"/>
      <c r="H48" s="74"/>
      <c r="I48" s="74"/>
      <c r="J48" s="74"/>
    </row>
    <row r="49" spans="1:10" ht="18.75" x14ac:dyDescent="0.3">
      <c r="A49" s="74"/>
      <c r="B49" s="74"/>
      <c r="C49" s="74"/>
      <c r="D49" s="74"/>
      <c r="E49" s="74"/>
      <c r="F49" s="74"/>
      <c r="G49" s="74"/>
      <c r="H49" s="74"/>
      <c r="I49" s="74"/>
      <c r="J49" s="74"/>
    </row>
    <row r="50" spans="1:10" ht="18.75" x14ac:dyDescent="0.3">
      <c r="A50" s="74"/>
      <c r="B50" s="74"/>
      <c r="C50" s="74"/>
      <c r="D50" s="74"/>
      <c r="E50" s="74"/>
      <c r="F50" s="74"/>
      <c r="G50" s="74"/>
      <c r="H50" s="74"/>
      <c r="I50" s="74"/>
      <c r="J50" s="74"/>
    </row>
    <row r="51" spans="1:10" ht="18.75" x14ac:dyDescent="0.3">
      <c r="A51" s="74"/>
      <c r="B51" s="74"/>
      <c r="C51" s="74"/>
      <c r="D51" s="74"/>
      <c r="E51" s="74"/>
      <c r="F51" s="74"/>
      <c r="G51" s="74"/>
      <c r="H51" s="74"/>
      <c r="I51" s="74"/>
      <c r="J51" s="74"/>
    </row>
    <row r="52" spans="1:10" ht="18.75" x14ac:dyDescent="0.3">
      <c r="A52" s="74"/>
      <c r="B52" s="74"/>
      <c r="C52" s="74"/>
      <c r="D52" s="74"/>
      <c r="E52" s="74"/>
      <c r="F52" s="74"/>
      <c r="G52" s="74"/>
      <c r="H52" s="74"/>
      <c r="I52" s="74"/>
      <c r="J52" s="74"/>
    </row>
    <row r="53" spans="1:10" ht="18.75" x14ac:dyDescent="0.3">
      <c r="A53" s="74"/>
      <c r="B53" s="74"/>
      <c r="C53" s="74"/>
      <c r="D53" s="74"/>
      <c r="E53" s="74"/>
      <c r="F53" s="74"/>
      <c r="G53" s="74"/>
      <c r="H53" s="74"/>
      <c r="I53" s="74"/>
      <c r="J53" s="74"/>
    </row>
    <row r="54" spans="1:10" ht="18.75" x14ac:dyDescent="0.3">
      <c r="A54" s="74"/>
      <c r="B54" s="74"/>
      <c r="C54" s="74"/>
      <c r="D54" s="74"/>
      <c r="E54" s="74"/>
      <c r="F54" s="74"/>
      <c r="G54" s="74"/>
      <c r="H54" s="74"/>
      <c r="I54" s="74"/>
      <c r="J54" s="74"/>
    </row>
    <row r="55" spans="1:10" ht="18.75" x14ac:dyDescent="0.3">
      <c r="A55" s="74"/>
      <c r="B55" s="74"/>
      <c r="C55" s="74"/>
      <c r="D55" s="74"/>
      <c r="E55" s="74"/>
      <c r="F55" s="74"/>
      <c r="G55" s="74"/>
      <c r="H55" s="74"/>
      <c r="I55" s="74"/>
      <c r="J55" s="74"/>
    </row>
    <row r="56" spans="1:10" ht="18.75" x14ac:dyDescent="0.3">
      <c r="A56" s="74"/>
      <c r="B56" s="74"/>
      <c r="C56" s="74"/>
      <c r="D56" s="74"/>
      <c r="E56" s="74"/>
      <c r="F56" s="74"/>
      <c r="G56" s="74"/>
      <c r="H56" s="74"/>
      <c r="I56" s="74"/>
      <c r="J56" s="74"/>
    </row>
    <row r="57" spans="1:10" ht="18.75" x14ac:dyDescent="0.3">
      <c r="A57" s="74"/>
      <c r="B57" s="74"/>
      <c r="C57" s="74"/>
      <c r="D57" s="74"/>
      <c r="E57" s="74"/>
      <c r="F57" s="74"/>
      <c r="G57" s="74"/>
      <c r="H57" s="74"/>
      <c r="I57" s="74"/>
      <c r="J57" s="74"/>
    </row>
    <row r="58" spans="1:10" ht="18.75" x14ac:dyDescent="0.3">
      <c r="A58" s="74"/>
      <c r="B58" s="74"/>
      <c r="C58" s="74"/>
      <c r="D58" s="74"/>
      <c r="E58" s="74"/>
      <c r="F58" s="74"/>
      <c r="G58" s="74"/>
      <c r="H58" s="74"/>
      <c r="I58" s="74"/>
      <c r="J58" s="74"/>
    </row>
    <row r="59" spans="1:10" ht="18.75" x14ac:dyDescent="0.3">
      <c r="A59" s="74"/>
      <c r="B59" s="74"/>
      <c r="C59" s="74"/>
      <c r="D59" s="74"/>
      <c r="E59" s="74"/>
      <c r="F59" s="74"/>
      <c r="G59" s="74"/>
      <c r="H59" s="74"/>
      <c r="I59" s="74"/>
      <c r="J59" s="74"/>
    </row>
    <row r="60" spans="1:10" ht="18.75" x14ac:dyDescent="0.3">
      <c r="A60" s="74"/>
      <c r="B60" s="74"/>
      <c r="C60" s="74"/>
      <c r="D60" s="74"/>
      <c r="E60" s="74"/>
      <c r="F60" s="74"/>
      <c r="G60" s="74"/>
      <c r="H60" s="74"/>
      <c r="I60" s="74"/>
      <c r="J60" s="74"/>
    </row>
    <row r="61" spans="1:10" ht="18.75" x14ac:dyDescent="0.3">
      <c r="A61" s="74"/>
      <c r="B61" s="74"/>
      <c r="C61" s="74"/>
      <c r="D61" s="74"/>
      <c r="E61" s="74"/>
      <c r="F61" s="74"/>
      <c r="G61" s="74"/>
      <c r="H61" s="74"/>
      <c r="I61" s="74"/>
      <c r="J61" s="74"/>
    </row>
    <row r="62" spans="1:10" ht="18.75" x14ac:dyDescent="0.3">
      <c r="A62" s="74"/>
      <c r="B62" s="74"/>
      <c r="C62" s="74"/>
      <c r="D62" s="74"/>
      <c r="E62" s="74"/>
      <c r="F62" s="74"/>
      <c r="G62" s="74"/>
      <c r="H62" s="74"/>
      <c r="I62" s="74"/>
      <c r="J62" s="74"/>
    </row>
    <row r="63" spans="1:10" ht="18.75" x14ac:dyDescent="0.3">
      <c r="A63" s="74"/>
      <c r="B63" s="74"/>
      <c r="C63" s="74"/>
      <c r="D63" s="74"/>
      <c r="E63" s="74"/>
      <c r="F63" s="74"/>
      <c r="G63" s="74"/>
      <c r="H63" s="74"/>
      <c r="I63" s="74"/>
      <c r="J63" s="74"/>
    </row>
    <row r="64" spans="1:10" ht="18.75" x14ac:dyDescent="0.3">
      <c r="A64" s="74"/>
      <c r="B64" s="74"/>
      <c r="C64" s="74"/>
      <c r="D64" s="74"/>
      <c r="E64" s="74"/>
      <c r="F64" s="74"/>
      <c r="G64" s="74"/>
      <c r="H64" s="74"/>
      <c r="I64" s="74"/>
      <c r="J64" s="74"/>
    </row>
    <row r="65" spans="1:10" ht="18.75" x14ac:dyDescent="0.3">
      <c r="A65" s="74"/>
      <c r="B65" s="74"/>
      <c r="C65" s="74"/>
      <c r="D65" s="74"/>
      <c r="E65" s="74"/>
      <c r="F65" s="74"/>
      <c r="G65" s="74"/>
      <c r="H65" s="74"/>
      <c r="I65" s="74"/>
      <c r="J65" s="74"/>
    </row>
    <row r="66" spans="1:10" ht="18.75" x14ac:dyDescent="0.3">
      <c r="A66" s="74"/>
      <c r="B66" s="74"/>
      <c r="C66" s="74"/>
      <c r="D66" s="74"/>
      <c r="E66" s="74"/>
      <c r="F66" s="74"/>
      <c r="G66" s="74"/>
      <c r="H66" s="74"/>
      <c r="I66" s="74"/>
      <c r="J66" s="74"/>
    </row>
    <row r="67" spans="1:10" ht="18.75" x14ac:dyDescent="0.3">
      <c r="A67" s="74"/>
      <c r="B67" s="74"/>
      <c r="C67" s="74"/>
      <c r="D67" s="74"/>
      <c r="E67" s="74"/>
      <c r="F67" s="74"/>
      <c r="G67" s="74"/>
      <c r="H67" s="74"/>
      <c r="I67" s="74"/>
      <c r="J67" s="74"/>
    </row>
    <row r="68" spans="1:10" ht="18.75" x14ac:dyDescent="0.3">
      <c r="A68" s="74"/>
      <c r="B68" s="74"/>
      <c r="C68" s="74"/>
      <c r="D68" s="74"/>
      <c r="E68" s="74"/>
      <c r="F68" s="74"/>
      <c r="G68" s="74"/>
      <c r="H68" s="74"/>
      <c r="I68" s="74"/>
      <c r="J68" s="74"/>
    </row>
    <row r="69" spans="1:10" ht="18.75" x14ac:dyDescent="0.3">
      <c r="A69" s="74"/>
      <c r="B69" s="74"/>
      <c r="C69" s="74"/>
      <c r="D69" s="74"/>
      <c r="E69" s="74"/>
      <c r="F69" s="74"/>
      <c r="G69" s="74"/>
      <c r="H69" s="74"/>
      <c r="I69" s="74"/>
      <c r="J69" s="74"/>
    </row>
    <row r="70" spans="1:10" ht="18.75" x14ac:dyDescent="0.3">
      <c r="A70" s="74"/>
      <c r="B70" s="74"/>
      <c r="C70" s="74"/>
      <c r="D70" s="74"/>
      <c r="E70" s="74"/>
      <c r="F70" s="74"/>
      <c r="G70" s="74"/>
      <c r="H70" s="74"/>
      <c r="I70" s="74"/>
      <c r="J70" s="74"/>
    </row>
    <row r="71" spans="1:10" ht="18.75" x14ac:dyDescent="0.3">
      <c r="A71" s="74"/>
      <c r="B71" s="74"/>
      <c r="C71" s="74"/>
      <c r="D71" s="74"/>
      <c r="E71" s="74"/>
      <c r="F71" s="74"/>
      <c r="G71" s="74"/>
      <c r="H71" s="74"/>
      <c r="I71" s="74"/>
      <c r="J71" s="74"/>
    </row>
    <row r="72" spans="1:10" ht="18.75" x14ac:dyDescent="0.3">
      <c r="A72" s="74"/>
      <c r="B72" s="74"/>
      <c r="C72" s="74"/>
      <c r="D72" s="74"/>
      <c r="E72" s="74"/>
      <c r="F72" s="74"/>
      <c r="G72" s="74"/>
      <c r="H72" s="74"/>
      <c r="I72" s="74"/>
      <c r="J72" s="74"/>
    </row>
    <row r="73" spans="1:10" ht="18.75" x14ac:dyDescent="0.3">
      <c r="A73" s="74"/>
      <c r="B73" s="74"/>
      <c r="C73" s="74"/>
      <c r="D73" s="74"/>
      <c r="E73" s="74"/>
      <c r="F73" s="74"/>
      <c r="G73" s="74"/>
      <c r="H73" s="74"/>
      <c r="I73" s="74"/>
      <c r="J73" s="74"/>
    </row>
    <row r="74" spans="1:10" ht="18.75" x14ac:dyDescent="0.3">
      <c r="A74" s="74"/>
      <c r="B74" s="74"/>
      <c r="C74" s="74"/>
      <c r="D74" s="74"/>
      <c r="E74" s="74"/>
      <c r="F74" s="74"/>
      <c r="G74" s="74"/>
      <c r="H74" s="74"/>
      <c r="I74" s="74"/>
      <c r="J74" s="74"/>
    </row>
    <row r="75" spans="1:10" ht="18.75" x14ac:dyDescent="0.3">
      <c r="A75" s="74"/>
      <c r="B75" s="74"/>
      <c r="C75" s="74"/>
      <c r="D75" s="74"/>
      <c r="E75" s="74"/>
      <c r="F75" s="74"/>
      <c r="G75" s="74"/>
      <c r="H75" s="74"/>
      <c r="I75" s="74"/>
      <c r="J75" s="74"/>
    </row>
    <row r="76" spans="1:10" ht="18.75" x14ac:dyDescent="0.3">
      <c r="A76" s="74"/>
      <c r="B76" s="74"/>
      <c r="C76" s="74"/>
      <c r="D76" s="74"/>
      <c r="E76" s="74"/>
      <c r="F76" s="74"/>
      <c r="G76" s="74"/>
      <c r="H76" s="74"/>
      <c r="I76" s="74"/>
      <c r="J76" s="74"/>
    </row>
    <row r="77" spans="1:10" ht="18.75" x14ac:dyDescent="0.3">
      <c r="A77" s="74"/>
      <c r="B77" s="74"/>
      <c r="C77" s="74"/>
      <c r="D77" s="74"/>
      <c r="E77" s="74"/>
      <c r="F77" s="74"/>
      <c r="G77" s="74"/>
      <c r="H77" s="74"/>
      <c r="I77" s="74"/>
      <c r="J77" s="74"/>
    </row>
    <row r="78" spans="1:10" ht="18.75" x14ac:dyDescent="0.3">
      <c r="A78" s="74"/>
      <c r="B78" s="74"/>
      <c r="C78" s="74"/>
      <c r="D78" s="74"/>
      <c r="E78" s="74"/>
      <c r="F78" s="74"/>
      <c r="G78" s="74"/>
      <c r="H78" s="74"/>
      <c r="I78" s="74"/>
      <c r="J78" s="74"/>
    </row>
    <row r="79" spans="1:10" ht="18.75" x14ac:dyDescent="0.3">
      <c r="A79" s="74"/>
      <c r="B79" s="74"/>
      <c r="C79" s="74"/>
      <c r="D79" s="74"/>
      <c r="E79" s="74"/>
      <c r="F79" s="74"/>
      <c r="G79" s="74"/>
      <c r="H79" s="74"/>
      <c r="I79" s="74"/>
      <c r="J79" s="74"/>
    </row>
    <row r="80" spans="1:10" ht="18.75" x14ac:dyDescent="0.3">
      <c r="A80" s="74"/>
      <c r="B80" s="74"/>
      <c r="C80" s="74"/>
      <c r="D80" s="74"/>
      <c r="E80" s="74"/>
      <c r="F80" s="74"/>
      <c r="G80" s="74"/>
      <c r="H80" s="74"/>
      <c r="I80" s="74"/>
      <c r="J80" s="74"/>
    </row>
    <row r="81" spans="1:10" ht="18.75" x14ac:dyDescent="0.3">
      <c r="A81" s="74"/>
      <c r="B81" s="74"/>
      <c r="C81" s="74"/>
      <c r="D81" s="74"/>
      <c r="E81" s="74"/>
      <c r="F81" s="74"/>
      <c r="G81" s="74"/>
      <c r="H81" s="74"/>
      <c r="I81" s="74"/>
      <c r="J81" s="74"/>
    </row>
    <row r="82" spans="1:10" ht="18.75" x14ac:dyDescent="0.3">
      <c r="A82" s="74"/>
      <c r="B82" s="74"/>
      <c r="C82" s="74"/>
      <c r="D82" s="74"/>
      <c r="E82" s="74"/>
      <c r="F82" s="74"/>
      <c r="G82" s="74"/>
      <c r="H82" s="74"/>
      <c r="I82" s="74"/>
      <c r="J82" s="74"/>
    </row>
    <row r="83" spans="1:10" ht="18.75" x14ac:dyDescent="0.3">
      <c r="A83" s="74"/>
      <c r="B83" s="74"/>
      <c r="C83" s="74"/>
      <c r="D83" s="74"/>
      <c r="E83" s="74"/>
      <c r="F83" s="74"/>
      <c r="G83" s="74"/>
      <c r="H83" s="74"/>
      <c r="I83" s="74"/>
      <c r="J83" s="74"/>
    </row>
    <row r="84" spans="1:10" ht="18.75" x14ac:dyDescent="0.3">
      <c r="A84" s="74"/>
      <c r="B84" s="74"/>
      <c r="C84" s="74"/>
      <c r="D84" s="74"/>
      <c r="E84" s="74"/>
      <c r="F84" s="74"/>
      <c r="G84" s="74"/>
      <c r="H84" s="74"/>
      <c r="I84" s="74"/>
      <c r="J84" s="74"/>
    </row>
    <row r="85" spans="1:10" ht="18.75" x14ac:dyDescent="0.3">
      <c r="A85" s="74"/>
      <c r="B85" s="74"/>
      <c r="C85" s="74"/>
      <c r="D85" s="74"/>
      <c r="E85" s="74"/>
      <c r="F85" s="74"/>
      <c r="G85" s="74"/>
      <c r="H85" s="74"/>
      <c r="I85" s="74"/>
      <c r="J85" s="74"/>
    </row>
    <row r="86" spans="1:10" ht="18.75" x14ac:dyDescent="0.3">
      <c r="A86" s="74"/>
      <c r="B86" s="74"/>
      <c r="C86" s="74"/>
      <c r="D86" s="74"/>
      <c r="E86" s="74"/>
      <c r="F86" s="74"/>
      <c r="G86" s="74"/>
      <c r="H86" s="74"/>
      <c r="I86" s="74"/>
      <c r="J86" s="74"/>
    </row>
    <row r="87" spans="1:10" ht="18.75" x14ac:dyDescent="0.3">
      <c r="A87" s="74"/>
      <c r="B87" s="74"/>
      <c r="C87" s="74"/>
      <c r="D87" s="74"/>
      <c r="E87" s="74"/>
      <c r="F87" s="74"/>
      <c r="G87" s="74"/>
      <c r="H87" s="74"/>
      <c r="I87" s="74"/>
      <c r="J87" s="74"/>
    </row>
    <row r="88" spans="1:10" ht="18.75" x14ac:dyDescent="0.3">
      <c r="A88" s="74"/>
      <c r="B88" s="74"/>
      <c r="C88" s="74"/>
      <c r="D88" s="74"/>
      <c r="E88" s="74"/>
      <c r="F88" s="74"/>
      <c r="G88" s="74"/>
      <c r="H88" s="74"/>
      <c r="I88" s="74"/>
      <c r="J88" s="74"/>
    </row>
    <row r="89" spans="1:10" ht="18.75" x14ac:dyDescent="0.3">
      <c r="A89" s="74"/>
      <c r="B89" s="74"/>
      <c r="C89" s="74"/>
      <c r="D89" s="74"/>
      <c r="E89" s="74"/>
      <c r="F89" s="74"/>
      <c r="G89" s="74"/>
      <c r="H89" s="74"/>
      <c r="I89" s="74"/>
      <c r="J89" s="74"/>
    </row>
    <row r="90" spans="1:10" ht="18.75" x14ac:dyDescent="0.3">
      <c r="A90" s="74"/>
      <c r="B90" s="74"/>
      <c r="C90" s="74"/>
      <c r="D90" s="74"/>
      <c r="E90" s="74"/>
      <c r="F90" s="74"/>
      <c r="G90" s="74"/>
      <c r="H90" s="74"/>
      <c r="I90" s="74"/>
      <c r="J90" s="74"/>
    </row>
    <row r="91" spans="1:10" ht="18.75" x14ac:dyDescent="0.3">
      <c r="A91" s="74"/>
      <c r="B91" s="74"/>
      <c r="C91" s="74"/>
      <c r="D91" s="74"/>
      <c r="E91" s="74"/>
      <c r="F91" s="74"/>
      <c r="G91" s="74"/>
      <c r="H91" s="74"/>
      <c r="I91" s="74"/>
      <c r="J91" s="74"/>
    </row>
    <row r="92" spans="1:10" ht="18.75" x14ac:dyDescent="0.3">
      <c r="A92" s="74"/>
      <c r="B92" s="74"/>
      <c r="C92" s="74"/>
      <c r="D92" s="74"/>
      <c r="E92" s="74"/>
      <c r="F92" s="74"/>
      <c r="G92" s="74"/>
      <c r="H92" s="74"/>
      <c r="I92" s="74"/>
      <c r="J92" s="74"/>
    </row>
  </sheetData>
  <mergeCells count="4">
    <mergeCell ref="B4:D4"/>
    <mergeCell ref="F4:H4"/>
    <mergeCell ref="B5:D5"/>
    <mergeCell ref="F5:H5"/>
  </mergeCells>
  <hyperlinks>
    <hyperlink ref="B1" location="Innhold!A1" display="Tilbake" xr:uid="{00000000-0004-0000-0500-000000000000}"/>
  </hyperlinks>
  <pageMargins left="0.70866141732283472" right="0.70866141732283472" top="0.74803149606299213" bottom="0.74803149606299213" header="0.31496062992125984" footer="0.31496062992125984"/>
  <pageSetup paperSize="9" scale="6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6"/>
  <dimension ref="A1:M303"/>
  <sheetViews>
    <sheetView showGridLines="0" showZeros="0" zoomScaleNormal="100" zoomScaleSheetLayoutView="80" workbookViewId="0">
      <pane xSplit="1" ySplit="1" topLeftCell="B2" activePane="bottomRight" state="frozen"/>
      <selection activeCell="J44" sqref="J44"/>
      <selection pane="topRight" activeCell="J44" sqref="J44"/>
      <selection pane="bottomLeft" activeCell="J44" sqref="J44"/>
      <selection pane="bottomRight" activeCell="A2" sqref="A2"/>
    </sheetView>
  </sheetViews>
  <sheetFormatPr baseColWidth="10" defaultColWidth="11.42578125" defaultRowHeight="12.75" x14ac:dyDescent="0.2"/>
  <cols>
    <col min="1" max="1" width="57.140625" style="1" customWidth="1"/>
    <col min="2" max="2" width="10.7109375" style="1" customWidth="1"/>
    <col min="3" max="3" width="10.85546875" style="1" customWidth="1"/>
    <col min="4" max="4" width="8.7109375" style="1" customWidth="1"/>
    <col min="5" max="5" width="10.7109375" style="1" customWidth="1"/>
    <col min="6" max="6" width="10.85546875" style="1" customWidth="1"/>
    <col min="7" max="7" width="8.7109375" style="1" customWidth="1"/>
    <col min="8" max="8" width="10.7109375" style="1" customWidth="1"/>
    <col min="9" max="9" width="10.85546875" style="1" customWidth="1"/>
    <col min="10" max="10" width="8.7109375" style="1" customWidth="1"/>
    <col min="11" max="16384" width="11.42578125" style="1"/>
  </cols>
  <sheetData>
    <row r="1" spans="1:10" ht="15.75" customHeight="1" x14ac:dyDescent="0.2">
      <c r="A1" s="351">
        <v>4</v>
      </c>
      <c r="B1" s="4"/>
      <c r="C1" s="4"/>
      <c r="D1" s="4"/>
      <c r="E1" s="4"/>
      <c r="F1" s="4"/>
      <c r="G1" s="4"/>
      <c r="H1" s="4"/>
      <c r="I1" s="4"/>
      <c r="J1" s="4"/>
    </row>
    <row r="2" spans="1:10" ht="15.75" customHeight="1" x14ac:dyDescent="0.25">
      <c r="A2" s="165" t="s">
        <v>28</v>
      </c>
      <c r="B2" s="730"/>
      <c r="C2" s="730"/>
      <c r="D2" s="730"/>
      <c r="E2" s="730"/>
      <c r="F2" s="730"/>
      <c r="G2" s="730"/>
      <c r="H2" s="730"/>
      <c r="I2" s="730"/>
      <c r="J2" s="730"/>
    </row>
    <row r="3" spans="1:10" ht="15.75" customHeight="1" x14ac:dyDescent="0.25">
      <c r="A3" s="163"/>
      <c r="B3" s="297"/>
      <c r="C3" s="297"/>
      <c r="D3" s="297"/>
      <c r="E3" s="297"/>
      <c r="F3" s="297"/>
      <c r="G3" s="297"/>
      <c r="H3" s="297"/>
      <c r="I3" s="297"/>
      <c r="J3" s="297"/>
    </row>
    <row r="4" spans="1:10" ht="15.75" customHeight="1" x14ac:dyDescent="0.2">
      <c r="A4" s="144"/>
      <c r="B4" s="727" t="s">
        <v>0</v>
      </c>
      <c r="C4" s="728"/>
      <c r="D4" s="728"/>
      <c r="E4" s="727" t="s">
        <v>1</v>
      </c>
      <c r="F4" s="728"/>
      <c r="G4" s="728"/>
      <c r="H4" s="727" t="s">
        <v>2</v>
      </c>
      <c r="I4" s="728"/>
      <c r="J4" s="729"/>
    </row>
    <row r="5" spans="1:10" ht="15.75" customHeight="1" x14ac:dyDescent="0.2">
      <c r="A5" s="158"/>
      <c r="B5" s="20" t="s">
        <v>421</v>
      </c>
      <c r="C5" s="20" t="s">
        <v>422</v>
      </c>
      <c r="D5" s="249" t="s">
        <v>3</v>
      </c>
      <c r="E5" s="20" t="s">
        <v>421</v>
      </c>
      <c r="F5" s="20" t="s">
        <v>422</v>
      </c>
      <c r="G5" s="249" t="s">
        <v>3</v>
      </c>
      <c r="H5" s="20" t="s">
        <v>421</v>
      </c>
      <c r="I5" s="20" t="s">
        <v>422</v>
      </c>
      <c r="J5" s="249" t="s">
        <v>3</v>
      </c>
    </row>
    <row r="6" spans="1:10" ht="15.75" customHeight="1" x14ac:dyDescent="0.2">
      <c r="A6" s="707"/>
      <c r="B6" s="15"/>
      <c r="C6" s="15"/>
      <c r="D6" s="17" t="s">
        <v>4</v>
      </c>
      <c r="E6" s="16"/>
      <c r="F6" s="16"/>
      <c r="G6" s="15" t="s">
        <v>4</v>
      </c>
      <c r="H6" s="16"/>
      <c r="I6" s="16"/>
      <c r="J6" s="15" t="s">
        <v>4</v>
      </c>
    </row>
    <row r="7" spans="1:10" s="43" customFormat="1" ht="15.75" customHeight="1" x14ac:dyDescent="0.2">
      <c r="A7" s="14" t="s">
        <v>23</v>
      </c>
      <c r="B7" s="236">
        <f>'Fremtind Livsforsikring'!B7+'Danica Pensjonsforsikring'!B7+'DNB Livsforsikring'!B7+'Eika Forsikring AS'!B7+'Frende Livsforsikring'!B7+'Frende Skadeforsikring'!B7+'Gjensidige Forsikring'!B7+'Gjensidige Pensjon'!B7+'Handelsbanken Liv'!B7+'If Skadeforsikring NUF'!B7+KLP!B7+'DNB Bedriftspensjon'!B7+'KLP Skadeforsikring AS'!B7+'Landkreditt Forsikring'!B7+Insr!B7+'Nordea Liv '!B7+'Oslo Pensjonsforsikring'!B7+'Protector Forsikring'!B7+'SHB Liv'!B7+'Sparebank 1'!B7+'Storebrand Livsforsikring'!B7+'Telenor Forsikring'!B7+'Tryg Forsikring'!B7+'WaterCircle F'!B7</f>
        <v>3648140.3237320976</v>
      </c>
      <c r="C7" s="236">
        <f>'Fremtind Livsforsikring'!C7+'Danica Pensjonsforsikring'!C7+'DNB Livsforsikring'!C7+'Eika Forsikring AS'!C7+'Frende Livsforsikring'!C7+'Frende Skadeforsikring'!C7+'Gjensidige Forsikring'!C7+'Gjensidige Pensjon'!C7+'Handelsbanken Liv'!C7+'If Skadeforsikring NUF'!C7+KLP!C7+'DNB Bedriftspensjon'!C7+'KLP Skadeforsikring AS'!C7+'Landkreditt Forsikring'!C7+Insr!C7+'Nordea Liv '!C7+'Oslo Pensjonsforsikring'!C7+'Protector Forsikring'!C7+'SHB Liv'!C7+'Sparebank 1'!C7+'Storebrand Livsforsikring'!C7+'Telenor Forsikring'!C7+'Tryg Forsikring'!C7+'WaterCircle F'!C7</f>
        <v>3690062.0809851093</v>
      </c>
      <c r="D7" s="160">
        <f t="shared" ref="D7:D12" si="0">IF(B7=0, "    ---- ", IF(ABS(ROUND(100/B7*C7-100,1))&lt;999,ROUND(100/B7*C7-100,1),IF(ROUND(100/B7*C7-100,1)&gt;999,999,-999)))</f>
        <v>1.1000000000000001</v>
      </c>
      <c r="E7" s="236">
        <f>'Fremtind Livsforsikring'!F7+'Danica Pensjonsforsikring'!F7+'DNB Livsforsikring'!F7+'Eika Forsikring AS'!F7+'Frende Livsforsikring'!F7+'Frende Skadeforsikring'!F7+'Gjensidige Forsikring'!F7+'Gjensidige Pensjon'!F7+'Handelsbanken Liv'!F7+'If Skadeforsikring NUF'!F7+KLP!F7+'DNB Bedriftspensjon'!F7+'KLP Skadeforsikring AS'!F7+'Landkreditt Forsikring'!F7+Insr!F7+'Nordea Liv '!F7+'Oslo Pensjonsforsikring'!F7+'Protector Forsikring'!F7+'SHB Liv'!F7+'Sparebank 1'!F7+'Storebrand Livsforsikring'!F7+'Telenor Forsikring'!F7+'Tryg Forsikring'!F7+'WaterCircle F'!F7</f>
        <v>7165809.1212200001</v>
      </c>
      <c r="F7" s="236">
        <f>'Fremtind Livsforsikring'!G7+'Danica Pensjonsforsikring'!G7+'DNB Livsforsikring'!G7+'Eika Forsikring AS'!G7+'Frende Livsforsikring'!G7+'Frende Skadeforsikring'!G7+'Gjensidige Forsikring'!G7+'Gjensidige Pensjon'!G7+'Handelsbanken Liv'!G7+'If Skadeforsikring NUF'!G7+KLP!G7+'DNB Bedriftspensjon'!G7+'KLP Skadeforsikring AS'!G7+'Landkreditt Forsikring'!G7+Insr!G7+'Nordea Liv '!G7+'Oslo Pensjonsforsikring'!G7+'Protector Forsikring'!G7+'SHB Liv'!G7+'Sparebank 1'!G7+'Storebrand Livsforsikring'!G7+'Telenor Forsikring'!G7+'Tryg Forsikring'!G7+'WaterCircle F'!G7</f>
        <v>6903912.3569899993</v>
      </c>
      <c r="G7" s="160">
        <f t="shared" ref="G7:G12" si="1">IF(E7=0, "    ---- ", IF(ABS(ROUND(100/E7*F7-100,1))&lt;999,ROUND(100/E7*F7-100,1),IF(ROUND(100/E7*F7-100,1)&gt;999,999,-999)))</f>
        <v>-3.7</v>
      </c>
      <c r="H7" s="277">
        <f t="shared" ref="H7:H12" si="2">B7+E7</f>
        <v>10813949.444952097</v>
      </c>
      <c r="I7" s="278">
        <f t="shared" ref="I7:I12" si="3">C7+F7</f>
        <v>10593974.437975109</v>
      </c>
      <c r="J7" s="171">
        <f t="shared" ref="J7:J12" si="4">IF(H7=0, "    ---- ", IF(ABS(ROUND(100/H7*I7-100,1))&lt;999,ROUND(100/H7*I7-100,1),IF(ROUND(100/H7*I7-100,1)&gt;999,999,-999)))</f>
        <v>-2</v>
      </c>
    </row>
    <row r="8" spans="1:10" ht="15.75" customHeight="1" x14ac:dyDescent="0.2">
      <c r="A8" s="21" t="s">
        <v>25</v>
      </c>
      <c r="B8" s="44">
        <f>'Fremtind Livsforsikring'!B8+'Danica Pensjonsforsikring'!B8+'DNB Livsforsikring'!B8+'Eika Forsikring AS'!B8+'Frende Livsforsikring'!B8+'Frende Skadeforsikring'!B8+'Gjensidige Forsikring'!B8+'Gjensidige Pensjon'!B8+'Handelsbanken Liv'!B8+'If Skadeforsikring NUF'!B8+KLP!B8+'DNB Bedriftspensjon'!B8+'KLP Skadeforsikring AS'!B8+'Landkreditt Forsikring'!B8+Insr!B8+'Nordea Liv '!B8+'Oslo Pensjonsforsikring'!B8+'Protector Forsikring'!B8+'SHB Liv'!B8+'Sparebank 1'!B8+'Storebrand Livsforsikring'!B8+'Telenor Forsikring'!B8+'Tryg Forsikring'!B8+'WaterCircle F'!B8</f>
        <v>2189458.5750036081</v>
      </c>
      <c r="C8" s="44">
        <f>'Fremtind Livsforsikring'!C8+'Danica Pensjonsforsikring'!C8+'DNB Livsforsikring'!C8+'Eika Forsikring AS'!C8+'Frende Livsforsikring'!C8+'Frende Skadeforsikring'!C8+'Gjensidige Forsikring'!C8+'Gjensidige Pensjon'!C8+'Handelsbanken Liv'!C8+'If Skadeforsikring NUF'!C8+KLP!C8+'DNB Bedriftspensjon'!C8+'KLP Skadeforsikring AS'!C8+'Landkreditt Forsikring'!C8+Insr!C8+'Nordea Liv '!C8+'Oslo Pensjonsforsikring'!C8+'Protector Forsikring'!C8+'SHB Liv'!C8+'Sparebank 1'!C8+'Storebrand Livsforsikring'!C8+'Telenor Forsikring'!C8+'Tryg Forsikring'!C8+'WaterCircle F'!C8</f>
        <v>2419126.8607237418</v>
      </c>
      <c r="D8" s="166">
        <f t="shared" si="0"/>
        <v>10.5</v>
      </c>
      <c r="E8" s="187"/>
      <c r="F8" s="187"/>
      <c r="G8" s="175"/>
      <c r="H8" s="189">
        <f t="shared" si="2"/>
        <v>2189458.5750036081</v>
      </c>
      <c r="I8" s="190">
        <f t="shared" si="3"/>
        <v>2419126.8607237418</v>
      </c>
      <c r="J8" s="171">
        <f t="shared" si="4"/>
        <v>10.5</v>
      </c>
    </row>
    <row r="9" spans="1:10" ht="15.75" customHeight="1" x14ac:dyDescent="0.2">
      <c r="A9" s="21" t="s">
        <v>24</v>
      </c>
      <c r="B9" s="44">
        <f>'Fremtind Livsforsikring'!B9+'Danica Pensjonsforsikring'!B9+'DNB Livsforsikring'!B9+'Eika Forsikring AS'!B9+'Frende Livsforsikring'!B9+'Frende Skadeforsikring'!B9+'Gjensidige Forsikring'!B9+'Gjensidige Pensjon'!B9+'Handelsbanken Liv'!B9+'If Skadeforsikring NUF'!B9+KLP!B9+'DNB Bedriftspensjon'!B9+'KLP Skadeforsikring AS'!B9+'Landkreditt Forsikring'!B9+Insr!B9+'Nordea Liv '!B9+'Oslo Pensjonsforsikring'!B9+'Protector Forsikring'!B9+'SHB Liv'!B9+'Sparebank 1'!B9+'Storebrand Livsforsikring'!B9+'Telenor Forsikring'!B9+'Tryg Forsikring'!B9+'WaterCircle F'!B9</f>
        <v>784418.76937318209</v>
      </c>
      <c r="C9" s="44">
        <f>'Fremtind Livsforsikring'!C9+'Danica Pensjonsforsikring'!C9+'DNB Livsforsikring'!C9+'Eika Forsikring AS'!C9+'Frende Livsforsikring'!C9+'Frende Skadeforsikring'!C9+'Gjensidige Forsikring'!C9+'Gjensidige Pensjon'!C9+'Handelsbanken Liv'!C9+'If Skadeforsikring NUF'!C9+KLP!C9+'DNB Bedriftspensjon'!C9+'KLP Skadeforsikring AS'!C9+'Landkreditt Forsikring'!C9+Insr!C9+'Nordea Liv '!C9+'Oslo Pensjonsforsikring'!C9+'Protector Forsikring'!C9+'SHB Liv'!C9+'Sparebank 1'!C9+'Storebrand Livsforsikring'!C9+'Telenor Forsikring'!C9+'Tryg Forsikring'!C9+'WaterCircle F'!C9</f>
        <v>754438.43645906507</v>
      </c>
      <c r="D9" s="175">
        <f t="shared" si="0"/>
        <v>-3.8</v>
      </c>
      <c r="E9" s="187"/>
      <c r="F9" s="187"/>
      <c r="G9" s="175"/>
      <c r="H9" s="189">
        <f t="shared" si="2"/>
        <v>784418.76937318209</v>
      </c>
      <c r="I9" s="190">
        <f t="shared" si="3"/>
        <v>754438.43645906507</v>
      </c>
      <c r="J9" s="171">
        <f t="shared" si="4"/>
        <v>-3.8</v>
      </c>
    </row>
    <row r="10" spans="1:10" s="43" customFormat="1" ht="15.75" customHeight="1" x14ac:dyDescent="0.2">
      <c r="A10" s="39" t="s">
        <v>365</v>
      </c>
      <c r="B10" s="236">
        <f>'Fremtind Livsforsikring'!B10+'Danica Pensjonsforsikring'!B10+'DNB Livsforsikring'!B10+'Eika Forsikring AS'!B10+'Frende Livsforsikring'!B10+'Frende Skadeforsikring'!B10+'Gjensidige Forsikring'!B10+'Gjensidige Pensjon'!B10+'Handelsbanken Liv'!B10+'If Skadeforsikring NUF'!B10+KLP!B10+'DNB Bedriftspensjon'!B10+'KLP Skadeforsikring AS'!B10+'Landkreditt Forsikring'!B10+Insr!B10+'Nordea Liv '!B10+'Oslo Pensjonsforsikring'!B10+'Protector Forsikring'!B10+'SHB Liv'!B10+'Sparebank 1'!B10+'Storebrand Livsforsikring'!B10+'Telenor Forsikring'!B10+'Tryg Forsikring'!B10+'WaterCircle F'!B10</f>
        <v>19308741.75651937</v>
      </c>
      <c r="C10" s="236">
        <f>'Fremtind Livsforsikring'!C10+'Danica Pensjonsforsikring'!C10+'DNB Livsforsikring'!C10+'Eika Forsikring AS'!C10+'Frende Livsforsikring'!C10+'Frende Skadeforsikring'!C10+'Gjensidige Forsikring'!C10+'Gjensidige Pensjon'!C10+'Handelsbanken Liv'!C10+'If Skadeforsikring NUF'!C10+KLP!C10+'DNB Bedriftspensjon'!C10+'KLP Skadeforsikring AS'!C10+'Landkreditt Forsikring'!C10+Insr!C10+'Nordea Liv '!C10+'Oslo Pensjonsforsikring'!C10+'Protector Forsikring'!C10+'SHB Liv'!C10+'Sparebank 1'!C10+'Storebrand Livsforsikring'!C10+'Telenor Forsikring'!C10+'Tryg Forsikring'!C10+'WaterCircle F'!C10</f>
        <v>18030106.492632322</v>
      </c>
      <c r="D10" s="160">
        <f t="shared" si="0"/>
        <v>-6.6</v>
      </c>
      <c r="E10" s="236">
        <f>'Fremtind Livsforsikring'!F10+'Danica Pensjonsforsikring'!F10+'DNB Livsforsikring'!F10+'Eika Forsikring AS'!F10+'Frende Livsforsikring'!F10+'Frende Skadeforsikring'!F10+'Gjensidige Forsikring'!F10+'Gjensidige Pensjon'!F10+'Handelsbanken Liv'!F10+'If Skadeforsikring NUF'!F10+KLP!F10+'DNB Bedriftspensjon'!F10+'KLP Skadeforsikring AS'!F10+'Landkreditt Forsikring'!F10+Insr!F10+'Nordea Liv '!F10+'Oslo Pensjonsforsikring'!F10+'Protector Forsikring'!F10+'SHB Liv'!F10+'Sparebank 1'!F10+'Storebrand Livsforsikring'!F10+'Telenor Forsikring'!F10+'Tryg Forsikring'!F10+'WaterCircle F'!F10</f>
        <v>49243113.64593</v>
      </c>
      <c r="F10" s="236">
        <f>'Fremtind Livsforsikring'!G10+'Danica Pensjonsforsikring'!G10+'DNB Livsforsikring'!G10+'Eika Forsikring AS'!G10+'Frende Livsforsikring'!G10+'Frende Skadeforsikring'!G10+'Gjensidige Forsikring'!G10+'Gjensidige Pensjon'!G10+'Handelsbanken Liv'!G10+'If Skadeforsikring NUF'!G10+KLP!G10+'DNB Bedriftspensjon'!G10+'KLP Skadeforsikring AS'!G10+'Landkreditt Forsikring'!G10+Insr!G10+'Nordea Liv '!G10+'Oslo Pensjonsforsikring'!G10+'Protector Forsikring'!G10+'SHB Liv'!G10+'Sparebank 1'!G10+'Storebrand Livsforsikring'!G10+'Telenor Forsikring'!G10+'Tryg Forsikring'!G10+'WaterCircle F'!G10</f>
        <v>55394936.068370007</v>
      </c>
      <c r="G10" s="160">
        <f t="shared" si="1"/>
        <v>12.5</v>
      </c>
      <c r="H10" s="277">
        <f t="shared" si="2"/>
        <v>68551855.402449369</v>
      </c>
      <c r="I10" s="278">
        <f t="shared" si="3"/>
        <v>73425042.561002329</v>
      </c>
      <c r="J10" s="171">
        <f t="shared" si="4"/>
        <v>7.1</v>
      </c>
    </row>
    <row r="11" spans="1:10" s="43" customFormat="1" ht="15.75" customHeight="1" x14ac:dyDescent="0.2">
      <c r="A11" s="39" t="s">
        <v>366</v>
      </c>
      <c r="B11" s="236">
        <f>'Fremtind Livsforsikring'!B11+'Danica Pensjonsforsikring'!B11+'DNB Livsforsikring'!B11+'Eika Forsikring AS'!B11+'Frende Livsforsikring'!B11+'Frende Skadeforsikring'!B11+'Gjensidige Forsikring'!B11+'Gjensidige Pensjon'!B11+'Handelsbanken Liv'!B11+'If Skadeforsikring NUF'!B11+KLP!B11+'DNB Bedriftspensjon'!B11+'KLP Skadeforsikring AS'!B11+'Landkreditt Forsikring'!B11+Insr!B11+'Nordea Liv '!B11+'Oslo Pensjonsforsikring'!B11+'Protector Forsikring'!B11+'SHB Liv'!B11+'Sparebank 1'!B11+'Storebrand Livsforsikring'!B11+'Telenor Forsikring'!B11+'Tryg Forsikring'!B11+'WaterCircle F'!B11</f>
        <v>45521.815999999999</v>
      </c>
      <c r="C11" s="236">
        <f>'Fremtind Livsforsikring'!C11+'Danica Pensjonsforsikring'!C11+'DNB Livsforsikring'!C11+'Eika Forsikring AS'!C11+'Frende Livsforsikring'!C11+'Frende Skadeforsikring'!C11+'Gjensidige Forsikring'!C11+'Gjensidige Pensjon'!C11+'Handelsbanken Liv'!C11+'If Skadeforsikring NUF'!C11+KLP!C11+'DNB Bedriftspensjon'!C11+'KLP Skadeforsikring AS'!C11+'Landkreditt Forsikring'!C11+Insr!C11+'Nordea Liv '!C11+'Oslo Pensjonsforsikring'!C11+'Protector Forsikring'!C11+'SHB Liv'!C11+'Sparebank 1'!C11+'Storebrand Livsforsikring'!C11+'Telenor Forsikring'!C11+'Tryg Forsikring'!C11+'WaterCircle F'!C11</f>
        <v>29977</v>
      </c>
      <c r="D11" s="171">
        <f t="shared" si="0"/>
        <v>-34.1</v>
      </c>
      <c r="E11" s="236">
        <f>'Fremtind Livsforsikring'!F11+'Danica Pensjonsforsikring'!F11+'DNB Livsforsikring'!F11+'Eika Forsikring AS'!F11+'Frende Livsforsikring'!F11+'Frende Skadeforsikring'!F11+'Gjensidige Forsikring'!F11+'Gjensidige Pensjon'!F11+'Handelsbanken Liv'!F11+'If Skadeforsikring NUF'!F11+KLP!F11+'DNB Bedriftspensjon'!F11+'KLP Skadeforsikring AS'!F11+'Landkreditt Forsikring'!F11+Insr!F11+'Nordea Liv '!F11+'Oslo Pensjonsforsikring'!F11+'Protector Forsikring'!F11+'SHB Liv'!F11+'Sparebank 1'!F11+'Storebrand Livsforsikring'!F11+'Telenor Forsikring'!F11+'Tryg Forsikring'!F11+'WaterCircle F'!F11</f>
        <v>230644.28218000001</v>
      </c>
      <c r="F11" s="236">
        <f>'Fremtind Livsforsikring'!G11+'Danica Pensjonsforsikring'!G11+'DNB Livsforsikring'!G11+'Eika Forsikring AS'!G11+'Frende Livsforsikring'!G11+'Frende Skadeforsikring'!G11+'Gjensidige Forsikring'!G11+'Gjensidige Pensjon'!G11+'Handelsbanken Liv'!G11+'If Skadeforsikring NUF'!G11+KLP!G11+'DNB Bedriftspensjon'!G11+'KLP Skadeforsikring AS'!G11+'Landkreditt Forsikring'!G11+Insr!G11+'Nordea Liv '!G11+'Oslo Pensjonsforsikring'!G11+'Protector Forsikring'!G11+'SHB Liv'!G11+'Sparebank 1'!G11+'Storebrand Livsforsikring'!G11+'Telenor Forsikring'!G11+'Tryg Forsikring'!G11+'WaterCircle F'!G11</f>
        <v>259078.51036999997</v>
      </c>
      <c r="G11" s="171">
        <f t="shared" si="1"/>
        <v>12.3</v>
      </c>
      <c r="H11" s="277">
        <f t="shared" si="2"/>
        <v>276166.09818000003</v>
      </c>
      <c r="I11" s="278">
        <f t="shared" si="3"/>
        <v>289055.51036999997</v>
      </c>
      <c r="J11" s="171">
        <f t="shared" si="4"/>
        <v>4.7</v>
      </c>
    </row>
    <row r="12" spans="1:10" s="43" customFormat="1" ht="15.75" customHeight="1" x14ac:dyDescent="0.2">
      <c r="A12" s="585" t="s">
        <v>367</v>
      </c>
      <c r="B12" s="276">
        <f>'Fremtind Livsforsikring'!B12+'Danica Pensjonsforsikring'!B12+'DNB Livsforsikring'!B12+'Eika Forsikring AS'!B12+'Frende Livsforsikring'!B12+'Frende Skadeforsikring'!B12+'Gjensidige Forsikring'!B12+'Gjensidige Pensjon'!B12+'Handelsbanken Liv'!B12+'If Skadeforsikring NUF'!B12+KLP!B12+'DNB Bedriftspensjon'!B12+'KLP Skadeforsikring AS'!B12+'Landkreditt Forsikring'!B12+Insr!B12+'Nordea Liv '!B12+'Oslo Pensjonsforsikring'!B12+'Protector Forsikring'!B12+'SHB Liv'!B12+'Sparebank 1'!B12+'Storebrand Livsforsikring'!B12+'Telenor Forsikring'!B12+'Tryg Forsikring'!B12+'WaterCircle F'!B12</f>
        <v>4903</v>
      </c>
      <c r="C12" s="276">
        <f>'Fremtind Livsforsikring'!C12+'Danica Pensjonsforsikring'!C12+'DNB Livsforsikring'!C12+'Eika Forsikring AS'!C12+'Frende Livsforsikring'!C12+'Frende Skadeforsikring'!C12+'Gjensidige Forsikring'!C12+'Gjensidige Pensjon'!C12+'Handelsbanken Liv'!C12+'If Skadeforsikring NUF'!C12+KLP!C12+'DNB Bedriftspensjon'!C12+'KLP Skadeforsikring AS'!C12+'Landkreditt Forsikring'!C12+Insr!C12+'Nordea Liv '!C12+'Oslo Pensjonsforsikring'!C12+'Protector Forsikring'!C12+'SHB Liv'!C12+'Sparebank 1'!C12+'Storebrand Livsforsikring'!C12+'Telenor Forsikring'!C12+'Tryg Forsikring'!C12+'WaterCircle F'!C12</f>
        <v>2399</v>
      </c>
      <c r="D12" s="170">
        <f t="shared" si="0"/>
        <v>-51.1</v>
      </c>
      <c r="E12" s="276">
        <f>'Fremtind Livsforsikring'!F12+'Danica Pensjonsforsikring'!F12+'DNB Livsforsikring'!F12+'Eika Forsikring AS'!F12+'Frende Livsforsikring'!F12+'Frende Skadeforsikring'!F12+'Gjensidige Forsikring'!F12+'Gjensidige Pensjon'!F12+'Handelsbanken Liv'!F12+'If Skadeforsikring NUF'!F12+KLP!F12+'DNB Bedriftspensjon'!F12+'KLP Skadeforsikring AS'!F12+'Landkreditt Forsikring'!F12+Insr!F12+'Nordea Liv '!F12+'Oslo Pensjonsforsikring'!F12+'Protector Forsikring'!F12+'SHB Liv'!F12+'Sparebank 1'!F12+'Storebrand Livsforsikring'!F12+'Telenor Forsikring'!F12+'Tryg Forsikring'!F12+'WaterCircle F'!F12</f>
        <v>168556.18584999998</v>
      </c>
      <c r="F12" s="276">
        <f>'Fremtind Livsforsikring'!G12+'Danica Pensjonsforsikring'!G12+'DNB Livsforsikring'!G12+'Eika Forsikring AS'!G12+'Frende Livsforsikring'!G12+'Frende Skadeforsikring'!G12+'Gjensidige Forsikring'!G12+'Gjensidige Pensjon'!G12+'Handelsbanken Liv'!G12+'If Skadeforsikring NUF'!G12+KLP!G12+'DNB Bedriftspensjon'!G12+'KLP Skadeforsikring AS'!G12+'Landkreditt Forsikring'!G12+Insr!G12+'Nordea Liv '!G12+'Oslo Pensjonsforsikring'!G12+'Protector Forsikring'!G12+'SHB Liv'!G12+'Sparebank 1'!G12+'Storebrand Livsforsikring'!G12+'Telenor Forsikring'!G12+'Tryg Forsikring'!G12+'WaterCircle F'!G12</f>
        <v>196657.65009000001</v>
      </c>
      <c r="G12" s="169">
        <f t="shared" si="1"/>
        <v>16.7</v>
      </c>
      <c r="H12" s="279">
        <f t="shared" si="2"/>
        <v>173459.18584999998</v>
      </c>
      <c r="I12" s="280">
        <f t="shared" si="3"/>
        <v>199056.65009000001</v>
      </c>
      <c r="J12" s="169">
        <f t="shared" si="4"/>
        <v>14.8</v>
      </c>
    </row>
    <row r="13" spans="1:10" s="43" customFormat="1" ht="15.75" customHeight="1" x14ac:dyDescent="0.2">
      <c r="A13" s="168"/>
      <c r="B13" s="35"/>
      <c r="C13" s="5"/>
      <c r="D13" s="32"/>
      <c r="E13" s="35"/>
      <c r="F13" s="5"/>
      <c r="G13" s="32"/>
      <c r="H13" s="48"/>
      <c r="I13" s="48"/>
      <c r="J13" s="32"/>
    </row>
    <row r="14" spans="1:10" ht="15.75" customHeight="1" x14ac:dyDescent="0.2">
      <c r="A14" s="153" t="s">
        <v>275</v>
      </c>
    </row>
    <row r="15" spans="1:10" ht="15.75" customHeight="1" x14ac:dyDescent="0.2">
      <c r="A15" s="149"/>
      <c r="E15" s="7"/>
      <c r="F15" s="7"/>
      <c r="G15" s="7"/>
      <c r="H15" s="7"/>
      <c r="I15" s="7"/>
      <c r="J15" s="7"/>
    </row>
    <row r="16" spans="1:10" s="3" customFormat="1" ht="15.75" customHeight="1" x14ac:dyDescent="0.25">
      <c r="A16" s="164"/>
      <c r="C16" s="30"/>
      <c r="D16" s="30"/>
      <c r="E16" s="30"/>
      <c r="F16" s="30"/>
      <c r="G16" s="30"/>
      <c r="H16" s="30"/>
      <c r="I16" s="30"/>
      <c r="J16" s="30"/>
    </row>
    <row r="17" spans="1:11" ht="15.75" customHeight="1" x14ac:dyDescent="0.25">
      <c r="A17" s="147" t="s">
        <v>272</v>
      </c>
      <c r="B17" s="28"/>
      <c r="C17" s="28"/>
      <c r="D17" s="29"/>
      <c r="E17" s="28"/>
      <c r="F17" s="28"/>
      <c r="G17" s="28"/>
      <c r="H17" s="28"/>
      <c r="I17" s="28"/>
      <c r="J17" s="28"/>
    </row>
    <row r="18" spans="1:11" ht="15.75" customHeight="1" x14ac:dyDescent="0.25">
      <c r="A18" s="149"/>
      <c r="B18" s="730"/>
      <c r="C18" s="730"/>
      <c r="D18" s="730"/>
      <c r="E18" s="730"/>
      <c r="F18" s="730"/>
      <c r="G18" s="730"/>
      <c r="H18" s="730"/>
      <c r="I18" s="730"/>
      <c r="J18" s="730"/>
    </row>
    <row r="19" spans="1:11" ht="15.75" customHeight="1" x14ac:dyDescent="0.2">
      <c r="A19" s="144"/>
      <c r="B19" s="727" t="s">
        <v>0</v>
      </c>
      <c r="C19" s="728"/>
      <c r="D19" s="728"/>
      <c r="E19" s="727" t="s">
        <v>1</v>
      </c>
      <c r="F19" s="728"/>
      <c r="G19" s="729"/>
      <c r="H19" s="728" t="s">
        <v>2</v>
      </c>
      <c r="I19" s="728"/>
      <c r="J19" s="729"/>
    </row>
    <row r="20" spans="1:11" ht="15.75" customHeight="1" x14ac:dyDescent="0.2">
      <c r="A20" s="140" t="s">
        <v>5</v>
      </c>
      <c r="B20" s="20" t="s">
        <v>421</v>
      </c>
      <c r="C20" s="20" t="s">
        <v>422</v>
      </c>
      <c r="D20" s="249" t="s">
        <v>3</v>
      </c>
      <c r="E20" s="20" t="s">
        <v>421</v>
      </c>
      <c r="F20" s="20" t="s">
        <v>422</v>
      </c>
      <c r="G20" s="249" t="s">
        <v>3</v>
      </c>
      <c r="H20" s="20" t="s">
        <v>421</v>
      </c>
      <c r="I20" s="20" t="s">
        <v>422</v>
      </c>
      <c r="J20" s="249" t="s">
        <v>3</v>
      </c>
    </row>
    <row r="21" spans="1:11" ht="15.75" customHeight="1" x14ac:dyDescent="0.2">
      <c r="A21" s="708"/>
      <c r="B21" s="15"/>
      <c r="C21" s="15"/>
      <c r="D21" s="17" t="s">
        <v>4</v>
      </c>
      <c r="E21" s="16"/>
      <c r="F21" s="16"/>
      <c r="G21" s="15" t="s">
        <v>4</v>
      </c>
      <c r="H21" s="16"/>
      <c r="I21" s="16"/>
      <c r="J21" s="15" t="s">
        <v>4</v>
      </c>
    </row>
    <row r="22" spans="1:11" s="43" customFormat="1" ht="15.75" customHeight="1" x14ac:dyDescent="0.2">
      <c r="A22" s="14" t="s">
        <v>23</v>
      </c>
      <c r="B22" s="236">
        <f>'Fremtind Livsforsikring'!B22+'Danica Pensjonsforsikring'!B22+'DNB Livsforsikring'!B22+'Eika Forsikring AS'!B22+'Frende Livsforsikring'!B22+'Frende Skadeforsikring'!B22+'Gjensidige Forsikring'!B22+'Gjensidige Pensjon'!B22+'Handelsbanken Liv'!B22+'If Skadeforsikring NUF'!B22+KLP!B22+'DNB Bedriftspensjon'!B22+'KLP Skadeforsikring AS'!B22+'Landkreditt Forsikring'!B22+Insr!B22+'Nordea Liv '!B22+'Oslo Pensjonsforsikring'!B22+'Protector Forsikring'!B22+'SHB Liv'!B22+'Sparebank 1'!B22+'Storebrand Livsforsikring'!B22+'Telenor Forsikring'!B22+'Tryg Forsikring'!B22+'WaterCircle F'!B22</f>
        <v>1362767.7466070242</v>
      </c>
      <c r="C22" s="236">
        <f>'Fremtind Livsforsikring'!C22+'Danica Pensjonsforsikring'!C22+'DNB Livsforsikring'!C22+'Eika Forsikring AS'!C22+'Frende Livsforsikring'!C22+'Frende Skadeforsikring'!C22+'Gjensidige Forsikring'!C22+'Gjensidige Pensjon'!C22+'Handelsbanken Liv'!C22+'If Skadeforsikring NUF'!C22+KLP!C22+'DNB Bedriftspensjon'!C22+'KLP Skadeforsikring AS'!C22+'Landkreditt Forsikring'!C22+Insr!C22+'Nordea Liv '!C22+'Oslo Pensjonsforsikring'!C22+'Protector Forsikring'!C22+'SHB Liv'!C22+'Sparebank 1'!C22+'Storebrand Livsforsikring'!C22+'Telenor Forsikring'!C22+'Tryg Forsikring'!C22+'WaterCircle F'!C22</f>
        <v>1338518.7363557161</v>
      </c>
      <c r="D22" s="11">
        <f t="shared" ref="D22:D39" si="5">IF(B22=0, "    ---- ", IF(ABS(ROUND(100/B22*C22-100,1))&lt;999,ROUND(100/B22*C22-100,1),IF(ROUND(100/B22*C22-100,1)&gt;999,999,-999)))</f>
        <v>-1.8</v>
      </c>
      <c r="E22" s="236">
        <f>'Fremtind Livsforsikring'!F22+'Danica Pensjonsforsikring'!F22+'DNB Livsforsikring'!F22+'Eika Forsikring AS'!F22+'Frende Livsforsikring'!F22+'Frende Skadeforsikring'!F22+'Gjensidige Forsikring'!F22+'Gjensidige Pensjon'!F22+'Handelsbanken Liv'!F22+'If Skadeforsikring NUF'!F22+KLP!F22+'DNB Bedriftspensjon'!F22+'KLP Skadeforsikring AS'!F22+'Landkreditt Forsikring'!F22+Insr!F22+'Nordea Liv '!F22+'Oslo Pensjonsforsikring'!F22+'Protector Forsikring'!F22+'SHB Liv'!F22+'Sparebank 1'!F22+'Storebrand Livsforsikring'!F22+'Telenor Forsikring'!F22+'Tryg Forsikring'!F22+'WaterCircle F'!F22</f>
        <v>798772.13164000004</v>
      </c>
      <c r="F22" s="236">
        <f>'Fremtind Livsforsikring'!G22+'Danica Pensjonsforsikring'!G22+'DNB Livsforsikring'!G22+'Eika Forsikring AS'!G22+'Frende Livsforsikring'!G22+'Frende Skadeforsikring'!G22+'Gjensidige Forsikring'!G22+'Gjensidige Pensjon'!G22+'Handelsbanken Liv'!G22+'If Skadeforsikring NUF'!G22+KLP!G22+'DNB Bedriftspensjon'!G22+'KLP Skadeforsikring AS'!G22+'Landkreditt Forsikring'!G22+Insr!G22+'Nordea Liv '!G22+'Oslo Pensjonsforsikring'!G22+'Protector Forsikring'!G22+'SHB Liv'!G22+'Sparebank 1'!G22+'Storebrand Livsforsikring'!G22+'Telenor Forsikring'!G22+'Tryg Forsikring'!G22+'WaterCircle F'!G22</f>
        <v>923681.47884</v>
      </c>
      <c r="G22" s="350">
        <f t="shared" ref="G22:G35" si="6">IF(E22=0, "    ---- ", IF(ABS(ROUND(100/E22*F22-100,1))&lt;999,ROUND(100/E22*F22-100,1),IF(ROUND(100/E22*F22-100,1)&gt;999,999,-999)))</f>
        <v>15.6</v>
      </c>
      <c r="H22" s="308">
        <f>SUM(B22,E22)</f>
        <v>2161539.8782470245</v>
      </c>
      <c r="I22" s="236">
        <f t="shared" ref="I22:I39" si="7">SUM(C22,F22)</f>
        <v>2262200.2151957164</v>
      </c>
      <c r="J22" s="24">
        <f t="shared" ref="J22:J39" si="8">IF(H22=0, "    ---- ", IF(ABS(ROUND(100/H22*I22-100,1))&lt;999,ROUND(100/H22*I22-100,1),IF(ROUND(100/H22*I22-100,1)&gt;999,999,-999)))</f>
        <v>4.7</v>
      </c>
    </row>
    <row r="23" spans="1:11" ht="15.75" customHeight="1" x14ac:dyDescent="0.2">
      <c r="A23" s="586" t="s">
        <v>368</v>
      </c>
      <c r="B23" s="44">
        <f>'Fremtind Livsforsikring'!B23+'Danica Pensjonsforsikring'!B23+'DNB Livsforsikring'!B23+'Eika Forsikring AS'!B23+'Frende Livsforsikring'!B23+'Frende Skadeforsikring'!B23+'Gjensidige Forsikring'!B23+'Gjensidige Pensjon'!B23+'Handelsbanken Liv'!B23+'If Skadeforsikring NUF'!B23+KLP!B23+'DNB Bedriftspensjon'!B23+'KLP Skadeforsikring AS'!B23+'Landkreditt Forsikring'!B23+Insr!B23+'Nordea Liv '!B23+'Oslo Pensjonsforsikring'!B23+'Protector Forsikring'!B23+'SHB Liv'!B23+'Sparebank 1'!B23+'Storebrand Livsforsikring'!B23+'Telenor Forsikring'!B23+'Tryg Forsikring'!B23+'WaterCircle F'!B23</f>
        <v>989607.04964449711</v>
      </c>
      <c r="C23" s="44">
        <f>'Fremtind Livsforsikring'!C23+'Danica Pensjonsforsikring'!C23+'DNB Livsforsikring'!C23+'Eika Forsikring AS'!C23+'Frende Livsforsikring'!C23+'Frende Skadeforsikring'!C23+'Gjensidige Forsikring'!C23+'Gjensidige Pensjon'!C23+'Handelsbanken Liv'!C23+'If Skadeforsikring NUF'!C23+KLP!C23+'DNB Bedriftspensjon'!C23+'KLP Skadeforsikring AS'!C23+'Landkreditt Forsikring'!C23+Insr!C23+'Nordea Liv '!C23+'Oslo Pensjonsforsikring'!C23+'Protector Forsikring'!C23+'SHB Liv'!C23+'Sparebank 1'!C23+'Storebrand Livsforsikring'!C23+'Telenor Forsikring'!C23+'Tryg Forsikring'!C23+'WaterCircle F'!C23</f>
        <v>501440.84149571595</v>
      </c>
      <c r="D23" s="27">
        <f>IF($A$1=4,IF(B23=0, "    ---- ", IF(ABS(ROUND(100/B23*C23-100,1))&lt;999,ROUND(100/B23*C23-100,1),IF(ROUND(100/B23*C23-100,1)&gt;999,999,-999))),"")</f>
        <v>-49.3</v>
      </c>
      <c r="E23" s="44">
        <f>'Fremtind Livsforsikring'!F23+'Danica Pensjonsforsikring'!F23+'DNB Livsforsikring'!F23+'Eika Forsikring AS'!F23+'Frende Livsforsikring'!F23+'Frende Skadeforsikring'!F23+'Gjensidige Forsikring'!F23+'Gjensidige Pensjon'!F23+'Handelsbanken Liv'!F23+'If Skadeforsikring NUF'!F23+KLP!F23+'DNB Bedriftspensjon'!F23+'KLP Skadeforsikring AS'!F23+'Landkreditt Forsikring'!F23+Insr!F23+'Nordea Liv '!F23+'Oslo Pensjonsforsikring'!F23+'Protector Forsikring'!F23+'SHB Liv'!F23+'Sparebank 1'!F23+'Storebrand Livsforsikring'!F23+'Telenor Forsikring'!F23+'Tryg Forsikring'!F23+'WaterCircle F'!F23</f>
        <v>56671.722369999996</v>
      </c>
      <c r="F23" s="44">
        <f>'Fremtind Livsforsikring'!G23+'Danica Pensjonsforsikring'!G23+'DNB Livsforsikring'!G23+'Eika Forsikring AS'!G23+'Frende Livsforsikring'!G23+'Frende Skadeforsikring'!G23+'Gjensidige Forsikring'!G23+'Gjensidige Pensjon'!G23+'Handelsbanken Liv'!G23+'If Skadeforsikring NUF'!G23+KLP!G23+'DNB Bedriftspensjon'!G23+'KLP Skadeforsikring AS'!G23+'Landkreditt Forsikring'!G23+Insr!G23+'Nordea Liv '!G23+'Oslo Pensjonsforsikring'!G23+'Protector Forsikring'!G23+'SHB Liv'!G23+'Sparebank 1'!G23+'Storebrand Livsforsikring'!G23+'Telenor Forsikring'!G23+'Tryg Forsikring'!G23+'WaterCircle F'!G23</f>
        <v>119349.30684999999</v>
      </c>
      <c r="G23" s="166">
        <f>IF($A$1=4,IF(E23=0, "    ---- ", IF(ABS(ROUND(100/E23*F23-100,1))&lt;999,ROUND(100/E23*F23-100,1),IF(ROUND(100/E23*F23-100,1)&gt;999,999,-999))),"")</f>
        <v>110.6</v>
      </c>
      <c r="H23" s="234">
        <f t="shared" ref="H23:H39" si="9">SUM(B23,E23)</f>
        <v>1046278.7720144971</v>
      </c>
      <c r="I23" s="44">
        <f t="shared" si="7"/>
        <v>620790.14834571595</v>
      </c>
      <c r="J23" s="23">
        <f t="shared" si="8"/>
        <v>-40.700000000000003</v>
      </c>
    </row>
    <row r="24" spans="1:11" ht="15.75" customHeight="1" x14ac:dyDescent="0.2">
      <c r="A24" s="586" t="s">
        <v>369</v>
      </c>
      <c r="B24" s="44">
        <f>'Fremtind Livsforsikring'!B24+'Danica Pensjonsforsikring'!B24+'DNB Livsforsikring'!B24+'Eika Forsikring AS'!B24+'Frende Livsforsikring'!B24+'Frende Skadeforsikring'!B24+'Gjensidige Forsikring'!B24+'Gjensidige Pensjon'!B24+'Handelsbanken Liv'!B24+'If Skadeforsikring NUF'!B24+KLP!B24+'DNB Bedriftspensjon'!B24+'KLP Skadeforsikring AS'!B24+'Landkreditt Forsikring'!B24+Insr!B24+'Nordea Liv '!B24+'Oslo Pensjonsforsikring'!B24+'Protector Forsikring'!B24+'SHB Liv'!B24+'Sparebank 1'!B24+'Storebrand Livsforsikring'!B24+'Telenor Forsikring'!B24+'Tryg Forsikring'!B24+'WaterCircle F'!B24</f>
        <v>26464.578962527288</v>
      </c>
      <c r="C24" s="44">
        <f>'Fremtind Livsforsikring'!C24+'Danica Pensjonsforsikring'!C24+'DNB Livsforsikring'!C24+'Eika Forsikring AS'!C24+'Frende Livsforsikring'!C24+'Frende Skadeforsikring'!C24+'Gjensidige Forsikring'!C24+'Gjensidige Pensjon'!C24+'Handelsbanken Liv'!C24+'If Skadeforsikring NUF'!C24+KLP!C24+'DNB Bedriftspensjon'!C24+'KLP Skadeforsikring AS'!C24+'Landkreditt Forsikring'!C24+Insr!C24+'Nordea Liv '!C24+'Oslo Pensjonsforsikring'!C24+'Protector Forsikring'!C24+'SHB Liv'!C24+'Sparebank 1'!C24+'Storebrand Livsforsikring'!C24+'Telenor Forsikring'!C24+'Tryg Forsikring'!C24+'WaterCircle F'!C24</f>
        <v>24245.772859999997</v>
      </c>
      <c r="D24" s="27">
        <f t="shared" ref="D24:D25" si="10">IF($A$1=4,IF(B24=0, "    ---- ", IF(ABS(ROUND(100/B24*C24-100,1))&lt;999,ROUND(100/B24*C24-100,1),IF(ROUND(100/B24*C24-100,1)&gt;999,999,-999))),"")</f>
        <v>-8.4</v>
      </c>
      <c r="E24" s="44">
        <f>'Fremtind Livsforsikring'!F24+'Danica Pensjonsforsikring'!F24+'DNB Livsforsikring'!F24+'Eika Forsikring AS'!F24+'Frende Livsforsikring'!F24+'Frende Skadeforsikring'!F24+'Gjensidige Forsikring'!F24+'Gjensidige Pensjon'!F24+'Handelsbanken Liv'!F24+'If Skadeforsikring NUF'!F24+KLP!F24+'DNB Bedriftspensjon'!F24+'KLP Skadeforsikring AS'!F24+'Landkreditt Forsikring'!F24+Insr!F24+'Nordea Liv '!F24+'Oslo Pensjonsforsikring'!F24+'Protector Forsikring'!F24+'SHB Liv'!F24+'Sparebank 1'!F24+'Storebrand Livsforsikring'!F24+'Telenor Forsikring'!F24+'Tryg Forsikring'!F24+'WaterCircle F'!F24</f>
        <v>1379.3987500000001</v>
      </c>
      <c r="F24" s="44">
        <f>'Fremtind Livsforsikring'!G24+'Danica Pensjonsforsikring'!G24+'DNB Livsforsikring'!G24+'Eika Forsikring AS'!G24+'Frende Livsforsikring'!G24+'Frende Skadeforsikring'!G24+'Gjensidige Forsikring'!G24+'Gjensidige Pensjon'!G24+'Handelsbanken Liv'!G24+'If Skadeforsikring NUF'!G24+KLP!G24+'DNB Bedriftspensjon'!G24+'KLP Skadeforsikring AS'!G24+'Landkreditt Forsikring'!G24+Insr!G24+'Nordea Liv '!G24+'Oslo Pensjonsforsikring'!G24+'Protector Forsikring'!G24+'SHB Liv'!G24+'Sparebank 1'!G24+'Storebrand Livsforsikring'!G24+'Telenor Forsikring'!G24+'Tryg Forsikring'!G24+'WaterCircle F'!G24</f>
        <v>970.81701999999996</v>
      </c>
      <c r="G24" s="166">
        <f t="shared" ref="G24:G25" si="11">IF($A$1=4,IF(E24=0, "    ---- ", IF(ABS(ROUND(100/E24*F24-100,1))&lt;999,ROUND(100/E24*F24-100,1),IF(ROUND(100/E24*F24-100,1)&gt;999,999,-999))),"")</f>
        <v>-29.6</v>
      </c>
      <c r="H24" s="234">
        <f t="shared" si="9"/>
        <v>27843.977712527289</v>
      </c>
      <c r="I24" s="44">
        <f t="shared" si="7"/>
        <v>25216.589879999996</v>
      </c>
      <c r="J24" s="11">
        <f t="shared" si="8"/>
        <v>-9.4</v>
      </c>
    </row>
    <row r="25" spans="1:11" ht="15.75" customHeight="1" x14ac:dyDescent="0.2">
      <c r="A25" s="586" t="s">
        <v>370</v>
      </c>
      <c r="B25" s="44">
        <f>'Fremtind Livsforsikring'!B25+'Danica Pensjonsforsikring'!B25+'DNB Livsforsikring'!B25+'Eika Forsikring AS'!B25+'Frende Livsforsikring'!B25+'Frende Skadeforsikring'!B25+'Gjensidige Forsikring'!B25+'Gjensidige Pensjon'!B25+'Handelsbanken Liv'!B25+'If Skadeforsikring NUF'!B25+KLP!B25+'DNB Bedriftspensjon'!B25+'KLP Skadeforsikring AS'!B25+'Landkreditt Forsikring'!B25+Insr!B25+'Nordea Liv '!B25+'Oslo Pensjonsforsikring'!B25+'Protector Forsikring'!B25+'SHB Liv'!B25+'Sparebank 1'!B25+'Storebrand Livsforsikring'!B25+'Telenor Forsikring'!B25+'Tryg Forsikring'!B25+'WaterCircle F'!B25</f>
        <v>23801.144</v>
      </c>
      <c r="C25" s="44">
        <f>'Fremtind Livsforsikring'!C25+'Danica Pensjonsforsikring'!C25+'DNB Livsforsikring'!C25+'Eika Forsikring AS'!C25+'Frende Livsforsikring'!C25+'Frende Skadeforsikring'!C25+'Gjensidige Forsikring'!C25+'Gjensidige Pensjon'!C25+'Handelsbanken Liv'!C25+'If Skadeforsikring NUF'!C25+KLP!C25+'DNB Bedriftspensjon'!C25+'KLP Skadeforsikring AS'!C25+'Landkreditt Forsikring'!C25+Insr!C25+'Nordea Liv '!C25+'Oslo Pensjonsforsikring'!C25+'Protector Forsikring'!C25+'SHB Liv'!C25+'Sparebank 1'!C25+'Storebrand Livsforsikring'!C25+'Telenor Forsikring'!C25+'Tryg Forsikring'!C25+'WaterCircle F'!C25</f>
        <v>24174.502</v>
      </c>
      <c r="D25" s="27">
        <f t="shared" si="10"/>
        <v>1.6</v>
      </c>
      <c r="E25" s="44">
        <f>'Fremtind Livsforsikring'!F25+'Danica Pensjonsforsikring'!F25+'DNB Livsforsikring'!F25+'Eika Forsikring AS'!F25+'Frende Livsforsikring'!F25+'Frende Skadeforsikring'!F25+'Gjensidige Forsikring'!F25+'Gjensidige Pensjon'!F25+'Handelsbanken Liv'!F25+'If Skadeforsikring NUF'!F25+KLP!F25+'DNB Bedriftspensjon'!F25+'KLP Skadeforsikring AS'!F25+'Landkreditt Forsikring'!F25+Insr!F25+'Nordea Liv '!F25+'Oslo Pensjonsforsikring'!F25+'Protector Forsikring'!F25+'SHB Liv'!F25+'Sparebank 1'!F25+'Storebrand Livsforsikring'!F25+'Telenor Forsikring'!F25+'Tryg Forsikring'!F25+'WaterCircle F'!F25</f>
        <v>27673.68866</v>
      </c>
      <c r="F25" s="44">
        <f>'Fremtind Livsforsikring'!G25+'Danica Pensjonsforsikring'!G25+'DNB Livsforsikring'!G25+'Eika Forsikring AS'!G25+'Frende Livsforsikring'!G25+'Frende Skadeforsikring'!G25+'Gjensidige Forsikring'!G25+'Gjensidige Pensjon'!G25+'Handelsbanken Liv'!G25+'If Skadeforsikring NUF'!G25+KLP!G25+'DNB Bedriftspensjon'!G25+'KLP Skadeforsikring AS'!G25+'Landkreditt Forsikring'!G25+Insr!G25+'Nordea Liv '!G25+'Oslo Pensjonsforsikring'!G25+'Protector Forsikring'!G25+'SHB Liv'!G25+'Sparebank 1'!G25+'Storebrand Livsforsikring'!G25+'Telenor Forsikring'!G25+'Tryg Forsikring'!G25+'WaterCircle F'!G25</f>
        <v>18134.781129999999</v>
      </c>
      <c r="G25" s="166">
        <f t="shared" si="11"/>
        <v>-34.5</v>
      </c>
      <c r="H25" s="234">
        <f t="shared" si="9"/>
        <v>51474.83266</v>
      </c>
      <c r="I25" s="44">
        <f t="shared" si="7"/>
        <v>42309.283129999996</v>
      </c>
      <c r="J25" s="27">
        <f t="shared" si="8"/>
        <v>-17.8</v>
      </c>
    </row>
    <row r="26" spans="1:11" ht="15.75" customHeight="1" x14ac:dyDescent="0.2">
      <c r="A26" s="586" t="s">
        <v>371</v>
      </c>
      <c r="B26" s="44"/>
      <c r="C26" s="44"/>
      <c r="D26" s="27"/>
      <c r="E26" s="44">
        <f>'Fremtind Livsforsikring'!F26+'Danica Pensjonsforsikring'!F26+'DNB Livsforsikring'!F26+'Eika Forsikring AS'!F26+'Frende Livsforsikring'!F26+'Frende Skadeforsikring'!F26+'Gjensidige Forsikring'!F26+'Gjensidige Pensjon'!F26+'Handelsbanken Liv'!F26+'If Skadeforsikring NUF'!F26+KLP!F26+'DNB Bedriftspensjon'!F26+'KLP Skadeforsikring AS'!F26+'Landkreditt Forsikring'!F26+Insr!F26+'Nordea Liv '!F26+'Oslo Pensjonsforsikring'!F26+'Protector Forsikring'!F26+'SHB Liv'!F26+'Sparebank 1'!F26+'Storebrand Livsforsikring'!F26+'Telenor Forsikring'!F26+'Tryg Forsikring'!F26+'WaterCircle F'!F26</f>
        <v>713047.32186000003</v>
      </c>
      <c r="F26" s="44">
        <f>'Fremtind Livsforsikring'!G26+'Danica Pensjonsforsikring'!G26+'DNB Livsforsikring'!G26+'Eika Forsikring AS'!G26+'Frende Livsforsikring'!G26+'Frende Skadeforsikring'!G26+'Gjensidige Forsikring'!G26+'Gjensidige Pensjon'!G26+'Handelsbanken Liv'!G26+'If Skadeforsikring NUF'!G26+KLP!G26+'DNB Bedriftspensjon'!G26+'KLP Skadeforsikring AS'!G26+'Landkreditt Forsikring'!G26+Insr!G26+'Nordea Liv '!G26+'Oslo Pensjonsforsikring'!G26+'Protector Forsikring'!G26+'SHB Liv'!G26+'Sparebank 1'!G26+'Storebrand Livsforsikring'!G26+'Telenor Forsikring'!G26+'Tryg Forsikring'!G26+'WaterCircle F'!G26</f>
        <v>785226.57383999997</v>
      </c>
      <c r="G26" s="166">
        <f t="shared" ref="G26" si="12">IF($A$1=4,IF(E26=0, "    ---- ", IF(ABS(ROUND(100/E26*F26-100,1))&lt;999,ROUND(100/E26*F26-100,1),IF(ROUND(100/E26*F26-100,1)&gt;999,999,-999))),"")</f>
        <v>10.1</v>
      </c>
      <c r="H26" s="234">
        <f t="shared" ref="H26" si="13">SUM(B26,E26)</f>
        <v>713047.32186000003</v>
      </c>
      <c r="I26" s="44">
        <f t="shared" ref="I26" si="14">SUM(C26,F26)</f>
        <v>785226.57383999997</v>
      </c>
      <c r="J26" s="27">
        <f t="shared" ref="J26" si="15">IF(H26=0, "    ---- ", IF(ABS(ROUND(100/H26*I26-100,1))&lt;999,ROUND(100/H26*I26-100,1),IF(ROUND(100/H26*I26-100,1)&gt;999,999,-999)))</f>
        <v>10.1</v>
      </c>
    </row>
    <row r="27" spans="1:11" ht="15.75" customHeight="1" x14ac:dyDescent="0.2">
      <c r="A27" s="584" t="s">
        <v>11</v>
      </c>
      <c r="B27" s="44"/>
      <c r="C27" s="44"/>
      <c r="D27" s="27"/>
      <c r="E27" s="44"/>
      <c r="F27" s="44"/>
      <c r="G27" s="166"/>
      <c r="H27" s="234"/>
      <c r="I27" s="44"/>
      <c r="J27" s="27"/>
    </row>
    <row r="28" spans="1:11" ht="15.75" customHeight="1" x14ac:dyDescent="0.2">
      <c r="A28" s="49" t="s">
        <v>276</v>
      </c>
      <c r="B28" s="44">
        <f>'Fremtind Livsforsikring'!B28+'Danica Pensjonsforsikring'!B28+'DNB Livsforsikring'!B28+'Eika Forsikring AS'!B28+'Frende Livsforsikring'!B28+'Frende Skadeforsikring'!B28+'Gjensidige Forsikring'!B28+'Gjensidige Pensjon'!B28+'Handelsbanken Liv'!B28+'If Skadeforsikring NUF'!B28+KLP!B28+'DNB Bedriftspensjon'!B28+'KLP Skadeforsikring AS'!B28+'Landkreditt Forsikring'!B28+Insr!B28+'Nordea Liv '!B28+'Oslo Pensjonsforsikring'!B28+'Protector Forsikring'!B28+'SHB Liv'!B28+'Sparebank 1'!B28+'Storebrand Livsforsikring'!B28+'Telenor Forsikring'!B28+'Tryg Forsikring'!B28+'WaterCircle F'!B28</f>
        <v>1454159.145241315</v>
      </c>
      <c r="C28" s="44">
        <f>'Fremtind Livsforsikring'!C28+'Danica Pensjonsforsikring'!C28+'DNB Livsforsikring'!C28+'Eika Forsikring AS'!C28+'Frende Livsforsikring'!C28+'Frende Skadeforsikring'!C28+'Gjensidige Forsikring'!C28+'Gjensidige Pensjon'!C28+'Handelsbanken Liv'!C28+'If Skadeforsikring NUF'!C28+KLP!C28+'DNB Bedriftspensjon'!C28+'KLP Skadeforsikring AS'!C28+'Landkreditt Forsikring'!C28+Insr!C28+'Nordea Liv '!C28+'Oslo Pensjonsforsikring'!C28+'Protector Forsikring'!C28+'SHB Liv'!C28+'Sparebank 1'!C28+'Storebrand Livsforsikring'!C28+'Telenor Forsikring'!C28+'Tryg Forsikring'!C28+'WaterCircle F'!C28</f>
        <v>1481101.0096672168</v>
      </c>
      <c r="D28" s="23">
        <f t="shared" si="5"/>
        <v>1.9</v>
      </c>
      <c r="E28" s="187"/>
      <c r="F28" s="187"/>
      <c r="G28" s="166"/>
      <c r="H28" s="234">
        <f t="shared" si="9"/>
        <v>1454159.145241315</v>
      </c>
      <c r="I28" s="44">
        <f t="shared" si="7"/>
        <v>1481101.0096672168</v>
      </c>
      <c r="J28" s="23">
        <f t="shared" si="8"/>
        <v>1.9</v>
      </c>
      <c r="K28" s="3"/>
    </row>
    <row r="29" spans="1:11" s="420" customFormat="1" ht="15.75" customHeight="1" x14ac:dyDescent="0.2">
      <c r="A29" s="39" t="s">
        <v>372</v>
      </c>
      <c r="B29" s="236">
        <f>'Fremtind Livsforsikring'!B29+'Danica Pensjonsforsikring'!B29+'DNB Livsforsikring'!B29+'Eika Forsikring AS'!B29+'Frende Livsforsikring'!B29+'Frende Skadeforsikring'!B29+'Gjensidige Forsikring'!B29+'Gjensidige Pensjon'!B29+'Handelsbanken Liv'!B29+'If Skadeforsikring NUF'!B29+KLP!B29+'DNB Bedriftspensjon'!B29+'KLP Skadeforsikring AS'!B29+'Landkreditt Forsikring'!B29+Insr!B29+'Nordea Liv '!B29+'Oslo Pensjonsforsikring'!B29+'Protector Forsikring'!B29+'SHB Liv'!B29+'Sparebank 1'!B29+'Storebrand Livsforsikring'!B29+'Telenor Forsikring'!B29+'Tryg Forsikring'!B29+'WaterCircle F'!B29</f>
        <v>46962248.738984928</v>
      </c>
      <c r="C29" s="236">
        <f>'Fremtind Livsforsikring'!C29+'Danica Pensjonsforsikring'!C29+'DNB Livsforsikring'!C29+'Eika Forsikring AS'!C29+'Frende Livsforsikring'!C29+'Frende Skadeforsikring'!C29+'Gjensidige Forsikring'!C29+'Gjensidige Pensjon'!C29+'Handelsbanken Liv'!C29+'If Skadeforsikring NUF'!C29+KLP!C29+'DNB Bedriftspensjon'!C29+'KLP Skadeforsikring AS'!C29+'Landkreditt Forsikring'!C29+Insr!C29+'Nordea Liv '!C29+'Oslo Pensjonsforsikring'!C29+'Protector Forsikring'!C29+'SHB Liv'!C29+'Sparebank 1'!C29+'Storebrand Livsforsikring'!C29+'Telenor Forsikring'!C29+'Tryg Forsikring'!C29+'WaterCircle F'!C29</f>
        <v>45964750.093721807</v>
      </c>
      <c r="D29" s="24">
        <f t="shared" si="5"/>
        <v>-2.1</v>
      </c>
      <c r="E29" s="308">
        <f>'Fremtind Livsforsikring'!F29+'Danica Pensjonsforsikring'!F29+'DNB Livsforsikring'!F29+'Eika Forsikring AS'!F29+'Frende Livsforsikring'!F29+'Frende Skadeforsikring'!F29+'Gjensidige Forsikring'!F29+'Gjensidige Pensjon'!F29+'Handelsbanken Liv'!F29+'If Skadeforsikring NUF'!F29+KLP!F29+'DNB Bedriftspensjon'!F29+'KLP Skadeforsikring AS'!F29+'Landkreditt Forsikring'!F29+Insr!F29+'Nordea Liv '!F29+'Oslo Pensjonsforsikring'!F29+'Protector Forsikring'!F29+'SHB Liv'!F29+'Sparebank 1'!F29+'Storebrand Livsforsikring'!F29+'Telenor Forsikring'!F29+'Tryg Forsikring'!F29+'WaterCircle F'!F29</f>
        <v>21296746.107960001</v>
      </c>
      <c r="F29" s="308">
        <f>'Fremtind Livsforsikring'!G29+'Danica Pensjonsforsikring'!G29+'DNB Livsforsikring'!G29+'Eika Forsikring AS'!G29+'Frende Livsforsikring'!G29+'Frende Skadeforsikring'!G29+'Gjensidige Forsikring'!G29+'Gjensidige Pensjon'!G29+'Handelsbanken Liv'!G29+'If Skadeforsikring NUF'!G29+KLP!G29+'DNB Bedriftspensjon'!G29+'KLP Skadeforsikring AS'!G29+'Landkreditt Forsikring'!G29+Insr!G29+'Nordea Liv '!G29+'Oslo Pensjonsforsikring'!G29+'Protector Forsikring'!G29+'SHB Liv'!G29+'Sparebank 1'!G29+'Storebrand Livsforsikring'!G29+'Telenor Forsikring'!G29+'Tryg Forsikring'!G29+'WaterCircle F'!G29</f>
        <v>22869004.873020001</v>
      </c>
      <c r="G29" s="171">
        <f t="shared" si="6"/>
        <v>7.4</v>
      </c>
      <c r="H29" s="308">
        <f t="shared" si="9"/>
        <v>68258994.846944928</v>
      </c>
      <c r="I29" s="236">
        <f t="shared" si="7"/>
        <v>68833754.9667418</v>
      </c>
      <c r="J29" s="24">
        <f t="shared" si="8"/>
        <v>0.8</v>
      </c>
    </row>
    <row r="30" spans="1:11" s="3" customFormat="1" ht="15.75" customHeight="1" x14ac:dyDescent="0.2">
      <c r="A30" s="586" t="s">
        <v>368</v>
      </c>
      <c r="B30" s="44">
        <f>'Fremtind Livsforsikring'!B30+'Danica Pensjonsforsikring'!B30+'DNB Livsforsikring'!B30+'Eika Forsikring AS'!B30+'Frende Livsforsikring'!B30+'Frende Skadeforsikring'!B30+'Gjensidige Forsikring'!B30+'Gjensidige Pensjon'!B30+'Handelsbanken Liv'!B30+'If Skadeforsikring NUF'!B30+KLP!B30+'DNB Bedriftspensjon'!B30+'KLP Skadeforsikring AS'!B30+'Landkreditt Forsikring'!B30+Insr!B30+'Nordea Liv '!B30+'Oslo Pensjonsforsikring'!B30+'Protector Forsikring'!B30+'SHB Liv'!B30+'Sparebank 1'!B30+'Storebrand Livsforsikring'!B30+'Telenor Forsikring'!B30+'Tryg Forsikring'!B30+'WaterCircle F'!B30</f>
        <v>10339543.172037935</v>
      </c>
      <c r="C30" s="44">
        <f>'Fremtind Livsforsikring'!C30+'Danica Pensjonsforsikring'!C30+'DNB Livsforsikring'!C30+'Eika Forsikring AS'!C30+'Frende Livsforsikring'!C30+'Frende Skadeforsikring'!C30+'Gjensidige Forsikring'!C30+'Gjensidige Pensjon'!C30+'Handelsbanken Liv'!C30+'If Skadeforsikring NUF'!C30+KLP!C30+'DNB Bedriftspensjon'!C30+'KLP Skadeforsikring AS'!C30+'Landkreditt Forsikring'!C30+Insr!C30+'Nordea Liv '!C30+'Oslo Pensjonsforsikring'!C30+'Protector Forsikring'!C30+'SHB Liv'!C30+'Sparebank 1'!C30+'Storebrand Livsforsikring'!C30+'Telenor Forsikring'!C30+'Tryg Forsikring'!C30+'WaterCircle F'!C30</f>
        <v>13716501.820792818</v>
      </c>
      <c r="D30" s="27">
        <f t="shared" ref="D30:D32" si="16">IF($A$1=4,IF(B30=0, "    ---- ", IF(ABS(ROUND(100/B30*C30-100,1))&lt;999,ROUND(100/B30*C30-100,1),IF(ROUND(100/B30*C30-100,1)&gt;999,999,-999))),"")</f>
        <v>32.700000000000003</v>
      </c>
      <c r="E30" s="44">
        <f>'Fremtind Livsforsikring'!F30+'Danica Pensjonsforsikring'!F30+'DNB Livsforsikring'!F30+'Eika Forsikring AS'!F30+'Frende Livsforsikring'!F30+'Frende Skadeforsikring'!F30+'Gjensidige Forsikring'!F30+'Gjensidige Pensjon'!F30+'Handelsbanken Liv'!F30+'If Skadeforsikring NUF'!F30+KLP!F30+'DNB Bedriftspensjon'!F30+'KLP Skadeforsikring AS'!F30+'Landkreditt Forsikring'!F30+Insr!F30+'Nordea Liv '!F30+'Oslo Pensjonsforsikring'!F30+'Protector Forsikring'!F30+'SHB Liv'!F30+'Sparebank 1'!F30+'Storebrand Livsforsikring'!F30+'Telenor Forsikring'!F30+'Tryg Forsikring'!F30+'WaterCircle F'!F30</f>
        <v>4291512.0232324852</v>
      </c>
      <c r="F30" s="44">
        <f>'Fremtind Livsforsikring'!G30+'Danica Pensjonsforsikring'!G30+'DNB Livsforsikring'!G30+'Eika Forsikring AS'!G30+'Frende Livsforsikring'!G30+'Frende Skadeforsikring'!G30+'Gjensidige Forsikring'!G30+'Gjensidige Pensjon'!G30+'Handelsbanken Liv'!G30+'If Skadeforsikring NUF'!G30+KLP!G30+'DNB Bedriftspensjon'!G30+'KLP Skadeforsikring AS'!G30+'Landkreditt Forsikring'!G30+Insr!G30+'Nordea Liv '!G30+'Oslo Pensjonsforsikring'!G30+'Protector Forsikring'!G30+'SHB Liv'!G30+'Sparebank 1'!G30+'Storebrand Livsforsikring'!G30+'Telenor Forsikring'!G30+'Tryg Forsikring'!G30+'WaterCircle F'!G30</f>
        <v>4437428.8650560137</v>
      </c>
      <c r="G30" s="166">
        <f t="shared" ref="G30:G32" si="17">IF($A$1=4,IF(E30=0, "    ---- ", IF(ABS(ROUND(100/E30*F30-100,1))&lt;999,ROUND(100/E30*F30-100,1),IF(ROUND(100/E30*F30-100,1)&gt;999,999,-999))),"")</f>
        <v>3.4</v>
      </c>
      <c r="H30" s="234">
        <f t="shared" si="9"/>
        <v>14631055.195270419</v>
      </c>
      <c r="I30" s="44">
        <f t="shared" si="7"/>
        <v>18153930.685848832</v>
      </c>
      <c r="J30" s="23">
        <f t="shared" si="8"/>
        <v>24.1</v>
      </c>
    </row>
    <row r="31" spans="1:11" s="3" customFormat="1" ht="15.75" customHeight="1" x14ac:dyDescent="0.2">
      <c r="A31" s="586" t="s">
        <v>369</v>
      </c>
      <c r="B31" s="44">
        <f>'Fremtind Livsforsikring'!B31+'Danica Pensjonsforsikring'!B31+'DNB Livsforsikring'!B31+'Eika Forsikring AS'!B31+'Frende Livsforsikring'!B31+'Frende Skadeforsikring'!B31+'Gjensidige Forsikring'!B31+'Gjensidige Pensjon'!B31+'Handelsbanken Liv'!B31+'If Skadeforsikring NUF'!B31+KLP!B31+'DNB Bedriftspensjon'!B31+'KLP Skadeforsikring AS'!B31+'Landkreditt Forsikring'!B31+Insr!B31+'Nordea Liv '!B31+'Oslo Pensjonsforsikring'!B31+'Protector Forsikring'!B31+'SHB Liv'!B31+'Sparebank 1'!B31+'Storebrand Livsforsikring'!B31+'Telenor Forsikring'!B31+'Tryg Forsikring'!B31+'WaterCircle F'!B31</f>
        <v>33118983.752951197</v>
      </c>
      <c r="C31" s="44">
        <f>'Fremtind Livsforsikring'!C31+'Danica Pensjonsforsikring'!C31+'DNB Livsforsikring'!C31+'Eika Forsikring AS'!C31+'Frende Livsforsikring'!C31+'Frende Skadeforsikring'!C31+'Gjensidige Forsikring'!C31+'Gjensidige Pensjon'!C31+'Handelsbanken Liv'!C31+'If Skadeforsikring NUF'!C31+KLP!C31+'DNB Bedriftspensjon'!C31+'KLP Skadeforsikring AS'!C31+'Landkreditt Forsikring'!C31+Insr!C31+'Nordea Liv '!C31+'Oslo Pensjonsforsikring'!C31+'Protector Forsikring'!C31+'SHB Liv'!C31+'Sparebank 1'!C31+'Storebrand Livsforsikring'!C31+'Telenor Forsikring'!C31+'Tryg Forsikring'!C31+'WaterCircle F'!C31</f>
        <v>23820975.017175958</v>
      </c>
      <c r="D31" s="27">
        <f t="shared" si="16"/>
        <v>-28.1</v>
      </c>
      <c r="E31" s="44">
        <f>'Fremtind Livsforsikring'!F31+'Danica Pensjonsforsikring'!F31+'DNB Livsforsikring'!F31+'Eika Forsikring AS'!F31+'Frende Livsforsikring'!F31+'Frende Skadeforsikring'!F31+'Gjensidige Forsikring'!F31+'Gjensidige Pensjon'!F31+'Handelsbanken Liv'!F31+'If Skadeforsikring NUF'!F31+KLP!F31+'DNB Bedriftspensjon'!F31+'KLP Skadeforsikring AS'!F31+'Landkreditt Forsikring'!F31+Insr!F31+'Nordea Liv '!F31+'Oslo Pensjonsforsikring'!F31+'Protector Forsikring'!F31+'SHB Liv'!F31+'Sparebank 1'!F31+'Storebrand Livsforsikring'!F31+'Telenor Forsikring'!F31+'Tryg Forsikring'!F31+'WaterCircle F'!F31</f>
        <v>9745211.5039944462</v>
      </c>
      <c r="F31" s="44">
        <f>'Fremtind Livsforsikring'!G31+'Danica Pensjonsforsikring'!G31+'DNB Livsforsikring'!G31+'Eika Forsikring AS'!G31+'Frende Livsforsikring'!G31+'Frende Skadeforsikring'!G31+'Gjensidige Forsikring'!G31+'Gjensidige Pensjon'!G31+'Handelsbanken Liv'!G31+'If Skadeforsikring NUF'!G31+KLP!G31+'DNB Bedriftspensjon'!G31+'KLP Skadeforsikring AS'!G31+'Landkreditt Forsikring'!G31+Insr!G31+'Nordea Liv '!G31+'Oslo Pensjonsforsikring'!G31+'Protector Forsikring'!G31+'SHB Liv'!G31+'Sparebank 1'!G31+'Storebrand Livsforsikring'!G31+'Telenor Forsikring'!G31+'Tryg Forsikring'!G31+'WaterCircle F'!G31</f>
        <v>9253967.3504361454</v>
      </c>
      <c r="G31" s="166">
        <f t="shared" si="17"/>
        <v>-5</v>
      </c>
      <c r="H31" s="234">
        <f t="shared" si="9"/>
        <v>42864195.25694564</v>
      </c>
      <c r="I31" s="44">
        <f t="shared" si="7"/>
        <v>33074942.367612101</v>
      </c>
      <c r="J31" s="23">
        <f t="shared" si="8"/>
        <v>-22.8</v>
      </c>
    </row>
    <row r="32" spans="1:11" ht="15.75" customHeight="1" x14ac:dyDescent="0.2">
      <c r="A32" s="586" t="s">
        <v>370</v>
      </c>
      <c r="B32" s="44">
        <f>'Fremtind Livsforsikring'!B32+'Danica Pensjonsforsikring'!B32+'DNB Livsforsikring'!B32+'Eika Forsikring AS'!B32+'Frende Livsforsikring'!B32+'Frende Skadeforsikring'!B32+'Gjensidige Forsikring'!B32+'Gjensidige Pensjon'!B32+'Handelsbanken Liv'!B32+'If Skadeforsikring NUF'!B32+KLP!B32+'DNB Bedriftspensjon'!B32+'KLP Skadeforsikring AS'!B32+'Landkreditt Forsikring'!B32+Insr!B32+'Nordea Liv '!B32+'Oslo Pensjonsforsikring'!B32+'Protector Forsikring'!B32+'SHB Liv'!B32+'Sparebank 1'!B32+'Storebrand Livsforsikring'!B32+'Telenor Forsikring'!B32+'Tryg Forsikring'!B32+'WaterCircle F'!B32</f>
        <v>1536023.8139958039</v>
      </c>
      <c r="C32" s="44">
        <f>'Fremtind Livsforsikring'!C32+'Danica Pensjonsforsikring'!C32+'DNB Livsforsikring'!C32+'Eika Forsikring AS'!C32+'Frende Livsforsikring'!C32+'Frende Skadeforsikring'!C32+'Gjensidige Forsikring'!C32+'Gjensidige Pensjon'!C32+'Handelsbanken Liv'!C32+'If Skadeforsikring NUF'!C32+KLP!C32+'DNB Bedriftspensjon'!C32+'KLP Skadeforsikring AS'!C32+'Landkreditt Forsikring'!C32+Insr!C32+'Nordea Liv '!C32+'Oslo Pensjonsforsikring'!C32+'Protector Forsikring'!C32+'SHB Liv'!C32+'Sparebank 1'!C32+'Storebrand Livsforsikring'!C32+'Telenor Forsikring'!C32+'Tryg Forsikring'!C32+'WaterCircle F'!C32</f>
        <v>2951104.0757530341</v>
      </c>
      <c r="D32" s="27">
        <f t="shared" si="16"/>
        <v>92.1</v>
      </c>
      <c r="E32" s="44">
        <f>'Fremtind Livsforsikring'!F32+'Danica Pensjonsforsikring'!F32+'DNB Livsforsikring'!F32+'Eika Forsikring AS'!F32+'Frende Livsforsikring'!F32+'Frende Skadeforsikring'!F32+'Gjensidige Forsikring'!F32+'Gjensidige Pensjon'!F32+'Handelsbanken Liv'!F32+'If Skadeforsikring NUF'!F32+KLP!F32+'DNB Bedriftspensjon'!F32+'KLP Skadeforsikring AS'!F32+'Landkreditt Forsikring'!F32+Insr!F32+'Nordea Liv '!F32+'Oslo Pensjonsforsikring'!F32+'Protector Forsikring'!F32+'SHB Liv'!F32+'Sparebank 1'!F32+'Storebrand Livsforsikring'!F32+'Telenor Forsikring'!F32+'Tryg Forsikring'!F32+'WaterCircle F'!F32</f>
        <v>4443178.8339660103</v>
      </c>
      <c r="F32" s="44">
        <f>'Fremtind Livsforsikring'!G32+'Danica Pensjonsforsikring'!G32+'DNB Livsforsikring'!G32+'Eika Forsikring AS'!G32+'Frende Livsforsikring'!G32+'Frende Skadeforsikring'!G32+'Gjensidige Forsikring'!G32+'Gjensidige Pensjon'!G32+'Handelsbanken Liv'!G32+'If Skadeforsikring NUF'!G32+KLP!G32+'DNB Bedriftspensjon'!G32+'KLP Skadeforsikring AS'!G32+'Landkreditt Forsikring'!G32+Insr!G32+'Nordea Liv '!G32+'Oslo Pensjonsforsikring'!G32+'Protector Forsikring'!G32+'SHB Liv'!G32+'Sparebank 1'!G32+'Storebrand Livsforsikring'!G32+'Telenor Forsikring'!G32+'Tryg Forsikring'!G32+'WaterCircle F'!G32</f>
        <v>4900156.0903652702</v>
      </c>
      <c r="G32" s="166">
        <f t="shared" si="17"/>
        <v>10.3</v>
      </c>
      <c r="H32" s="234">
        <f t="shared" si="9"/>
        <v>5979202.647961814</v>
      </c>
      <c r="I32" s="44">
        <f t="shared" si="7"/>
        <v>7851260.1661183042</v>
      </c>
      <c r="J32" s="24">
        <f t="shared" si="8"/>
        <v>31.3</v>
      </c>
    </row>
    <row r="33" spans="1:10" ht="15.75" customHeight="1" x14ac:dyDescent="0.2">
      <c r="A33" s="586" t="s">
        <v>371</v>
      </c>
      <c r="B33" s="44"/>
      <c r="C33" s="44"/>
      <c r="D33" s="27"/>
      <c r="E33" s="44">
        <f>'Fremtind Livsforsikring'!F33+'Danica Pensjonsforsikring'!F33+'DNB Livsforsikring'!F33+'Eika Forsikring AS'!F33+'Frende Livsforsikring'!F33+'Frende Skadeforsikring'!F33+'Gjensidige Forsikring'!F33+'Gjensidige Pensjon'!F33+'Handelsbanken Liv'!F33+'If Skadeforsikring NUF'!F33+KLP!F33+'DNB Bedriftspensjon'!F33+'KLP Skadeforsikring AS'!F33+'Landkreditt Forsikring'!F33+Insr!F33+'Nordea Liv '!F33+'Oslo Pensjonsforsikring'!F33+'Protector Forsikring'!F33+'SHB Liv'!F33+'Sparebank 1'!F33+'Storebrand Livsforsikring'!F33+'Telenor Forsikring'!F33+'Tryg Forsikring'!F33+'WaterCircle F'!F33</f>
        <v>2816843.746767059</v>
      </c>
      <c r="F33" s="44">
        <f>'Fremtind Livsforsikring'!G33+'Danica Pensjonsforsikring'!G33+'DNB Livsforsikring'!G33+'Eika Forsikring AS'!G33+'Frende Livsforsikring'!G33+'Frende Skadeforsikring'!G33+'Gjensidige Forsikring'!G33+'Gjensidige Pensjon'!G33+'Handelsbanken Liv'!G33+'If Skadeforsikring NUF'!G33+KLP!G33+'DNB Bedriftspensjon'!G33+'KLP Skadeforsikring AS'!G33+'Landkreditt Forsikring'!G33+Insr!G33+'Nordea Liv '!G33+'Oslo Pensjonsforsikring'!G33+'Protector Forsikring'!G33+'SHB Liv'!G33+'Sparebank 1'!G33+'Storebrand Livsforsikring'!G33+'Telenor Forsikring'!G33+'Tryg Forsikring'!G33+'WaterCircle F'!G33</f>
        <v>4277452.5671625696</v>
      </c>
      <c r="G33" s="166">
        <f t="shared" ref="G33" si="18">IF($A$1=4,IF(E33=0, "    ---- ", IF(ABS(ROUND(100/E33*F33-100,1))&lt;999,ROUND(100/E33*F33-100,1),IF(ROUND(100/E33*F33-100,1)&gt;999,999,-999))),"")</f>
        <v>51.9</v>
      </c>
      <c r="H33" s="234">
        <f t="shared" ref="H33" si="19">SUM(B33,E33)</f>
        <v>2816843.746767059</v>
      </c>
      <c r="I33" s="44">
        <f t="shared" ref="I33" si="20">SUM(C33,F33)</f>
        <v>4277452.5671625696</v>
      </c>
      <c r="J33" s="24">
        <f t="shared" ref="J33" si="21">IF(H33=0, "    ---- ", IF(ABS(ROUND(100/H33*I33-100,1))&lt;999,ROUND(100/H33*I33-100,1),IF(ROUND(100/H33*I33-100,1)&gt;999,999,-999)))</f>
        <v>51.9</v>
      </c>
    </row>
    <row r="34" spans="1:10" s="43" customFormat="1" ht="15.75" customHeight="1" x14ac:dyDescent="0.2">
      <c r="A34" s="39" t="s">
        <v>366</v>
      </c>
      <c r="B34" s="236">
        <f>'Fremtind Livsforsikring'!B34+'Danica Pensjonsforsikring'!B34+'DNB Livsforsikring'!B34+'Eika Forsikring AS'!B34+'Frende Livsforsikring'!B34+'Frende Skadeforsikring'!B34+'Gjensidige Forsikring'!B34+'Gjensidige Pensjon'!B34+'Handelsbanken Liv'!B34+'If Skadeforsikring NUF'!B34+KLP!B34+'DNB Bedriftspensjon'!B34+'KLP Skadeforsikring AS'!B34+'Landkreditt Forsikring'!B34+Insr!B34+'Nordea Liv '!B34+'Oslo Pensjonsforsikring'!B34+'Protector Forsikring'!B34+'SHB Liv'!B34+'Sparebank 1'!B34+'Storebrand Livsforsikring'!B34+'Telenor Forsikring'!B34+'Tryg Forsikring'!B34+'WaterCircle F'!B34</f>
        <v>21812.762000000002</v>
      </c>
      <c r="C34" s="236">
        <f>'Fremtind Livsforsikring'!C34+'Danica Pensjonsforsikring'!C34+'DNB Livsforsikring'!C34+'Eika Forsikring AS'!C34+'Frende Livsforsikring'!C34+'Frende Skadeforsikring'!C34+'Gjensidige Forsikring'!C34+'Gjensidige Pensjon'!C34+'Handelsbanken Liv'!C34+'If Skadeforsikring NUF'!C34+KLP!C34+'DNB Bedriftspensjon'!C34+'KLP Skadeforsikring AS'!C34+'Landkreditt Forsikring'!C34+Insr!C34+'Nordea Liv '!C34+'Oslo Pensjonsforsikring'!C34+'Protector Forsikring'!C34+'SHB Liv'!C34+'Sparebank 1'!C34+'Storebrand Livsforsikring'!C34+'Telenor Forsikring'!C34+'Tryg Forsikring'!C34+'WaterCircle F'!C34</f>
        <v>14222.078000000001</v>
      </c>
      <c r="D34" s="24">
        <f t="shared" si="5"/>
        <v>-34.799999999999997</v>
      </c>
      <c r="E34" s="308">
        <f>'Fremtind Livsforsikring'!F34+'Danica Pensjonsforsikring'!F34+'DNB Livsforsikring'!F34+'Eika Forsikring AS'!F34+'Frende Livsforsikring'!F34+'Frende Skadeforsikring'!F34+'Gjensidige Forsikring'!F34+'Gjensidige Pensjon'!F34+'Handelsbanken Liv'!F34+'If Skadeforsikring NUF'!F34+KLP!F34+'DNB Bedriftspensjon'!F34+'KLP Skadeforsikring AS'!F34+'Landkreditt Forsikring'!F34+Insr!F34+'Nordea Liv '!F34+'Oslo Pensjonsforsikring'!F34+'Protector Forsikring'!F34+'SHB Liv'!F34+'Sparebank 1'!F34+'Storebrand Livsforsikring'!F34+'Telenor Forsikring'!F34+'Tryg Forsikring'!F34+'WaterCircle F'!F34</f>
        <v>56709.114930000003</v>
      </c>
      <c r="F34" s="308">
        <f>'Fremtind Livsforsikring'!G34+'Danica Pensjonsforsikring'!G34+'DNB Livsforsikring'!G34+'Eika Forsikring AS'!G34+'Frende Livsforsikring'!G34+'Frende Skadeforsikring'!G34+'Gjensidige Forsikring'!G34+'Gjensidige Pensjon'!G34+'Handelsbanken Liv'!G34+'If Skadeforsikring NUF'!G34+KLP!G34+'DNB Bedriftspensjon'!G34+'KLP Skadeforsikring AS'!G34+'Landkreditt Forsikring'!G34+Insr!G34+'Nordea Liv '!G34+'Oslo Pensjonsforsikring'!G34+'Protector Forsikring'!G34+'SHB Liv'!G34+'Sparebank 1'!G34+'Storebrand Livsforsikring'!G34+'Telenor Forsikring'!G34+'Tryg Forsikring'!G34+'WaterCircle F'!G34</f>
        <v>10888.071449999998</v>
      </c>
      <c r="G34" s="171">
        <f t="shared" si="6"/>
        <v>-80.8</v>
      </c>
      <c r="H34" s="308">
        <f t="shared" si="9"/>
        <v>78521.876929999999</v>
      </c>
      <c r="I34" s="236">
        <f t="shared" si="7"/>
        <v>25110.149449999997</v>
      </c>
      <c r="J34" s="24">
        <f t="shared" si="8"/>
        <v>-68</v>
      </c>
    </row>
    <row r="35" spans="1:10" s="43" customFormat="1" ht="15.75" customHeight="1" x14ac:dyDescent="0.2">
      <c r="A35" s="39" t="s">
        <v>367</v>
      </c>
      <c r="B35" s="236">
        <f>'Fremtind Livsforsikring'!B35+'Danica Pensjonsforsikring'!B35+'DNB Livsforsikring'!B35+'Eika Forsikring AS'!B35+'Frende Livsforsikring'!B35+'Frende Skadeforsikring'!B35+'Gjensidige Forsikring'!B35+'Gjensidige Pensjon'!B35+'Handelsbanken Liv'!B35+'If Skadeforsikring NUF'!B35+KLP!B35+'DNB Bedriftspensjon'!B35+'KLP Skadeforsikring AS'!B35+'Landkreditt Forsikring'!B35+Insr!B35+'Nordea Liv '!B35+'Oslo Pensjonsforsikring'!B35+'Protector Forsikring'!B35+'SHB Liv'!B35+'Sparebank 1'!B35+'Storebrand Livsforsikring'!B35+'Telenor Forsikring'!B35+'Tryg Forsikring'!B35+'WaterCircle F'!B35</f>
        <v>-14995.950700000001</v>
      </c>
      <c r="C35" s="236">
        <f>'Fremtind Livsforsikring'!C35+'Danica Pensjonsforsikring'!C35+'DNB Livsforsikring'!C35+'Eika Forsikring AS'!C35+'Frende Livsforsikring'!C35+'Frende Skadeforsikring'!C35+'Gjensidige Forsikring'!C35+'Gjensidige Pensjon'!C35+'Handelsbanken Liv'!C35+'If Skadeforsikring NUF'!C35+KLP!C35+'DNB Bedriftspensjon'!C35+'KLP Skadeforsikring AS'!C35+'Landkreditt Forsikring'!C35+Insr!C35+'Nordea Liv '!C35+'Oslo Pensjonsforsikring'!C35+'Protector Forsikring'!C35+'SHB Liv'!C35+'Sparebank 1'!C35+'Storebrand Livsforsikring'!C35+'Telenor Forsikring'!C35+'Tryg Forsikring'!C35+'WaterCircle F'!C35</f>
        <v>-77011.543429999991</v>
      </c>
      <c r="D35" s="24">
        <f t="shared" si="5"/>
        <v>413.5</v>
      </c>
      <c r="E35" s="308">
        <f>'Fremtind Livsforsikring'!F35+'Danica Pensjonsforsikring'!F35+'DNB Livsforsikring'!F35+'Eika Forsikring AS'!F35+'Frende Livsforsikring'!F35+'Frende Skadeforsikring'!F35+'Gjensidige Forsikring'!F35+'Gjensidige Pensjon'!F35+'Handelsbanken Liv'!F35+'If Skadeforsikring NUF'!F35+KLP!F35+'DNB Bedriftspensjon'!F35+'KLP Skadeforsikring AS'!F35+'Landkreditt Forsikring'!F35+Insr!F35+'Nordea Liv '!F35+'Oslo Pensjonsforsikring'!F35+'Protector Forsikring'!F35+'SHB Liv'!F35+'Sparebank 1'!F35+'Storebrand Livsforsikring'!F35+'Telenor Forsikring'!F35+'Tryg Forsikring'!F35+'WaterCircle F'!F35</f>
        <v>88011.717409999983</v>
      </c>
      <c r="F35" s="308">
        <f>'Fremtind Livsforsikring'!G35+'Danica Pensjonsforsikring'!G35+'DNB Livsforsikring'!G35+'Eika Forsikring AS'!G35+'Frende Livsforsikring'!G35+'Frende Skadeforsikring'!G35+'Gjensidige Forsikring'!G35+'Gjensidige Pensjon'!G35+'Handelsbanken Liv'!G35+'If Skadeforsikring NUF'!G35+KLP!G35+'DNB Bedriftspensjon'!G35+'KLP Skadeforsikring AS'!G35+'Landkreditt Forsikring'!G35+Insr!G35+'Nordea Liv '!G35+'Oslo Pensjonsforsikring'!G35+'Protector Forsikring'!G35+'SHB Liv'!G35+'Sparebank 1'!G35+'Storebrand Livsforsikring'!G35+'Telenor Forsikring'!G35+'Tryg Forsikring'!G35+'WaterCircle F'!G35</f>
        <v>115743.15936000002</v>
      </c>
      <c r="G35" s="171">
        <f t="shared" si="6"/>
        <v>31.5</v>
      </c>
      <c r="H35" s="308">
        <f t="shared" si="9"/>
        <v>73015.766709999982</v>
      </c>
      <c r="I35" s="236">
        <f t="shared" si="7"/>
        <v>38731.615930000029</v>
      </c>
      <c r="J35" s="24">
        <f t="shared" si="8"/>
        <v>-47</v>
      </c>
    </row>
    <row r="36" spans="1:10" s="43" customFormat="1" ht="15.75" customHeight="1" x14ac:dyDescent="0.2">
      <c r="A36" s="12" t="s">
        <v>284</v>
      </c>
      <c r="B36" s="236">
        <f>'Fremtind Livsforsikring'!B36+'Danica Pensjonsforsikring'!B36+'DNB Livsforsikring'!B36+'Eika Forsikring AS'!B36+'Frende Livsforsikring'!B36+'Frende Skadeforsikring'!B36+'Gjensidige Forsikring'!B36+'Gjensidige Pensjon'!B36+'Handelsbanken Liv'!B36+'If Skadeforsikring NUF'!B36+KLP!B36+'DNB Bedriftspensjon'!B36+'KLP Skadeforsikring AS'!B36+'Landkreditt Forsikring'!B36+Insr!B36+'Nordea Liv '!B36+'Oslo Pensjonsforsikring'!B36+'Protector Forsikring'!B36+'SHB Liv'!B36+'Sparebank 1'!B36+'Storebrand Livsforsikring'!B36+'Telenor Forsikring'!B36+'Tryg Forsikring'!B36+'WaterCircle F'!B36</f>
        <v>2280.221</v>
      </c>
      <c r="C36" s="236">
        <f>'Fremtind Livsforsikring'!C36+'Danica Pensjonsforsikring'!C36+'DNB Livsforsikring'!C36+'Eika Forsikring AS'!C36+'Frende Livsforsikring'!C36+'Frende Skadeforsikring'!C36+'Gjensidige Forsikring'!C36+'Gjensidige Pensjon'!C36+'Handelsbanken Liv'!C36+'If Skadeforsikring NUF'!C36+KLP!C36+'DNB Bedriftspensjon'!C36+'KLP Skadeforsikring AS'!C36+'Landkreditt Forsikring'!C36+Insr!C36+'Nordea Liv '!C36+'Oslo Pensjonsforsikring'!C36+'Protector Forsikring'!C36+'SHB Liv'!C36+'Sparebank 1'!C36+'Storebrand Livsforsikring'!C36+'Telenor Forsikring'!C36+'Tryg Forsikring'!C36+'WaterCircle F'!C36</f>
        <v>2738.33</v>
      </c>
      <c r="D36" s="11">
        <f t="shared" si="5"/>
        <v>20.100000000000001</v>
      </c>
      <c r="E36" s="319"/>
      <c r="F36" s="319"/>
      <c r="G36" s="171"/>
      <c r="H36" s="308">
        <f t="shared" si="9"/>
        <v>2280.221</v>
      </c>
      <c r="I36" s="236">
        <f t="shared" si="7"/>
        <v>2738.33</v>
      </c>
      <c r="J36" s="11">
        <f t="shared" si="8"/>
        <v>20.100000000000001</v>
      </c>
    </row>
    <row r="37" spans="1:10" s="43" customFormat="1" ht="15.75" customHeight="1" x14ac:dyDescent="0.2">
      <c r="A37" s="587" t="s">
        <v>373</v>
      </c>
      <c r="B37" s="236">
        <f>'Fremtind Livsforsikring'!B37+'Danica Pensjonsforsikring'!B37+'DNB Livsforsikring'!B37+'Eika Forsikring AS'!B37+'Frende Livsforsikring'!B37+'Frende Skadeforsikring'!B37+'Gjensidige Forsikring'!B37+'Gjensidige Pensjon'!B37+'Handelsbanken Liv'!B37+'If Skadeforsikring NUF'!B37+KLP!B37+'DNB Bedriftspensjon'!B37+'KLP Skadeforsikring AS'!B37+'Landkreditt Forsikring'!B37+Insr!B37+'Nordea Liv '!B37+'Oslo Pensjonsforsikring'!B37+'Protector Forsikring'!B37+'SHB Liv'!B37+'Sparebank 1'!B37+'Storebrand Livsforsikring'!B37+'Telenor Forsikring'!B37+'Tryg Forsikring'!B37+'WaterCircle F'!B37</f>
        <v>3736067.0150000001</v>
      </c>
      <c r="C37" s="236">
        <f>'Fremtind Livsforsikring'!C37+'Danica Pensjonsforsikring'!C37+'DNB Livsforsikring'!C37+'Eika Forsikring AS'!C37+'Frende Livsforsikring'!C37+'Frende Skadeforsikring'!C37+'Gjensidige Forsikring'!C37+'Gjensidige Pensjon'!C37+'Handelsbanken Liv'!C37+'If Skadeforsikring NUF'!C37+KLP!C37+'DNB Bedriftspensjon'!C37+'KLP Skadeforsikring AS'!C37+'Landkreditt Forsikring'!C37+Insr!C37+'Nordea Liv '!C37+'Oslo Pensjonsforsikring'!C37+'Protector Forsikring'!C37+'SHB Liv'!C37+'Sparebank 1'!C37+'Storebrand Livsforsikring'!C37+'Telenor Forsikring'!C37+'Tryg Forsikring'!C37+'WaterCircle F'!C37</f>
        <v>3582221.537</v>
      </c>
      <c r="D37" s="24">
        <f t="shared" si="5"/>
        <v>-4.0999999999999996</v>
      </c>
      <c r="E37" s="324"/>
      <c r="F37" s="324"/>
      <c r="G37" s="171"/>
      <c r="H37" s="308">
        <f t="shared" si="9"/>
        <v>3736067.0150000001</v>
      </c>
      <c r="I37" s="236">
        <f t="shared" si="7"/>
        <v>3582221.537</v>
      </c>
      <c r="J37" s="24">
        <f t="shared" si="8"/>
        <v>-4.0999999999999996</v>
      </c>
    </row>
    <row r="38" spans="1:10" s="43" customFormat="1" ht="15.75" customHeight="1" x14ac:dyDescent="0.2">
      <c r="A38" s="587" t="s">
        <v>374</v>
      </c>
      <c r="B38" s="236"/>
      <c r="C38" s="236"/>
      <c r="D38" s="24"/>
      <c r="E38" s="319"/>
      <c r="F38" s="325"/>
      <c r="G38" s="171"/>
      <c r="H38" s="308"/>
      <c r="I38" s="236"/>
      <c r="J38" s="24"/>
    </row>
    <row r="39" spans="1:10" s="43" customFormat="1" ht="15.75" customHeight="1" x14ac:dyDescent="0.2">
      <c r="A39" s="588" t="s">
        <v>375</v>
      </c>
      <c r="B39" s="276">
        <f>'Fremtind Livsforsikring'!B39+'Danica Pensjonsforsikring'!B39+'DNB Livsforsikring'!B39+'Eika Forsikring AS'!B39+'Frende Livsforsikring'!B39+'Frende Skadeforsikring'!B39+'Gjensidige Forsikring'!B39+'Gjensidige Pensjon'!B39+'Handelsbanken Liv'!B39+'If Skadeforsikring NUF'!B39+KLP!B39+'DNB Bedriftspensjon'!B39+'KLP Skadeforsikring AS'!B39+'Landkreditt Forsikring'!B39+Insr!B39+'Nordea Liv '!B39+'Oslo Pensjonsforsikring'!B39+'Protector Forsikring'!B39+'SHB Liv'!B39+'Sparebank 1'!B39+'Storebrand Livsforsikring'!B39+'Telenor Forsikring'!B39+'Tryg Forsikring'!B39+'WaterCircle F'!B39</f>
        <v>2</v>
      </c>
      <c r="C39" s="276">
        <f>'Fremtind Livsforsikring'!C39+'Danica Pensjonsforsikring'!C39+'DNB Livsforsikring'!C39+'Eika Forsikring AS'!C39+'Frende Livsforsikring'!C39+'Frende Skadeforsikring'!C39+'Gjensidige Forsikring'!C39+'Gjensidige Pensjon'!C39+'Handelsbanken Liv'!C39+'If Skadeforsikring NUF'!C39+KLP!C39+'DNB Bedriftspensjon'!C39+'KLP Skadeforsikring AS'!C39+'Landkreditt Forsikring'!C39+Insr!C39+'Nordea Liv '!C39+'Oslo Pensjonsforsikring'!C39+'Protector Forsikring'!C39+'SHB Liv'!C39+'Sparebank 1'!C39+'Storebrand Livsforsikring'!C39+'Telenor Forsikring'!C39+'Tryg Forsikring'!C39+'WaterCircle F'!C39</f>
        <v>17</v>
      </c>
      <c r="D39" s="36">
        <f t="shared" si="5"/>
        <v>750</v>
      </c>
      <c r="E39" s="326"/>
      <c r="F39" s="326"/>
      <c r="G39" s="169"/>
      <c r="H39" s="314">
        <f t="shared" si="9"/>
        <v>2</v>
      </c>
      <c r="I39" s="276">
        <f t="shared" si="7"/>
        <v>17</v>
      </c>
      <c r="J39" s="36">
        <f t="shared" si="8"/>
        <v>750</v>
      </c>
    </row>
    <row r="40" spans="1:10" ht="15.75" customHeight="1" x14ac:dyDescent="0.2">
      <c r="A40" s="47"/>
    </row>
    <row r="41" spans="1:10" ht="15.75" customHeight="1" x14ac:dyDescent="0.2">
      <c r="A41" s="155"/>
    </row>
    <row r="42" spans="1:10" ht="15.75" customHeight="1" x14ac:dyDescent="0.25">
      <c r="A42" s="147" t="s">
        <v>273</v>
      </c>
      <c r="B42" s="730"/>
      <c r="C42" s="730"/>
      <c r="D42" s="730"/>
      <c r="E42" s="731"/>
      <c r="F42" s="731"/>
      <c r="G42" s="731"/>
      <c r="H42" s="731"/>
      <c r="I42" s="731"/>
      <c r="J42" s="731"/>
    </row>
    <row r="43" spans="1:10" ht="15.75" customHeight="1" x14ac:dyDescent="0.25">
      <c r="A43" s="163"/>
      <c r="B43" s="435"/>
      <c r="C43" s="435"/>
      <c r="D43" s="435"/>
      <c r="E43" s="298"/>
      <c r="F43" s="298"/>
      <c r="G43" s="298"/>
      <c r="H43" s="298"/>
      <c r="I43" s="298"/>
      <c r="J43" s="298"/>
    </row>
    <row r="44" spans="1:10" s="3" customFormat="1" ht="15.75" customHeight="1" x14ac:dyDescent="0.25">
      <c r="A44" s="247"/>
      <c r="B44" s="327" t="s">
        <v>0</v>
      </c>
      <c r="C44" s="328"/>
      <c r="D44" s="252"/>
      <c r="E44" s="42"/>
      <c r="F44" s="42"/>
      <c r="G44" s="40"/>
      <c r="H44" s="42"/>
      <c r="I44" s="42"/>
      <c r="J44" s="40"/>
    </row>
    <row r="45" spans="1:10" s="3" customFormat="1" ht="15.75" customHeight="1" x14ac:dyDescent="0.2">
      <c r="A45" s="140"/>
      <c r="B45" s="20" t="s">
        <v>421</v>
      </c>
      <c r="C45" s="20" t="s">
        <v>422</v>
      </c>
      <c r="D45" s="250" t="s">
        <v>3</v>
      </c>
      <c r="E45" s="42"/>
      <c r="F45" s="42"/>
      <c r="G45" s="40"/>
      <c r="H45" s="42"/>
      <c r="I45" s="42"/>
      <c r="J45" s="40"/>
    </row>
    <row r="46" spans="1:10" s="3" customFormat="1" ht="15.75" customHeight="1" x14ac:dyDescent="0.2">
      <c r="A46" s="708"/>
      <c r="B46" s="46"/>
      <c r="C46" s="251"/>
      <c r="D46" s="17" t="s">
        <v>4</v>
      </c>
      <c r="E46" s="40"/>
      <c r="F46" s="40"/>
      <c r="G46" s="40"/>
      <c r="H46" s="40"/>
      <c r="I46" s="40"/>
      <c r="J46" s="40"/>
    </row>
    <row r="47" spans="1:10" s="420" customFormat="1" ht="15.75" customHeight="1" x14ac:dyDescent="0.2">
      <c r="A47" s="14" t="s">
        <v>23</v>
      </c>
      <c r="B47" s="236">
        <f>'Fremtind Livsforsikring'!B47+'Danica Pensjonsforsikring'!B47+'DNB Livsforsikring'!B47+'Eika Forsikring AS'!B47+'Frende Livsforsikring'!B47+'Frende Skadeforsikring'!B47+'Gjensidige Forsikring'!B47+'Gjensidige Pensjon'!B47+'Handelsbanken Liv'!B47+'If Skadeforsikring NUF'!B47+KLP!B47+'DNB Bedriftspensjon'!B47+'KLP Skadeforsikring AS'!B47+'Landkreditt Forsikring'!B47+Insr!B47+'Nordea Liv '!B47+'Oslo Pensjonsforsikring'!B47+'Protector Forsikring'!B47+'SHB Liv'!B47+'Sparebank 1'!B47+'Storebrand Livsforsikring'!B47+'Telenor Forsikring'!B47+'Tryg Forsikring'!B47+'WaterCircle F'!B47</f>
        <v>3826287.23887792</v>
      </c>
      <c r="C47" s="236">
        <f>'Fremtind Livsforsikring'!C47+'Danica Pensjonsforsikring'!C47+'DNB Livsforsikring'!C47+'Eika Forsikring AS'!C47+'Frende Livsforsikring'!C47+'Frende Skadeforsikring'!C47+'Gjensidige Forsikring'!C47+'Gjensidige Pensjon'!C47+'Handelsbanken Liv'!C47+'If Skadeforsikring NUF'!C47+KLP!C47+'DNB Bedriftspensjon'!C47+'KLP Skadeforsikring AS'!C47+'Landkreditt Forsikring'!C47+Insr!C47+'Nordea Liv '!C47+'Oslo Pensjonsforsikring'!C47+'Protector Forsikring'!C47+'SHB Liv'!C47+'Sparebank 1'!C47+'Storebrand Livsforsikring'!C47+'Telenor Forsikring'!C47+'Tryg Forsikring'!C47+'WaterCircle F'!C47</f>
        <v>4226084.6171943173</v>
      </c>
      <c r="D47" s="24">
        <f t="shared" ref="D47:D58" si="22">IF(B47=0, "    ---- ", IF(ABS(ROUND(100/B47*C47-100,1))&lt;999,ROUND(100/B47*C47-100,1),IF(ROUND(100/B47*C47-100,1)&gt;999,999,-999)))</f>
        <v>10.4</v>
      </c>
      <c r="E47" s="421"/>
      <c r="F47" s="422"/>
      <c r="G47" s="32"/>
      <c r="H47" s="423"/>
      <c r="I47" s="423"/>
      <c r="J47" s="32"/>
    </row>
    <row r="48" spans="1:10" s="3" customFormat="1" ht="15.75" customHeight="1" x14ac:dyDescent="0.2">
      <c r="A48" s="38" t="s">
        <v>376</v>
      </c>
      <c r="B48" s="44">
        <f>'Fremtind Livsforsikring'!B48+'Danica Pensjonsforsikring'!B48+'DNB Livsforsikring'!B48+'Eika Forsikring AS'!B48+'Frende Livsforsikring'!B48+'Frende Skadeforsikring'!B48+'Gjensidige Forsikring'!B48+'Gjensidige Pensjon'!B48+'Handelsbanken Liv'!B48+'If Skadeforsikring NUF'!B48+KLP!B48+'DNB Bedriftspensjon'!B48+'KLP Skadeforsikring AS'!B48+'Landkreditt Forsikring'!B48+Insr!B48+'Nordea Liv '!B48+'Oslo Pensjonsforsikring'!B48+'Protector Forsikring'!B48+'SHB Liv'!B48+'Sparebank 1'!B48+'Storebrand Livsforsikring'!B48+'Telenor Forsikring'!B48+'Tryg Forsikring'!B48+'WaterCircle F'!B48</f>
        <v>2165927.6114279199</v>
      </c>
      <c r="C48" s="44">
        <f>'Fremtind Livsforsikring'!C48+'Danica Pensjonsforsikring'!C48+'DNB Livsforsikring'!C48+'Eika Forsikring AS'!C48+'Frende Livsforsikring'!C48+'Frende Skadeforsikring'!C48+'Gjensidige Forsikring'!C48+'Gjensidige Pensjon'!C48+'Handelsbanken Liv'!C48+'If Skadeforsikring NUF'!C48+KLP!C48+'DNB Bedriftspensjon'!C48+'KLP Skadeforsikring AS'!C48+'Landkreditt Forsikring'!C48+Insr!C48+'Nordea Liv '!C48+'Oslo Pensjonsforsikring'!C48+'Protector Forsikring'!C48+'SHB Liv'!C48+'Sparebank 1'!C48+'Storebrand Livsforsikring'!C48+'Telenor Forsikring'!C48+'Tryg Forsikring'!C48+'WaterCircle F'!C48</f>
        <v>2378874.6428143168</v>
      </c>
      <c r="D48" s="24">
        <f t="shared" si="22"/>
        <v>9.8000000000000007</v>
      </c>
      <c r="E48" s="35"/>
      <c r="F48" s="5"/>
      <c r="G48" s="34"/>
      <c r="H48" s="33"/>
      <c r="I48" s="33"/>
      <c r="J48" s="32"/>
    </row>
    <row r="49" spans="1:10" s="3" customFormat="1" ht="15.75" customHeight="1" x14ac:dyDescent="0.2">
      <c r="A49" s="38" t="s">
        <v>377</v>
      </c>
      <c r="B49" s="191">
        <f>'Fremtind Livsforsikring'!B49+'Danica Pensjonsforsikring'!B49+'DNB Livsforsikring'!B49+'Eika Forsikring AS'!B49+'Frende Livsforsikring'!B49+'Frende Skadeforsikring'!B49+'Gjensidige Forsikring'!B49+'Gjensidige Pensjon'!B49+'Handelsbanken Liv'!B49+'If Skadeforsikring NUF'!B49+KLP!B49+'DNB Bedriftspensjon'!B49+'KLP Skadeforsikring AS'!B49+'Landkreditt Forsikring'!B49+Insr!B49+'Nordea Liv '!B49+'Oslo Pensjonsforsikring'!B49+'Protector Forsikring'!B49+'SHB Liv'!B49+'Sparebank 1'!B49+'Storebrand Livsforsikring'!B49+'Telenor Forsikring'!B49+'Tryg Forsikring'!B49+'WaterCircle F'!B49</f>
        <v>1660359.62745</v>
      </c>
      <c r="C49" s="191">
        <f>'Fremtind Livsforsikring'!C49+'Danica Pensjonsforsikring'!C49+'DNB Livsforsikring'!C49+'Eika Forsikring AS'!C49+'Frende Livsforsikring'!C49+'Frende Skadeforsikring'!C49+'Gjensidige Forsikring'!C49+'Gjensidige Pensjon'!C49+'Handelsbanken Liv'!C49+'If Skadeforsikring NUF'!C49+KLP!C49+'DNB Bedriftspensjon'!C49+'KLP Skadeforsikring AS'!C49+'Landkreditt Forsikring'!C49+Insr!C49+'Nordea Liv '!C49+'Oslo Pensjonsforsikring'!C49+'Protector Forsikring'!C49+'SHB Liv'!C49+'Sparebank 1'!C49+'Storebrand Livsforsikring'!C49+'Telenor Forsikring'!C49+'Tryg Forsikring'!C49+'WaterCircle F'!C49</f>
        <v>1847209.97438</v>
      </c>
      <c r="D49" s="24">
        <f t="shared" si="22"/>
        <v>11.3</v>
      </c>
      <c r="E49" s="35"/>
      <c r="F49" s="5"/>
      <c r="G49" s="34"/>
      <c r="H49" s="37"/>
      <c r="I49" s="37"/>
      <c r="J49" s="32"/>
    </row>
    <row r="50" spans="1:10" s="3" customFormat="1" ht="15.75" customHeight="1" x14ac:dyDescent="0.2">
      <c r="A50" s="296" t="s">
        <v>6</v>
      </c>
      <c r="B50" s="44"/>
      <c r="C50" s="44"/>
      <c r="D50" s="27"/>
      <c r="E50" s="35"/>
      <c r="F50" s="5"/>
      <c r="G50" s="34"/>
      <c r="H50" s="33"/>
      <c r="I50" s="33"/>
      <c r="J50" s="32"/>
    </row>
    <row r="51" spans="1:10" s="3" customFormat="1" ht="15.75" customHeight="1" x14ac:dyDescent="0.2">
      <c r="A51" s="296" t="s">
        <v>7</v>
      </c>
      <c r="B51" s="44"/>
      <c r="C51" s="44"/>
      <c r="D51" s="27"/>
      <c r="E51" s="35"/>
      <c r="F51" s="5"/>
      <c r="G51" s="34"/>
      <c r="H51" s="33"/>
      <c r="I51" s="33"/>
      <c r="J51" s="32"/>
    </row>
    <row r="52" spans="1:10" s="3" customFormat="1" ht="15.75" customHeight="1" x14ac:dyDescent="0.2">
      <c r="A52" s="296" t="s">
        <v>8</v>
      </c>
      <c r="B52" s="44"/>
      <c r="C52" s="44"/>
      <c r="D52" s="27"/>
      <c r="E52" s="35"/>
      <c r="F52" s="5"/>
      <c r="G52" s="34"/>
      <c r="H52" s="33"/>
      <c r="I52" s="33"/>
      <c r="J52" s="32"/>
    </row>
    <row r="53" spans="1:10" s="420" customFormat="1" ht="15.75" customHeight="1" x14ac:dyDescent="0.2">
      <c r="A53" s="39" t="s">
        <v>378</v>
      </c>
      <c r="B53" s="236">
        <f>'Fremtind Livsforsikring'!B53+'Danica Pensjonsforsikring'!B53+'DNB Livsforsikring'!B53+'Eika Forsikring AS'!B53+'Frende Livsforsikring'!B53+'Frende Skadeforsikring'!B53+'Gjensidige Forsikring'!B53+'Gjensidige Pensjon'!B53+'Handelsbanken Liv'!B53+'If Skadeforsikring NUF'!B53+KLP!B53+'DNB Bedriftspensjon'!B53+'KLP Skadeforsikring AS'!B53+'Landkreditt Forsikring'!B53+Insr!B53+'Nordea Liv '!B53+'Oslo Pensjonsforsikring'!B53+'Protector Forsikring'!B53+'SHB Liv'!B53+'Sparebank 1'!B53+'Storebrand Livsforsikring'!B53+'Telenor Forsikring'!B53+'Tryg Forsikring'!B53+'WaterCircle F'!B53</f>
        <v>227550.31900000002</v>
      </c>
      <c r="C53" s="236">
        <f>'Fremtind Livsforsikring'!C53+'Danica Pensjonsforsikring'!C53+'DNB Livsforsikring'!C53+'Eika Forsikring AS'!C53+'Frende Livsforsikring'!C53+'Frende Skadeforsikring'!C53+'Gjensidige Forsikring'!C53+'Gjensidige Pensjon'!C53+'Handelsbanken Liv'!C53+'If Skadeforsikring NUF'!C53+KLP!C53+'DNB Bedriftspensjon'!C53+'KLP Skadeforsikring AS'!C53+'Landkreditt Forsikring'!C53+Insr!C53+'Nordea Liv '!C53+'Oslo Pensjonsforsikring'!C53+'Protector Forsikring'!C53+'SHB Liv'!C53+'Sparebank 1'!C53+'Storebrand Livsforsikring'!C53+'Telenor Forsikring'!C53+'Tryg Forsikring'!C53+'WaterCircle F'!C53</f>
        <v>155462.67000000001</v>
      </c>
      <c r="D53" s="24">
        <f t="shared" si="22"/>
        <v>-31.7</v>
      </c>
      <c r="E53" s="421"/>
      <c r="F53" s="422"/>
      <c r="G53" s="32"/>
      <c r="H53" s="173"/>
      <c r="I53" s="173"/>
      <c r="J53" s="32"/>
    </row>
    <row r="54" spans="1:10" s="3" customFormat="1" ht="15.75" customHeight="1" x14ac:dyDescent="0.2">
      <c r="A54" s="38" t="s">
        <v>376</v>
      </c>
      <c r="B54" s="44">
        <f>'Fremtind Livsforsikring'!B54+'Danica Pensjonsforsikring'!B54+'DNB Livsforsikring'!B54+'Eika Forsikring AS'!B54+'Frende Livsforsikring'!B54+'Frende Skadeforsikring'!B54+'Gjensidige Forsikring'!B54+'Gjensidige Pensjon'!B54+'Handelsbanken Liv'!B54+'If Skadeforsikring NUF'!B54+KLP!B54+'DNB Bedriftspensjon'!B54+'KLP Skadeforsikring AS'!B54+'Landkreditt Forsikring'!B54+Insr!B54+'Nordea Liv '!B54+'Oslo Pensjonsforsikring'!B54+'Protector Forsikring'!B54+'SHB Liv'!B54+'Sparebank 1'!B54+'Storebrand Livsforsikring'!B54+'Telenor Forsikring'!B54+'Tryg Forsikring'!B54+'WaterCircle F'!B54</f>
        <v>137928.47699999998</v>
      </c>
      <c r="C54" s="44">
        <f>'Fremtind Livsforsikring'!C54+'Danica Pensjonsforsikring'!C54+'DNB Livsforsikring'!C54+'Eika Forsikring AS'!C54+'Frende Livsforsikring'!C54+'Frende Skadeforsikring'!C54+'Gjensidige Forsikring'!C54+'Gjensidige Pensjon'!C54+'Handelsbanken Liv'!C54+'If Skadeforsikring NUF'!C54+KLP!C54+'DNB Bedriftspensjon'!C54+'KLP Skadeforsikring AS'!C54+'Landkreditt Forsikring'!C54+Insr!C54+'Nordea Liv '!C54+'Oslo Pensjonsforsikring'!C54+'Protector Forsikring'!C54+'SHB Liv'!C54+'Sparebank 1'!C54+'Storebrand Livsforsikring'!C54+'Telenor Forsikring'!C54+'Tryg Forsikring'!C54+'WaterCircle F'!C54</f>
        <v>155462.67000000001</v>
      </c>
      <c r="D54" s="24">
        <f t="shared" si="22"/>
        <v>12.7</v>
      </c>
      <c r="E54" s="35"/>
      <c r="F54" s="5"/>
      <c r="G54" s="34"/>
      <c r="H54" s="33"/>
      <c r="I54" s="33"/>
      <c r="J54" s="32"/>
    </row>
    <row r="55" spans="1:10" s="3" customFormat="1" ht="15.75" customHeight="1" x14ac:dyDescent="0.2">
      <c r="A55" s="38" t="s">
        <v>377</v>
      </c>
      <c r="B55" s="44">
        <f>'Fremtind Livsforsikring'!B55+'Danica Pensjonsforsikring'!B55+'DNB Livsforsikring'!B55+'Eika Forsikring AS'!B55+'Frende Livsforsikring'!B55+'Frende Skadeforsikring'!B55+'Gjensidige Forsikring'!B55+'Gjensidige Pensjon'!B55+'Handelsbanken Liv'!B55+'If Skadeforsikring NUF'!B55+KLP!B55+'DNB Bedriftspensjon'!B55+'KLP Skadeforsikring AS'!B55+'Landkreditt Forsikring'!B55+Insr!B55+'Nordea Liv '!B55+'Oslo Pensjonsforsikring'!B55+'Protector Forsikring'!B55+'SHB Liv'!B55+'Sparebank 1'!B55+'Storebrand Livsforsikring'!B55+'Telenor Forsikring'!B55+'Tryg Forsikring'!B55+'WaterCircle F'!B55</f>
        <v>89621.842000000004</v>
      </c>
      <c r="C55" s="44">
        <f>'Fremtind Livsforsikring'!C55+'Danica Pensjonsforsikring'!C55+'DNB Livsforsikring'!C55+'Eika Forsikring AS'!C55+'Frende Livsforsikring'!C55+'Frende Skadeforsikring'!C55+'Gjensidige Forsikring'!C55+'Gjensidige Pensjon'!C55+'Handelsbanken Liv'!C55+'If Skadeforsikring NUF'!C55+KLP!C55+'DNB Bedriftspensjon'!C55+'KLP Skadeforsikring AS'!C55+'Landkreditt Forsikring'!C55+Insr!C55+'Nordea Liv '!C55+'Oslo Pensjonsforsikring'!C55+'Protector Forsikring'!C55+'SHB Liv'!C55+'Sparebank 1'!C55+'Storebrand Livsforsikring'!C55+'Telenor Forsikring'!C55+'Tryg Forsikring'!C55+'WaterCircle F'!C55</f>
        <v>0</v>
      </c>
      <c r="D55" s="24">
        <f t="shared" si="22"/>
        <v>-100</v>
      </c>
      <c r="E55" s="35"/>
      <c r="F55" s="5"/>
      <c r="G55" s="34"/>
      <c r="H55" s="33"/>
      <c r="I55" s="33"/>
      <c r="J55" s="32"/>
    </row>
    <row r="56" spans="1:10" s="420" customFormat="1" ht="15.75" customHeight="1" x14ac:dyDescent="0.2">
      <c r="A56" s="39" t="s">
        <v>379</v>
      </c>
      <c r="B56" s="236">
        <f>'Fremtind Livsforsikring'!B56+'Danica Pensjonsforsikring'!B56+'DNB Livsforsikring'!B56+'Eika Forsikring AS'!B56+'Frende Livsforsikring'!B56+'Frende Skadeforsikring'!B56+'Gjensidige Forsikring'!B56+'Gjensidige Pensjon'!B56+'Handelsbanken Liv'!B56+'If Skadeforsikring NUF'!B56+KLP!B56+'DNB Bedriftspensjon'!B56+'KLP Skadeforsikring AS'!B56+'Landkreditt Forsikring'!B56+Insr!B56+'Nordea Liv '!B56+'Oslo Pensjonsforsikring'!B56+'Protector Forsikring'!B56+'SHB Liv'!B56+'Sparebank 1'!B56+'Storebrand Livsforsikring'!B56+'Telenor Forsikring'!B56+'Tryg Forsikring'!B56+'WaterCircle F'!B56</f>
        <v>167772.37900000002</v>
      </c>
      <c r="C56" s="236">
        <f>'Fremtind Livsforsikring'!C56+'Danica Pensjonsforsikring'!C56+'DNB Livsforsikring'!C56+'Eika Forsikring AS'!C56+'Frende Livsforsikring'!C56+'Frende Skadeforsikring'!C56+'Gjensidige Forsikring'!C56+'Gjensidige Pensjon'!C56+'Handelsbanken Liv'!C56+'If Skadeforsikring NUF'!C56+KLP!C56+'DNB Bedriftspensjon'!C56+'KLP Skadeforsikring AS'!C56+'Landkreditt Forsikring'!C56+Insr!C56+'Nordea Liv '!C56+'Oslo Pensjonsforsikring'!C56+'Protector Forsikring'!C56+'SHB Liv'!C56+'Sparebank 1'!C56+'Storebrand Livsforsikring'!C56+'Telenor Forsikring'!C56+'Tryg Forsikring'!C56+'WaterCircle F'!C56</f>
        <v>118718.458</v>
      </c>
      <c r="D56" s="24">
        <f t="shared" si="22"/>
        <v>-29.2</v>
      </c>
      <c r="E56" s="421"/>
      <c r="F56" s="422"/>
      <c r="G56" s="32"/>
      <c r="H56" s="173"/>
      <c r="I56" s="173"/>
      <c r="J56" s="32"/>
    </row>
    <row r="57" spans="1:10" s="3" customFormat="1" ht="15.75" customHeight="1" x14ac:dyDescent="0.2">
      <c r="A57" s="38" t="s">
        <v>376</v>
      </c>
      <c r="B57" s="44">
        <f>'Fremtind Livsforsikring'!B57+'Danica Pensjonsforsikring'!B57+'DNB Livsforsikring'!B57+'Eika Forsikring AS'!B57+'Frende Livsforsikring'!B57+'Frende Skadeforsikring'!B57+'Gjensidige Forsikring'!B57+'Gjensidige Pensjon'!B57+'Handelsbanken Liv'!B57+'If Skadeforsikring NUF'!B57+KLP!B57+'DNB Bedriftspensjon'!B57+'KLP Skadeforsikring AS'!B57+'Landkreditt Forsikring'!B57+Insr!B57+'Nordea Liv '!B57+'Oslo Pensjonsforsikring'!B57+'Protector Forsikring'!B57+'SHB Liv'!B57+'Sparebank 1'!B57+'Storebrand Livsforsikring'!B57+'Telenor Forsikring'!B57+'Tryg Forsikring'!B57+'WaterCircle F'!B57</f>
        <v>101179.826</v>
      </c>
      <c r="C57" s="44">
        <f>'Fremtind Livsforsikring'!C57+'Danica Pensjonsforsikring'!C57+'DNB Livsforsikring'!C57+'Eika Forsikring AS'!C57+'Frende Livsforsikring'!C57+'Frende Skadeforsikring'!C57+'Gjensidige Forsikring'!C57+'Gjensidige Pensjon'!C57+'Handelsbanken Liv'!C57+'If Skadeforsikring NUF'!C57+KLP!C57+'DNB Bedriftspensjon'!C57+'KLP Skadeforsikring AS'!C57+'Landkreditt Forsikring'!C57+Insr!C57+'Nordea Liv '!C57+'Oslo Pensjonsforsikring'!C57+'Protector Forsikring'!C57+'SHB Liv'!C57+'Sparebank 1'!C57+'Storebrand Livsforsikring'!C57+'Telenor Forsikring'!C57+'Tryg Forsikring'!C57+'WaterCircle F'!C57</f>
        <v>118718.458</v>
      </c>
      <c r="D57" s="24">
        <f t="shared" si="22"/>
        <v>17.3</v>
      </c>
      <c r="E57" s="35"/>
      <c r="F57" s="5"/>
      <c r="G57" s="34"/>
      <c r="H57" s="33"/>
      <c r="I57" s="33"/>
      <c r="J57" s="32"/>
    </row>
    <row r="58" spans="1:10" s="3" customFormat="1" ht="15.75" customHeight="1" x14ac:dyDescent="0.2">
      <c r="A58" s="38" t="s">
        <v>377</v>
      </c>
      <c r="B58" s="45">
        <f>'Fremtind Livsforsikring'!B58+'Danica Pensjonsforsikring'!B58+'DNB Livsforsikring'!B58+'Eika Forsikring AS'!B58+'Frende Livsforsikring'!B58+'Frende Skadeforsikring'!B58+'Gjensidige Forsikring'!B58+'Gjensidige Pensjon'!B58+'Handelsbanken Liv'!B58+'If Skadeforsikring NUF'!B58+KLP!B58+'DNB Bedriftspensjon'!B58+'KLP Skadeforsikring AS'!B58+'Landkreditt Forsikring'!B58+Insr!B58+'Nordea Liv '!B58+'Oslo Pensjonsforsikring'!B58+'Protector Forsikring'!B58+'SHB Liv'!B58+'Sparebank 1'!B58+'Storebrand Livsforsikring'!B58+'Telenor Forsikring'!B58+'Tryg Forsikring'!B58+'WaterCircle F'!B58</f>
        <v>66592.553</v>
      </c>
      <c r="C58" s="45">
        <f>'Fremtind Livsforsikring'!C58+'Danica Pensjonsforsikring'!C58+'DNB Livsforsikring'!C58+'Eika Forsikring AS'!C58+'Frende Livsforsikring'!C58+'Frende Skadeforsikring'!C58+'Gjensidige Forsikring'!C58+'Gjensidige Pensjon'!C58+'Handelsbanken Liv'!C58+'If Skadeforsikring NUF'!C58+KLP!C58+'DNB Bedriftspensjon'!C58+'KLP Skadeforsikring AS'!C58+'Landkreditt Forsikring'!C58+Insr!C58+'Nordea Liv '!C58+'Oslo Pensjonsforsikring'!C58+'Protector Forsikring'!C58+'SHB Liv'!C58+'Sparebank 1'!C58+'Storebrand Livsforsikring'!C58+'Telenor Forsikring'!C58+'Tryg Forsikring'!C58+'WaterCircle F'!C58</f>
        <v>0</v>
      </c>
      <c r="D58" s="36">
        <f t="shared" si="22"/>
        <v>-100</v>
      </c>
      <c r="E58" s="35"/>
      <c r="F58" s="5"/>
      <c r="G58" s="34"/>
      <c r="H58" s="33"/>
      <c r="I58" s="33"/>
      <c r="J58" s="32"/>
    </row>
    <row r="59" spans="1:10" s="3" customFormat="1" ht="15.75" customHeight="1" x14ac:dyDescent="0.25">
      <c r="A59" s="164"/>
      <c r="B59" s="30"/>
      <c r="C59" s="30"/>
      <c r="D59" s="30"/>
      <c r="E59" s="31"/>
      <c r="F59" s="31"/>
      <c r="G59" s="31"/>
      <c r="H59" s="31"/>
      <c r="I59" s="31"/>
      <c r="J59" s="31"/>
    </row>
    <row r="60" spans="1:10" ht="15.75" customHeight="1" x14ac:dyDescent="0.2">
      <c r="A60" s="155"/>
    </row>
    <row r="61" spans="1:10" ht="15.75" customHeight="1" x14ac:dyDescent="0.25">
      <c r="A61" s="147" t="s">
        <v>274</v>
      </c>
      <c r="C61" s="26"/>
      <c r="D61" s="25"/>
      <c r="E61" s="26"/>
      <c r="F61" s="26"/>
      <c r="G61" s="25"/>
      <c r="H61" s="26"/>
      <c r="I61" s="26"/>
      <c r="J61" s="25"/>
    </row>
    <row r="62" spans="1:10" ht="20.100000000000001" customHeight="1" x14ac:dyDescent="0.25">
      <c r="A62" s="149"/>
      <c r="B62" s="730"/>
      <c r="C62" s="730"/>
      <c r="D62" s="730"/>
      <c r="E62" s="730"/>
      <c r="F62" s="730"/>
      <c r="G62" s="730"/>
      <c r="H62" s="730"/>
      <c r="I62" s="730"/>
      <c r="J62" s="730"/>
    </row>
    <row r="63" spans="1:10" ht="15.75" customHeight="1" x14ac:dyDescent="0.2">
      <c r="A63" s="144"/>
      <c r="B63" s="727" t="s">
        <v>0</v>
      </c>
      <c r="C63" s="728"/>
      <c r="D63" s="728"/>
      <c r="E63" s="727" t="s">
        <v>1</v>
      </c>
      <c r="F63" s="728"/>
      <c r="G63" s="729"/>
      <c r="H63" s="728" t="s">
        <v>2</v>
      </c>
      <c r="I63" s="728"/>
      <c r="J63" s="729"/>
    </row>
    <row r="64" spans="1:10" ht="15.75" customHeight="1" x14ac:dyDescent="0.2">
      <c r="A64" s="140"/>
      <c r="B64" s="20" t="s">
        <v>421</v>
      </c>
      <c r="C64" s="20" t="s">
        <v>422</v>
      </c>
      <c r="D64" s="19" t="s">
        <v>3</v>
      </c>
      <c r="E64" s="20" t="s">
        <v>421</v>
      </c>
      <c r="F64" s="20" t="s">
        <v>422</v>
      </c>
      <c r="G64" s="19" t="s">
        <v>3</v>
      </c>
      <c r="H64" s="20" t="s">
        <v>421</v>
      </c>
      <c r="I64" s="20" t="s">
        <v>422</v>
      </c>
      <c r="J64" s="19" t="s">
        <v>3</v>
      </c>
    </row>
    <row r="65" spans="1:10" ht="15.75" customHeight="1" x14ac:dyDescent="0.2">
      <c r="A65" s="708"/>
      <c r="B65" s="15"/>
      <c r="C65" s="15"/>
      <c r="D65" s="17" t="s">
        <v>4</v>
      </c>
      <c r="E65" s="16"/>
      <c r="F65" s="16"/>
      <c r="G65" s="15" t="s">
        <v>4</v>
      </c>
      <c r="H65" s="16"/>
      <c r="I65" s="16"/>
      <c r="J65" s="15" t="s">
        <v>4</v>
      </c>
    </row>
    <row r="66" spans="1:10" s="43" customFormat="1" ht="15.75" customHeight="1" x14ac:dyDescent="0.2">
      <c r="A66" s="14" t="s">
        <v>23</v>
      </c>
      <c r="B66" s="329">
        <f>'Fremtind Livsforsikring'!B66+'Danica Pensjonsforsikring'!B66+'DNB Livsforsikring'!B66+'Eika Forsikring AS'!B66+'Frende Livsforsikring'!B66+'Frende Skadeforsikring'!B66+'Gjensidige Forsikring'!B66+'Gjensidige Pensjon'!B66+'Handelsbanken Liv'!B66+'If Skadeforsikring NUF'!B66+KLP!B66+'DNB Bedriftspensjon'!B66+'KLP Skadeforsikring AS'!B66+'Landkreditt Forsikring'!B66+Insr!B66+'Nordea Liv '!B66+'Oslo Pensjonsforsikring'!B66+'Protector Forsikring'!B66+'SHB Liv'!B66+'Sparebank 1'!B66+'Storebrand Livsforsikring'!B66+'Telenor Forsikring'!B66+'Tryg Forsikring'!B66+'WaterCircle F'!B66</f>
        <v>7110980.4089499991</v>
      </c>
      <c r="C66" s="329">
        <f>'Fremtind Livsforsikring'!C66+'Danica Pensjonsforsikring'!C66+'DNB Livsforsikring'!C66+'Eika Forsikring AS'!C66+'Frende Livsforsikring'!C66+'Frende Skadeforsikring'!C66+'Gjensidige Forsikring'!C66+'Gjensidige Pensjon'!C66+'Handelsbanken Liv'!C66+'If Skadeforsikring NUF'!C66+KLP!C66+'DNB Bedriftspensjon'!C66+'KLP Skadeforsikring AS'!C66+'Landkreditt Forsikring'!C66+Insr!C66+'Nordea Liv '!C66+'Oslo Pensjonsforsikring'!C66+'Protector Forsikring'!C66+'SHB Liv'!C66+'Sparebank 1'!C66+'Storebrand Livsforsikring'!C66+'Telenor Forsikring'!C66+'Tryg Forsikring'!C66+'WaterCircle F'!C66</f>
        <v>5924651.3501699995</v>
      </c>
      <c r="D66" s="24">
        <f t="shared" ref="D66:D111" si="23">IF(B66=0, "    ---- ", IF(ABS(ROUND(100/B66*C66-100,1))&lt;999,ROUND(100/B66*C66-100,1),IF(ROUND(100/B66*C66-100,1)&gt;999,999,-999)))</f>
        <v>-16.7</v>
      </c>
      <c r="E66" s="236">
        <f>'Fremtind Livsforsikring'!F66+'Danica Pensjonsforsikring'!F66+'DNB Livsforsikring'!F66+'Eika Forsikring AS'!F66+'Frende Livsforsikring'!F66+'Frende Skadeforsikring'!F66+'Gjensidige Forsikring'!F66+'Gjensidige Pensjon'!F66+'Handelsbanken Liv'!F66+'If Skadeforsikring NUF'!F66+KLP!F66+'DNB Bedriftspensjon'!F66+'KLP Skadeforsikring AS'!F66+'Landkreditt Forsikring'!F66+Insr!F66+'Nordea Liv '!F66+'Oslo Pensjonsforsikring'!F66+'Protector Forsikring'!F66+'SHB Liv'!F66+'Sparebank 1'!F66+'Storebrand Livsforsikring'!F66+'Telenor Forsikring'!F66+'Tryg Forsikring'!F66+'WaterCircle F'!F66</f>
        <v>23786683.901489999</v>
      </c>
      <c r="F66" s="236">
        <f>'Fremtind Livsforsikring'!G66+'Danica Pensjonsforsikring'!G66+'DNB Livsforsikring'!G66+'Eika Forsikring AS'!G66+'Frende Livsforsikring'!G66+'Frende Skadeforsikring'!G66+'Gjensidige Forsikring'!G66+'Gjensidige Pensjon'!G66+'Handelsbanken Liv'!G66+'If Skadeforsikring NUF'!G66+KLP!G66+'DNB Bedriftspensjon'!G66+'KLP Skadeforsikring AS'!G66+'Landkreditt Forsikring'!G66+Insr!G66+'Nordea Liv '!G66+'Oslo Pensjonsforsikring'!G66+'Protector Forsikring'!G66+'SHB Liv'!G66+'Sparebank 1'!G66+'Storebrand Livsforsikring'!G66+'Telenor Forsikring'!G66+'Tryg Forsikring'!G66+'WaterCircle F'!G66</f>
        <v>26016433.351750001</v>
      </c>
      <c r="G66" s="171">
        <f t="shared" ref="G66" si="24">IF(E66=0, "    ---- ", IF(ABS(ROUND(100/E66*F66-100,1))&lt;999,ROUND(100/E66*F66-100,1),IF(ROUND(100/E66*F66-100,1)&gt;999,999,-999)))</f>
        <v>9.4</v>
      </c>
      <c r="H66" s="329">
        <f t="shared" ref="H66:H86" si="25">SUM(B66,E66)</f>
        <v>30897664.310439996</v>
      </c>
      <c r="I66" s="329">
        <f t="shared" ref="I66:I86" si="26">SUM(C66,F66)</f>
        <v>31941084.701920003</v>
      </c>
      <c r="J66" s="24">
        <f t="shared" ref="J66:J111" si="27">IF(H66=0, "    ---- ", IF(ABS(ROUND(100/H66*I66-100,1))&lt;999,ROUND(100/H66*I66-100,1),IF(ROUND(100/H66*I66-100,1)&gt;999,999,-999)))</f>
        <v>3.4</v>
      </c>
    </row>
    <row r="67" spans="1:10" ht="15.75" customHeight="1" x14ac:dyDescent="0.25">
      <c r="A67" s="21" t="s">
        <v>9</v>
      </c>
      <c r="B67" s="234">
        <f>'Fremtind Livsforsikring'!B67+'Danica Pensjonsforsikring'!B67+'DNB Livsforsikring'!B67+'Eika Forsikring AS'!B67+'Frende Livsforsikring'!B67+'Frende Skadeforsikring'!B67+'Gjensidige Forsikring'!B67+'Gjensidige Pensjon'!B67+'Handelsbanken Liv'!B67+'If Skadeforsikring NUF'!B67+KLP!B67+'DNB Bedriftspensjon'!B67+'KLP Skadeforsikring AS'!B67+'Landkreditt Forsikring'!B67+Insr!B67+'Nordea Liv '!B67+'Oslo Pensjonsforsikring'!B67+'Protector Forsikring'!B67+'SHB Liv'!B67+'Sparebank 1'!B67+'Storebrand Livsforsikring'!B67+'Telenor Forsikring'!B67+'Tryg Forsikring'!B67+'WaterCircle F'!B67</f>
        <v>5435663.0460955352</v>
      </c>
      <c r="C67" s="234">
        <f>'Fremtind Livsforsikring'!C67+'Danica Pensjonsforsikring'!C67+'DNB Livsforsikring'!C67+'Eika Forsikring AS'!C67+'Frende Livsforsikring'!C67+'Frende Skadeforsikring'!C67+'Gjensidige Forsikring'!C67+'Gjensidige Pensjon'!C67+'Handelsbanken Liv'!C67+'If Skadeforsikring NUF'!C67+KLP!C67+'DNB Bedriftspensjon'!C67+'KLP Skadeforsikring AS'!C67+'Landkreditt Forsikring'!C67+Insr!C67+'Nordea Liv '!C67+'Oslo Pensjonsforsikring'!C67+'Protector Forsikring'!C67+'SHB Liv'!C67+'Sparebank 1'!C67+'Storebrand Livsforsikring'!C67+'Telenor Forsikring'!C67+'Tryg Forsikring'!C67+'WaterCircle F'!C67</f>
        <v>4165885.131116244</v>
      </c>
      <c r="D67" s="241">
        <f t="shared" si="23"/>
        <v>-23.4</v>
      </c>
      <c r="E67" s="44"/>
      <c r="F67" s="44"/>
      <c r="G67" s="166"/>
      <c r="H67" s="237">
        <f t="shared" si="25"/>
        <v>5435663.0460955352</v>
      </c>
      <c r="I67" s="237">
        <f t="shared" si="26"/>
        <v>4165885.131116244</v>
      </c>
      <c r="J67" s="23">
        <f t="shared" si="27"/>
        <v>-23.4</v>
      </c>
    </row>
    <row r="68" spans="1:10" ht="15.75" customHeight="1" x14ac:dyDescent="0.25">
      <c r="A68" s="21" t="s">
        <v>10</v>
      </c>
      <c r="B68" s="234">
        <f>'Fremtind Livsforsikring'!B68+'Danica Pensjonsforsikring'!B68+'DNB Livsforsikring'!B68+'Eika Forsikring AS'!B68+'Frende Livsforsikring'!B68+'Frende Skadeforsikring'!B68+'Gjensidige Forsikring'!B68+'Gjensidige Pensjon'!B68+'Handelsbanken Liv'!B68+'If Skadeforsikring NUF'!B68+KLP!B68+'DNB Bedriftspensjon'!B68+'KLP Skadeforsikring AS'!B68+'Landkreditt Forsikring'!B68+Insr!B68+'Nordea Liv '!B68+'Oslo Pensjonsforsikring'!B68+'Protector Forsikring'!B68+'SHB Liv'!B68+'Sparebank 1'!B68+'Storebrand Livsforsikring'!B68+'Telenor Forsikring'!B68+'Tryg Forsikring'!B68+'WaterCircle F'!B68</f>
        <v>130691.25651000001</v>
      </c>
      <c r="C68" s="234">
        <f>'Fremtind Livsforsikring'!C68+'Danica Pensjonsforsikring'!C68+'DNB Livsforsikring'!C68+'Eika Forsikring AS'!C68+'Frende Livsforsikring'!C68+'Frende Skadeforsikring'!C68+'Gjensidige Forsikring'!C68+'Gjensidige Pensjon'!C68+'Handelsbanken Liv'!C68+'If Skadeforsikring NUF'!C68+KLP!C68+'DNB Bedriftspensjon'!C68+'KLP Skadeforsikring AS'!C68+'Landkreditt Forsikring'!C68+Insr!C68+'Nordea Liv '!C68+'Oslo Pensjonsforsikring'!C68+'Protector Forsikring'!C68+'SHB Liv'!C68+'Sparebank 1'!C68+'Storebrand Livsforsikring'!C68+'Telenor Forsikring'!C68+'Tryg Forsikring'!C68+'WaterCircle F'!C68</f>
        <v>118405.78634999999</v>
      </c>
      <c r="D68" s="241">
        <f t="shared" si="23"/>
        <v>-9.4</v>
      </c>
      <c r="E68" s="44">
        <f>'Fremtind Livsforsikring'!F68+'Danica Pensjonsforsikring'!F68+'DNB Livsforsikring'!F68+'Eika Forsikring AS'!F68+'Frende Livsforsikring'!F68+'Frende Skadeforsikring'!F68+'Gjensidige Forsikring'!F68+'Gjensidige Pensjon'!F68+'Handelsbanken Liv'!F68+'If Skadeforsikring NUF'!F68+KLP!F68+'DNB Bedriftspensjon'!F68+'KLP Skadeforsikring AS'!F68+'Landkreditt Forsikring'!F68+Insr!F68+'Nordea Liv '!F68+'Oslo Pensjonsforsikring'!F68+'Protector Forsikring'!F68+'SHB Liv'!F68+'Sparebank 1'!F68+'Storebrand Livsforsikring'!F68+'Telenor Forsikring'!F68+'Tryg Forsikring'!F68+'WaterCircle F'!F68</f>
        <v>23470528.546039999</v>
      </c>
      <c r="F68" s="44">
        <f>'Fremtind Livsforsikring'!G68+'Danica Pensjonsforsikring'!G68+'DNB Livsforsikring'!G68+'Eika Forsikring AS'!G68+'Frende Livsforsikring'!G68+'Frende Skadeforsikring'!G68+'Gjensidige Forsikring'!G68+'Gjensidige Pensjon'!G68+'Handelsbanken Liv'!G68+'If Skadeforsikring NUF'!G68+KLP!G68+'DNB Bedriftspensjon'!G68+'KLP Skadeforsikring AS'!G68+'Landkreditt Forsikring'!G68+Insr!G68+'Nordea Liv '!G68+'Oslo Pensjonsforsikring'!G68+'Protector Forsikring'!G68+'SHB Liv'!G68+'Sparebank 1'!G68+'Storebrand Livsforsikring'!G68+'Telenor Forsikring'!G68+'Tryg Forsikring'!G68+'WaterCircle F'!G68</f>
        <v>24987417.430980001</v>
      </c>
      <c r="G68" s="166">
        <f>'Fremtind Livsforsikring'!H68+'Danica Pensjonsforsikring'!H68+'DNB Livsforsikring'!H68+'Eika Forsikring AS'!H68+'Frende Livsforsikring'!H68+'Frende Skadeforsikring'!H68+'Gjensidige Forsikring'!H68+'Gjensidige Pensjon'!H68+'Handelsbanken Liv'!H68+'If Skadeforsikring NUF'!H68+KLP!H68+'DNB Bedriftspensjon'!H68+'KLP Skadeforsikring AS'!H68+'Landkreditt Forsikring'!H68+Insr!H68+'Nordea Liv '!H68+'Oslo Pensjonsforsikring'!H68+'Protector Forsikring'!H68+'SHB Liv'!H68+'Sparebank 1'!H68+'Storebrand Livsforsikring'!H68+'Telenor Forsikring'!H68+'Tryg Forsikring'!H68</f>
        <v>-143.80000000000001</v>
      </c>
      <c r="H68" s="237">
        <f t="shared" si="25"/>
        <v>23601219.802549999</v>
      </c>
      <c r="I68" s="237">
        <f t="shared" si="26"/>
        <v>25105823.217330001</v>
      </c>
      <c r="J68" s="23">
        <f t="shared" si="27"/>
        <v>6.4</v>
      </c>
    </row>
    <row r="69" spans="1:10" ht="15.75" customHeight="1" x14ac:dyDescent="0.2">
      <c r="A69" s="296" t="s">
        <v>380</v>
      </c>
      <c r="B69" s="235"/>
      <c r="C69" s="235"/>
      <c r="D69" s="27"/>
      <c r="E69" s="235"/>
      <c r="F69" s="235"/>
      <c r="G69" s="166"/>
      <c r="H69" s="235"/>
      <c r="I69" s="235"/>
      <c r="J69" s="23"/>
    </row>
    <row r="70" spans="1:10" ht="15.75" customHeight="1" x14ac:dyDescent="0.2">
      <c r="A70" s="296" t="s">
        <v>12</v>
      </c>
      <c r="B70" s="235"/>
      <c r="C70" s="235"/>
      <c r="D70" s="27"/>
      <c r="E70" s="235"/>
      <c r="F70" s="235"/>
      <c r="G70" s="166"/>
      <c r="H70" s="235"/>
      <c r="I70" s="235"/>
      <c r="J70" s="23"/>
    </row>
    <row r="71" spans="1:10" ht="15.75" customHeight="1" x14ac:dyDescent="0.2">
      <c r="A71" s="296" t="s">
        <v>13</v>
      </c>
      <c r="B71" s="235"/>
      <c r="C71" s="235"/>
      <c r="D71" s="27"/>
      <c r="E71" s="235"/>
      <c r="F71" s="235"/>
      <c r="G71" s="166"/>
      <c r="H71" s="235"/>
      <c r="I71" s="235"/>
      <c r="J71" s="23"/>
    </row>
    <row r="72" spans="1:10" ht="15.75" customHeight="1" x14ac:dyDescent="0.2">
      <c r="A72" s="296" t="s">
        <v>381</v>
      </c>
      <c r="B72" s="235"/>
      <c r="C72" s="235"/>
      <c r="D72" s="27"/>
      <c r="E72" s="235"/>
      <c r="F72" s="235"/>
      <c r="G72" s="166"/>
      <c r="H72" s="235"/>
      <c r="I72" s="235"/>
      <c r="J72" s="24"/>
    </row>
    <row r="73" spans="1:10" ht="15.75" customHeight="1" x14ac:dyDescent="0.2">
      <c r="A73" s="296" t="s">
        <v>12</v>
      </c>
      <c r="B73" s="235"/>
      <c r="C73" s="235"/>
      <c r="D73" s="27"/>
      <c r="E73" s="235"/>
      <c r="F73" s="235"/>
      <c r="G73" s="166"/>
      <c r="H73" s="235"/>
      <c r="I73" s="235"/>
      <c r="J73" s="23"/>
    </row>
    <row r="74" spans="1:10" s="3" customFormat="1" ht="15.75" customHeight="1" x14ac:dyDescent="0.2">
      <c r="A74" s="296" t="s">
        <v>13</v>
      </c>
      <c r="B74" s="235"/>
      <c r="C74" s="235"/>
      <c r="D74" s="27"/>
      <c r="E74" s="235"/>
      <c r="F74" s="235"/>
      <c r="G74" s="166"/>
      <c r="H74" s="235"/>
      <c r="I74" s="235"/>
      <c r="J74" s="23"/>
    </row>
    <row r="75" spans="1:10" s="3" customFormat="1" ht="15.75" customHeight="1" x14ac:dyDescent="0.2">
      <c r="A75" s="21" t="s">
        <v>350</v>
      </c>
      <c r="B75" s="44">
        <f>'Fremtind Livsforsikring'!B75+'Danica Pensjonsforsikring'!B75+'DNB Livsforsikring'!B75+'Eika Forsikring AS'!B75+'Frende Livsforsikring'!B75+'Frende Skadeforsikring'!B75+'Gjensidige Forsikring'!B75+'Gjensidige Pensjon'!B75+'Handelsbanken Liv'!B75+'If Skadeforsikring NUF'!B75+KLP!B75+'DNB Bedriftspensjon'!B75+'KLP Skadeforsikring AS'!B75+'Landkreditt Forsikring'!B75+Insr!B75+'Nordea Liv '!B75+'Oslo Pensjonsforsikring'!B75+'Protector Forsikring'!B75+'SHB Liv'!B75+'Sparebank 1'!B75+'Storebrand Livsforsikring'!B75+'Telenor Forsikring'!B75+'Tryg Forsikring'!B75+'WaterCircle F'!B75</f>
        <v>295660.35291999998</v>
      </c>
      <c r="C75" s="44">
        <f>'Fremtind Livsforsikring'!C75+'Danica Pensjonsforsikring'!C75+'DNB Livsforsikring'!C75+'Eika Forsikring AS'!C75+'Frende Livsforsikring'!C75+'Frende Skadeforsikring'!C75+'Gjensidige Forsikring'!C75+'Gjensidige Pensjon'!C75+'Handelsbanken Liv'!C75+'If Skadeforsikring NUF'!C75+KLP!C75+'DNB Bedriftspensjon'!C75+'KLP Skadeforsikring AS'!C75+'Landkreditt Forsikring'!C75+Insr!C75+'Nordea Liv '!C75+'Oslo Pensjonsforsikring'!C75+'Protector Forsikring'!C75+'SHB Liv'!C75+'Sparebank 1'!C75+'Storebrand Livsforsikring'!C75+'Telenor Forsikring'!C75+'Tryg Forsikring'!C75+'WaterCircle F'!C75</f>
        <v>335864.80619999999</v>
      </c>
      <c r="D75" s="23">
        <f t="shared" si="23"/>
        <v>13.6</v>
      </c>
      <c r="E75" s="44">
        <f>'Fremtind Livsforsikring'!F75+'Danica Pensjonsforsikring'!F75+'DNB Livsforsikring'!F75+'Eika Forsikring AS'!F75+'Frende Livsforsikring'!F75+'Frende Skadeforsikring'!F75+'Gjensidige Forsikring'!F75+'Gjensidige Pensjon'!F75+'Handelsbanken Liv'!F75+'If Skadeforsikring NUF'!F75+KLP!F75+'DNB Bedriftspensjon'!F75+'KLP Skadeforsikring AS'!F75+'Landkreditt Forsikring'!F75+Insr!F75+'Nordea Liv '!F75+'Oslo Pensjonsforsikring'!F75+'Protector Forsikring'!F75+'SHB Liv'!F75+'Sparebank 1'!F75+'Storebrand Livsforsikring'!F75+'Telenor Forsikring'!F75+'Tryg Forsikring'!F75+'WaterCircle F'!F75</f>
        <v>316155.35545000003</v>
      </c>
      <c r="F75" s="44">
        <f>'Fremtind Livsforsikring'!G75+'Danica Pensjonsforsikring'!G75+'DNB Livsforsikring'!G75+'Eika Forsikring AS'!G75+'Frende Livsforsikring'!G75+'Frende Skadeforsikring'!G75+'Gjensidige Forsikring'!G75+'Gjensidige Pensjon'!G75+'Handelsbanken Liv'!G75+'If Skadeforsikring NUF'!G75+KLP!G75+'DNB Bedriftspensjon'!G75+'KLP Skadeforsikring AS'!G75+'Landkreditt Forsikring'!G75+Insr!G75+'Nordea Liv '!G75+'Oslo Pensjonsforsikring'!G75+'Protector Forsikring'!G75+'SHB Liv'!G75+'Sparebank 1'!G75+'Storebrand Livsforsikring'!G75+'Telenor Forsikring'!G75+'Tryg Forsikring'!G75+'WaterCircle F'!G75</f>
        <v>1029015.92077</v>
      </c>
      <c r="G75" s="166">
        <f>'Fremtind Livsforsikring'!H75+'Danica Pensjonsforsikring'!H75+'DNB Livsforsikring'!H75+'Eika Forsikring AS'!H75+'Frende Livsforsikring'!H75+'Frende Skadeforsikring'!H75+'Gjensidige Forsikring'!H75+'Gjensidige Pensjon'!H75+'Handelsbanken Liv'!H75+'If Skadeforsikring NUF'!H75+KLP!H75+'DNB Bedriftspensjon'!H75+'KLP Skadeforsikring AS'!H75+'Landkreditt Forsikring'!H75+Insr!H75+'Nordea Liv '!H75+'Oslo Pensjonsforsikring'!H75+'Protector Forsikring'!H75+'SHB Liv'!H75+'Sparebank 1'!H75+'Storebrand Livsforsikring'!H75+'Telenor Forsikring'!H75+'Tryg Forsikring'!H75</f>
        <v>502.59999999999997</v>
      </c>
      <c r="H75" s="237">
        <f t="shared" si="25"/>
        <v>611815.70837000001</v>
      </c>
      <c r="I75" s="237">
        <f t="shared" si="26"/>
        <v>1364880.72697</v>
      </c>
      <c r="J75" s="23">
        <f t="shared" si="27"/>
        <v>123.1</v>
      </c>
    </row>
    <row r="76" spans="1:10" s="3" customFormat="1" ht="15.75" customHeight="1" x14ac:dyDescent="0.2">
      <c r="A76" s="21" t="s">
        <v>349</v>
      </c>
      <c r="B76" s="44">
        <f>'Fremtind Livsforsikring'!B76+'Danica Pensjonsforsikring'!B76+'DNB Livsforsikring'!B76+'Eika Forsikring AS'!B76+'Frende Livsforsikring'!B76+'Frende Skadeforsikring'!B76+'Gjensidige Forsikring'!B76+'Gjensidige Pensjon'!B76+'Handelsbanken Liv'!B76+'If Skadeforsikring NUF'!B76+KLP!B76+'DNB Bedriftspensjon'!B76+'KLP Skadeforsikring AS'!B76+'Landkreditt Forsikring'!B76+Insr!B76+'Nordea Liv '!B76+'Oslo Pensjonsforsikring'!B76+'Protector Forsikring'!B76+'SHB Liv'!B76+'Sparebank 1'!B76+'Storebrand Livsforsikring'!B76+'Telenor Forsikring'!B76+'Tryg Forsikring'!B76+'WaterCircle F'!B76</f>
        <v>1248965.753424464</v>
      </c>
      <c r="C76" s="44">
        <f>'Fremtind Livsforsikring'!C76+'Danica Pensjonsforsikring'!C76+'DNB Livsforsikring'!C76+'Eika Forsikring AS'!C76+'Frende Livsforsikring'!C76+'Frende Skadeforsikring'!C76+'Gjensidige Forsikring'!C76+'Gjensidige Pensjon'!C76+'Handelsbanken Liv'!C76+'If Skadeforsikring NUF'!C76+KLP!C76+'DNB Bedriftspensjon'!C76+'KLP Skadeforsikring AS'!C76+'Landkreditt Forsikring'!C76+Insr!C76+'Nordea Liv '!C76+'Oslo Pensjonsforsikring'!C76+'Protector Forsikring'!C76+'SHB Liv'!C76+'Sparebank 1'!C76+'Storebrand Livsforsikring'!C76+'Telenor Forsikring'!C76+'Tryg Forsikring'!C76+'WaterCircle F'!C76</f>
        <v>1304495.626503756</v>
      </c>
      <c r="D76" s="23">
        <f t="shared" ref="D76" si="28">IF(B76=0, "    ---- ", IF(ABS(ROUND(100/B76*C76-100,1))&lt;999,ROUND(100/B76*C76-100,1),IF(ROUND(100/B76*C76-100,1)&gt;999,999,-999)))</f>
        <v>4.4000000000000004</v>
      </c>
      <c r="E76" s="44"/>
      <c r="F76" s="44"/>
      <c r="G76" s="166"/>
      <c r="H76" s="237">
        <f t="shared" ref="H76" si="29">SUM(B76,E76)</f>
        <v>1248965.753424464</v>
      </c>
      <c r="I76" s="237">
        <f t="shared" ref="I76" si="30">SUM(C76,F76)</f>
        <v>1304495.626503756</v>
      </c>
      <c r="J76" s="23">
        <f t="shared" ref="J76" si="31">IF(H76=0, "    ---- ", IF(ABS(ROUND(100/H76*I76-100,1))&lt;999,ROUND(100/H76*I76-100,1),IF(ROUND(100/H76*I76-100,1)&gt;999,999,-999)))</f>
        <v>4.4000000000000004</v>
      </c>
    </row>
    <row r="77" spans="1:10" ht="15.75" customHeight="1" x14ac:dyDescent="0.2">
      <c r="A77" s="21" t="s">
        <v>382</v>
      </c>
      <c r="B77" s="44">
        <f>'Fremtind Livsforsikring'!B77+'Danica Pensjonsforsikring'!B77+'DNB Livsforsikring'!B77+'Eika Forsikring AS'!B77+'Frende Livsforsikring'!B77+'Frende Skadeforsikring'!B77+'Gjensidige Forsikring'!B77+'Gjensidige Pensjon'!B77+'Handelsbanken Liv'!B77+'If Skadeforsikring NUF'!B77+KLP!B77+'DNB Bedriftspensjon'!B77+'KLP Skadeforsikring AS'!B77+'Landkreditt Forsikring'!B77+Insr!B77+'Nordea Liv '!B77+'Oslo Pensjonsforsikring'!B77+'Protector Forsikring'!B77+'SHB Liv'!B77+'Sparebank 1'!B77+'Storebrand Livsforsikring'!B77+'Telenor Forsikring'!B77+'Tryg Forsikring'!B77+'WaterCircle F'!B77</f>
        <v>5481349.1536055356</v>
      </c>
      <c r="C77" s="234">
        <f>'Fremtind Livsforsikring'!C77+'Danica Pensjonsforsikring'!C77+'DNB Livsforsikring'!C77+'Eika Forsikring AS'!C77+'Frende Livsforsikring'!C77+'Frende Skadeforsikring'!C77+'Gjensidige Forsikring'!C77+'Gjensidige Pensjon'!C77+'Handelsbanken Liv'!C77+'If Skadeforsikring NUF'!C77+KLP!C77+'DNB Bedriftspensjon'!C77+'KLP Skadeforsikring AS'!C77+'Landkreditt Forsikring'!C77+Insr!C77+'Nordea Liv '!C77+'Oslo Pensjonsforsikring'!C77+'Protector Forsikring'!C77+'SHB Liv'!C77+'Sparebank 1'!C77+'Storebrand Livsforsikring'!C77+'Telenor Forsikring'!C77+'Tryg Forsikring'!C77+'WaterCircle F'!C77</f>
        <v>4146249.595466244</v>
      </c>
      <c r="D77" s="23">
        <f t="shared" si="23"/>
        <v>-24.4</v>
      </c>
      <c r="E77" s="44">
        <f>'Fremtind Livsforsikring'!F77+'Danica Pensjonsforsikring'!F77+'DNB Livsforsikring'!F77+'Eika Forsikring AS'!F77+'Frende Livsforsikring'!F77+'Frende Skadeforsikring'!F77+'Gjensidige Forsikring'!F77+'Gjensidige Pensjon'!F77+'Handelsbanken Liv'!F77+'If Skadeforsikring NUF'!F77+KLP!F77+'DNB Bedriftspensjon'!F77+'KLP Skadeforsikring AS'!F77+'Landkreditt Forsikring'!F77+Insr!F77+'Nordea Liv '!F77+'Oslo Pensjonsforsikring'!F77+'Protector Forsikring'!F77+'SHB Liv'!F77+'Sparebank 1'!F77+'Storebrand Livsforsikring'!F77+'Telenor Forsikring'!F77+'Tryg Forsikring'!F77+'WaterCircle F'!F77</f>
        <v>23460571.515000001</v>
      </c>
      <c r="F77" s="44">
        <f>'Fremtind Livsforsikring'!G77+'Danica Pensjonsforsikring'!G77+'DNB Livsforsikring'!G77+'Eika Forsikring AS'!G77+'Frende Livsforsikring'!G77+'Frende Skadeforsikring'!G77+'Gjensidige Forsikring'!G77+'Gjensidige Pensjon'!G77+'Handelsbanken Liv'!G77+'If Skadeforsikring NUF'!G77+KLP!G77+'DNB Bedriftspensjon'!G77+'KLP Skadeforsikring AS'!G77+'Landkreditt Forsikring'!G77+Insr!G77+'Nordea Liv '!G77+'Oslo Pensjonsforsikring'!G77+'Protector Forsikring'!G77+'SHB Liv'!G77+'Sparebank 1'!G77+'Storebrand Livsforsikring'!G77+'Telenor Forsikring'!G77+'Tryg Forsikring'!G77+'WaterCircle F'!G77</f>
        <v>24976023.427460004</v>
      </c>
      <c r="G77" s="166">
        <f>'Fremtind Livsforsikring'!H77+'Danica Pensjonsforsikring'!H77+'DNB Livsforsikring'!H77+'Eika Forsikring AS'!H77+'Frende Livsforsikring'!H77+'Frende Skadeforsikring'!H77+'Gjensidige Forsikring'!H77+'Gjensidige Pensjon'!H77+'Handelsbanken Liv'!H77+'If Skadeforsikring NUF'!H77+KLP!H77+'DNB Bedriftspensjon'!H77+'KLP Skadeforsikring AS'!H77+'Landkreditt Forsikring'!H77+Insr!H77+'Nordea Liv '!H77+'Oslo Pensjonsforsikring'!H77+'Protector Forsikring'!H77+'SHB Liv'!H77+'Sparebank 1'!H77+'Storebrand Livsforsikring'!H77+'Telenor Forsikring'!H77+'Tryg Forsikring'!H77</f>
        <v>68.099999999999994</v>
      </c>
      <c r="H77" s="237">
        <f t="shared" si="25"/>
        <v>28941920.668605536</v>
      </c>
      <c r="I77" s="237">
        <f t="shared" si="26"/>
        <v>29122273.022926249</v>
      </c>
      <c r="J77" s="23">
        <f t="shared" si="27"/>
        <v>0.6</v>
      </c>
    </row>
    <row r="78" spans="1:10" ht="15.75" customHeight="1" x14ac:dyDescent="0.2">
      <c r="A78" s="21" t="s">
        <v>9</v>
      </c>
      <c r="B78" s="44">
        <f>'Fremtind Livsforsikring'!B78+'Danica Pensjonsforsikring'!B78+'DNB Livsforsikring'!B78+'Eika Forsikring AS'!B78+'Frende Livsforsikring'!B78+'Frende Skadeforsikring'!B78+'Gjensidige Forsikring'!B78+'Gjensidige Pensjon'!B78+'Handelsbanken Liv'!B78+'If Skadeforsikring NUF'!B78+KLP!B78+'DNB Bedriftspensjon'!B78+'KLP Skadeforsikring AS'!B78+'Landkreditt Forsikring'!B78+Insr!B78+'Nordea Liv '!B78+'Oslo Pensjonsforsikring'!B78+'Protector Forsikring'!B78+'SHB Liv'!B78+'Sparebank 1'!B78+'Storebrand Livsforsikring'!B78+'Telenor Forsikring'!B78+'Tryg Forsikring'!B78+'WaterCircle F'!B78</f>
        <v>5353710.8970955359</v>
      </c>
      <c r="C78" s="234">
        <f>'Fremtind Livsforsikring'!C78+'Danica Pensjonsforsikring'!C78+'DNB Livsforsikring'!C78+'Eika Forsikring AS'!C78+'Frende Livsforsikring'!C78+'Frende Skadeforsikring'!C78+'Gjensidige Forsikring'!C78+'Gjensidige Pensjon'!C78+'Handelsbanken Liv'!C78+'If Skadeforsikring NUF'!C78+KLP!C78+'DNB Bedriftspensjon'!C78+'KLP Skadeforsikring AS'!C78+'Landkreditt Forsikring'!C78+Insr!C78+'Nordea Liv '!C78+'Oslo Pensjonsforsikring'!C78+'Protector Forsikring'!C78+'SHB Liv'!C78+'Sparebank 1'!C78+'Storebrand Livsforsikring'!C78+'Telenor Forsikring'!C78+'Tryg Forsikring'!C78+'WaterCircle F'!C78</f>
        <v>4029741.2551162438</v>
      </c>
      <c r="D78" s="23">
        <f t="shared" si="23"/>
        <v>-24.7</v>
      </c>
      <c r="E78" s="44"/>
      <c r="F78" s="44"/>
      <c r="G78" s="166"/>
      <c r="H78" s="237">
        <f t="shared" si="25"/>
        <v>5353710.8970955359</v>
      </c>
      <c r="I78" s="237">
        <f t="shared" si="26"/>
        <v>4029741.2551162438</v>
      </c>
      <c r="J78" s="23">
        <f t="shared" si="27"/>
        <v>-24.7</v>
      </c>
    </row>
    <row r="79" spans="1:10" ht="15.75" customHeight="1" x14ac:dyDescent="0.2">
      <c r="A79" s="21" t="s">
        <v>10</v>
      </c>
      <c r="B79" s="44">
        <f>'Fremtind Livsforsikring'!B79+'Danica Pensjonsforsikring'!B79+'DNB Livsforsikring'!B79+'Eika Forsikring AS'!B79+'Frende Livsforsikring'!B79+'Frende Skadeforsikring'!B79+'Gjensidige Forsikring'!B79+'Gjensidige Pensjon'!B79+'Handelsbanken Liv'!B79+'If Skadeforsikring NUF'!B79+KLP!B79+'DNB Bedriftspensjon'!B79+'KLP Skadeforsikring AS'!B79+'Landkreditt Forsikring'!B79+Insr!B79+'Nordea Liv '!B79+'Oslo Pensjonsforsikring'!B79+'Protector Forsikring'!B79+'SHB Liv'!B79+'Sparebank 1'!B79+'Storebrand Livsforsikring'!B79+'Telenor Forsikring'!B79+'Tryg Forsikring'!B79+'WaterCircle F'!B79</f>
        <v>127638.25651000001</v>
      </c>
      <c r="C79" s="145">
        <f>'Fremtind Livsforsikring'!C79+'Danica Pensjonsforsikring'!C79+'DNB Livsforsikring'!C79+'Eika Forsikring AS'!C79+'Frende Livsforsikring'!C79+'Frende Skadeforsikring'!C79+'Gjensidige Forsikring'!C79+'Gjensidige Pensjon'!C79+'Handelsbanken Liv'!C79+'If Skadeforsikring NUF'!C79+KLP!C79+'DNB Bedriftspensjon'!C79+'KLP Skadeforsikring AS'!C79+'Landkreditt Forsikring'!C79+Insr!C79+'Nordea Liv '!C79+'Oslo Pensjonsforsikring'!C79+'Protector Forsikring'!C79+'SHB Liv'!C79+'Sparebank 1'!C79+'Storebrand Livsforsikring'!C79+'Telenor Forsikring'!C79+'Tryg Forsikring'!C79+'WaterCircle F'!C79</f>
        <v>116508.34035</v>
      </c>
      <c r="D79" s="23">
        <f t="shared" si="23"/>
        <v>-8.6999999999999993</v>
      </c>
      <c r="E79" s="44">
        <f>'Fremtind Livsforsikring'!F79+'Danica Pensjonsforsikring'!F79+'DNB Livsforsikring'!F79+'Eika Forsikring AS'!F79+'Frende Livsforsikring'!F79+'Frende Skadeforsikring'!F79+'Gjensidige Forsikring'!F79+'Gjensidige Pensjon'!F79+'Handelsbanken Liv'!F79+'If Skadeforsikring NUF'!F79+KLP!F79+'DNB Bedriftspensjon'!F79+'KLP Skadeforsikring AS'!F79+'Landkreditt Forsikring'!F79+Insr!F79+'Nordea Liv '!F79+'Oslo Pensjonsforsikring'!F79+'Protector Forsikring'!F79+'SHB Liv'!F79+'Sparebank 1'!F79+'Storebrand Livsforsikring'!F79+'Telenor Forsikring'!F79+'Tryg Forsikring'!F79+'WaterCircle F'!F79</f>
        <v>23460571.515000001</v>
      </c>
      <c r="F79" s="44">
        <f>'Fremtind Livsforsikring'!G79+'Danica Pensjonsforsikring'!G79+'DNB Livsforsikring'!G79+'Eika Forsikring AS'!G79+'Frende Livsforsikring'!G79+'Frende Skadeforsikring'!G79+'Gjensidige Forsikring'!G79+'Gjensidige Pensjon'!G79+'Handelsbanken Liv'!G79+'If Skadeforsikring NUF'!G79+KLP!G79+'DNB Bedriftspensjon'!G79+'KLP Skadeforsikring AS'!G79+'Landkreditt Forsikring'!G79+Insr!G79+'Nordea Liv '!G79+'Oslo Pensjonsforsikring'!G79+'Protector Forsikring'!G79+'SHB Liv'!G79+'Sparebank 1'!G79+'Storebrand Livsforsikring'!G79+'Telenor Forsikring'!G79+'Tryg Forsikring'!G79+'WaterCircle F'!G79</f>
        <v>24976023.427460004</v>
      </c>
      <c r="G79" s="166">
        <f>'Fremtind Livsforsikring'!H79+'Danica Pensjonsforsikring'!H79+'DNB Livsforsikring'!H79+'Eika Forsikring AS'!H79+'Frende Livsforsikring'!H79+'Frende Skadeforsikring'!H79+'Gjensidige Forsikring'!H79+'Gjensidige Pensjon'!H79+'Handelsbanken Liv'!H79+'If Skadeforsikring NUF'!H79+KLP!H79+'DNB Bedriftspensjon'!H79+'KLP Skadeforsikring AS'!H79+'Landkreditt Forsikring'!H79+Insr!H79+'Nordea Liv '!H79+'Oslo Pensjonsforsikring'!H79+'Protector Forsikring'!H79+'SHB Liv'!H79+'Sparebank 1'!H79+'Storebrand Livsforsikring'!H79+'Telenor Forsikring'!H79+'Tryg Forsikring'!H79</f>
        <v>68.099999999999994</v>
      </c>
      <c r="H79" s="237">
        <f t="shared" si="25"/>
        <v>23588209.771510001</v>
      </c>
      <c r="I79" s="237">
        <f t="shared" si="26"/>
        <v>25092531.767810002</v>
      </c>
      <c r="J79" s="23">
        <f t="shared" si="27"/>
        <v>6.4</v>
      </c>
    </row>
    <row r="80" spans="1:10" ht="15.75" customHeight="1" x14ac:dyDescent="0.2">
      <c r="A80" s="296" t="s">
        <v>380</v>
      </c>
      <c r="B80" s="235"/>
      <c r="C80" s="235"/>
      <c r="D80" s="27"/>
      <c r="E80" s="235"/>
      <c r="F80" s="235"/>
      <c r="G80" s="166"/>
      <c r="H80" s="235"/>
      <c r="I80" s="235"/>
      <c r="J80" s="23"/>
    </row>
    <row r="81" spans="1:13" ht="15.75" customHeight="1" x14ac:dyDescent="0.2">
      <c r="A81" s="296" t="s">
        <v>12</v>
      </c>
      <c r="B81" s="235"/>
      <c r="C81" s="235"/>
      <c r="D81" s="27"/>
      <c r="E81" s="235"/>
      <c r="F81" s="235"/>
      <c r="G81" s="166"/>
      <c r="H81" s="235"/>
      <c r="I81" s="235"/>
      <c r="J81" s="23"/>
    </row>
    <row r="82" spans="1:13" ht="15.75" customHeight="1" x14ac:dyDescent="0.2">
      <c r="A82" s="296" t="s">
        <v>13</v>
      </c>
      <c r="B82" s="235"/>
      <c r="C82" s="235"/>
      <c r="D82" s="27"/>
      <c r="E82" s="235"/>
      <c r="F82" s="235"/>
      <c r="G82" s="166"/>
      <c r="H82" s="235"/>
      <c r="I82" s="235"/>
      <c r="J82" s="23"/>
    </row>
    <row r="83" spans="1:13" ht="15.75" customHeight="1" x14ac:dyDescent="0.2">
      <c r="A83" s="296" t="s">
        <v>381</v>
      </c>
      <c r="B83" s="235"/>
      <c r="C83" s="235"/>
      <c r="D83" s="27"/>
      <c r="E83" s="235"/>
      <c r="F83" s="235"/>
      <c r="G83" s="166"/>
      <c r="H83" s="235"/>
      <c r="I83" s="235"/>
      <c r="J83" s="24"/>
    </row>
    <row r="84" spans="1:13" ht="15.75" customHeight="1" x14ac:dyDescent="0.2">
      <c r="A84" s="296" t="s">
        <v>12</v>
      </c>
      <c r="B84" s="235"/>
      <c r="C84" s="235"/>
      <c r="D84" s="27"/>
      <c r="E84" s="235"/>
      <c r="F84" s="235"/>
      <c r="G84" s="166"/>
      <c r="H84" s="235"/>
      <c r="I84" s="235"/>
      <c r="J84" s="23"/>
    </row>
    <row r="85" spans="1:13" ht="15.75" customHeight="1" x14ac:dyDescent="0.2">
      <c r="A85" s="296" t="s">
        <v>13</v>
      </c>
      <c r="B85" s="235"/>
      <c r="C85" s="235"/>
      <c r="D85" s="27"/>
      <c r="E85" s="235"/>
      <c r="F85" s="235"/>
      <c r="G85" s="166"/>
      <c r="H85" s="235"/>
      <c r="I85" s="235"/>
      <c r="J85" s="23"/>
    </row>
    <row r="86" spans="1:13" ht="15.75" customHeight="1" x14ac:dyDescent="0.2">
      <c r="A86" s="21" t="s">
        <v>383</v>
      </c>
      <c r="B86" s="234">
        <f>'Fremtind Livsforsikring'!B86+'Danica Pensjonsforsikring'!B86+'DNB Livsforsikring'!B86+'Eika Forsikring AS'!B86+'Frende Livsforsikring'!B86+'Frende Skadeforsikring'!B86+'Gjensidige Forsikring'!B86+'Gjensidige Pensjon'!B86+'Handelsbanken Liv'!B86+'If Skadeforsikring NUF'!B86+KLP!B86+'DNB Bedriftspensjon'!B86+'KLP Skadeforsikring AS'!B86+'Landkreditt Forsikring'!B86+Insr!B86+'Nordea Liv '!B86+'Oslo Pensjonsforsikring'!B86+'Protector Forsikring'!B86+'SHB Liv'!B86+'Sparebank 1'!B86+'Storebrand Livsforsikring'!B86+'Telenor Forsikring'!B86+'Tryg Forsikring'!B86+'WaterCircle F'!B86</f>
        <v>85004.95</v>
      </c>
      <c r="C86" s="234">
        <f>'Fremtind Livsforsikring'!C86+'Danica Pensjonsforsikring'!C86+'DNB Livsforsikring'!C86+'Eika Forsikring AS'!C86+'Frende Livsforsikring'!C86+'Frende Skadeforsikring'!C86+'Gjensidige Forsikring'!C86+'Gjensidige Pensjon'!C86+'Handelsbanken Liv'!C86+'If Skadeforsikring NUF'!C86+KLP!C86+'DNB Bedriftspensjon'!C86+'KLP Skadeforsikring AS'!C86+'Landkreditt Forsikring'!C86+Insr!C86+'Nordea Liv '!C86+'Oslo Pensjonsforsikring'!C86+'Protector Forsikring'!C86+'SHB Liv'!C86+'Sparebank 1'!C86+'Storebrand Livsforsikring'!C86+'Telenor Forsikring'!C86+'Tryg Forsikring'!C86+'WaterCircle F'!C86</f>
        <v>138041.345</v>
      </c>
      <c r="D86" s="23">
        <f t="shared" si="23"/>
        <v>62.4</v>
      </c>
      <c r="E86" s="44">
        <f>'Fremtind Livsforsikring'!F86+'Danica Pensjonsforsikring'!F86+'DNB Livsforsikring'!F86+'Eika Forsikring AS'!F86+'Frende Livsforsikring'!F86+'Frende Skadeforsikring'!F86+'Gjensidige Forsikring'!F86+'Gjensidige Pensjon'!F86+'Handelsbanken Liv'!F86+'If Skadeforsikring NUF'!F86+KLP!F86+'DNB Bedriftspensjon'!F86+'KLP Skadeforsikring AS'!F86+'Landkreditt Forsikring'!F86+Insr!F86+'Nordea Liv '!F86+'Oslo Pensjonsforsikring'!F86+'Protector Forsikring'!F86+'SHB Liv'!F86+'Sparebank 1'!F86+'Storebrand Livsforsikring'!F86+'Telenor Forsikring'!F86+'Tryg Forsikring'!F86+'WaterCircle F'!F86</f>
        <v>9957.0310399999998</v>
      </c>
      <c r="F86" s="44">
        <f>'Fremtind Livsforsikring'!G86+'Danica Pensjonsforsikring'!G86+'DNB Livsforsikring'!G86+'Eika Forsikring AS'!G86+'Frende Livsforsikring'!G86+'Frende Skadeforsikring'!G86+'Gjensidige Forsikring'!G86+'Gjensidige Pensjon'!G86+'Handelsbanken Liv'!G86+'If Skadeforsikring NUF'!G86+KLP!G86+'DNB Bedriftspensjon'!G86+'KLP Skadeforsikring AS'!G86+'Landkreditt Forsikring'!G86+Insr!G86+'Nordea Liv '!G86+'Oslo Pensjonsforsikring'!G86+'Protector Forsikring'!G86+'SHB Liv'!G86+'Sparebank 1'!G86+'Storebrand Livsforsikring'!G86+'Telenor Forsikring'!G86+'Tryg Forsikring'!G86+'WaterCircle F'!G86</f>
        <v>11394.00352</v>
      </c>
      <c r="G86" s="166">
        <f>'Fremtind Livsforsikring'!H86+'Danica Pensjonsforsikring'!H86+'DNB Livsforsikring'!H86+'Eika Forsikring AS'!H86+'Frende Livsforsikring'!H86+'Frende Skadeforsikring'!H86+'Gjensidige Forsikring'!H86+'Gjensidige Pensjon'!H86+'Handelsbanken Liv'!H86+'If Skadeforsikring NUF'!H86+KLP!H86+'DNB Bedriftspensjon'!H86+'KLP Skadeforsikring AS'!H86+'Landkreditt Forsikring'!H86+Insr!H86+'Nordea Liv '!H86+'Oslo Pensjonsforsikring'!H86+'Protector Forsikring'!H86+'SHB Liv'!H86+'Sparebank 1'!H86+'Storebrand Livsforsikring'!H86+'Telenor Forsikring'!H86+'Tryg Forsikring'!H86</f>
        <v>-214.2</v>
      </c>
      <c r="H86" s="237">
        <f t="shared" si="25"/>
        <v>94961.981039999999</v>
      </c>
      <c r="I86" s="237">
        <f t="shared" si="26"/>
        <v>149435.34852</v>
      </c>
      <c r="J86" s="23">
        <f t="shared" si="27"/>
        <v>57.4</v>
      </c>
    </row>
    <row r="87" spans="1:13" s="43" customFormat="1" ht="15.75" customHeight="1" x14ac:dyDescent="0.2">
      <c r="A87" s="13" t="s">
        <v>365</v>
      </c>
      <c r="B87" s="308">
        <f>'Fremtind Livsforsikring'!B87+'Danica Pensjonsforsikring'!B87+'DNB Livsforsikring'!B87+'Eika Forsikring AS'!B87+'Frende Livsforsikring'!B87+'Frende Skadeforsikring'!B87+'Gjensidige Forsikring'!B87+'Gjensidige Pensjon'!B87+'Handelsbanken Liv'!B87+'If Skadeforsikring NUF'!B87+KLP!B87+'DNB Bedriftspensjon'!B87+'KLP Skadeforsikring AS'!B87+'Landkreditt Forsikring'!B87+Insr!B87+'Nordea Liv '!B87+'Oslo Pensjonsforsikring'!B87+'Protector Forsikring'!B87+'SHB Liv'!B87+'Sparebank 1'!B87+'Storebrand Livsforsikring'!B87+'Telenor Forsikring'!B87+'Tryg Forsikring'!B87+'WaterCircle F'!B87</f>
        <v>390291110.36356461</v>
      </c>
      <c r="C87" s="308">
        <f>'Fremtind Livsforsikring'!C87+'Danica Pensjonsforsikring'!C87+'DNB Livsforsikring'!C87+'Eika Forsikring AS'!C87+'Frende Livsforsikring'!C87+'Frende Skadeforsikring'!C87+'Gjensidige Forsikring'!C87+'Gjensidige Pensjon'!C87+'Handelsbanken Liv'!C87+'If Skadeforsikring NUF'!C87+KLP!C87+'DNB Bedriftspensjon'!C87+'KLP Skadeforsikring AS'!C87+'Landkreditt Forsikring'!C87+Insr!C87+'Nordea Liv '!C87+'Oslo Pensjonsforsikring'!C87+'Protector Forsikring'!C87+'SHB Liv'!C87+'Sparebank 1'!C87+'Storebrand Livsforsikring'!C87+'Telenor Forsikring'!C87+'Tryg Forsikring'!C87+'WaterCircle F'!C87</f>
        <v>393428792.2764495</v>
      </c>
      <c r="D87" s="24">
        <f t="shared" si="23"/>
        <v>0.8</v>
      </c>
      <c r="E87" s="236">
        <f>'Fremtind Livsforsikring'!F87+'Danica Pensjonsforsikring'!F87+'DNB Livsforsikring'!F87+'Eika Forsikring AS'!F87+'Frende Livsforsikring'!F87+'Frende Skadeforsikring'!F87+'Gjensidige Forsikring'!F87+'Gjensidige Pensjon'!F87+'Handelsbanken Liv'!F87+'If Skadeforsikring NUF'!F87+KLP!F87+'DNB Bedriftspensjon'!F87+'KLP Skadeforsikring AS'!F87+'Landkreditt Forsikring'!F87+Insr!F87+'Nordea Liv '!F87+'Oslo Pensjonsforsikring'!F87+'Protector Forsikring'!F87+'SHB Liv'!F87+'Sparebank 1'!F87+'Storebrand Livsforsikring'!F87+'Telenor Forsikring'!F87+'Tryg Forsikring'!F87+'WaterCircle F'!F87</f>
        <v>294500655.63305002</v>
      </c>
      <c r="F87" s="236">
        <f>'Fremtind Livsforsikring'!G87+'Danica Pensjonsforsikring'!G87+'DNB Livsforsikring'!G87+'Eika Forsikring AS'!G87+'Frende Livsforsikring'!G87+'Frende Skadeforsikring'!G87+'Gjensidige Forsikring'!G87+'Gjensidige Pensjon'!G87+'Handelsbanken Liv'!G87+'If Skadeforsikring NUF'!G87+KLP!G87+'DNB Bedriftspensjon'!G87+'KLP Skadeforsikring AS'!G87+'Landkreditt Forsikring'!G87+Insr!G87+'Nordea Liv '!G87+'Oslo Pensjonsforsikring'!G87+'Protector Forsikring'!G87+'SHB Liv'!G87+'Sparebank 1'!G87+'Storebrand Livsforsikring'!G87+'Telenor Forsikring'!G87+'Tryg Forsikring'!G87+'WaterCircle F'!G87</f>
        <v>338275750.26129001</v>
      </c>
      <c r="G87" s="171">
        <f>'Fremtind Livsforsikring'!H87+'Danica Pensjonsforsikring'!H87+'DNB Livsforsikring'!H87+'Eika Forsikring AS'!H87+'Frende Livsforsikring'!H87+'Frende Skadeforsikring'!H87+'Gjensidige Forsikring'!H87+'Gjensidige Pensjon'!H87+'Handelsbanken Liv'!H87+'If Skadeforsikring NUF'!H87+KLP!H87+'DNB Bedriftspensjon'!H87+'KLP Skadeforsikring AS'!H87+'Landkreditt Forsikring'!H87+Insr!H87+'Nordea Liv '!H87+'Oslo Pensjonsforsikring'!H87+'Protector Forsikring'!H87+'SHB Liv'!H87+'Sparebank 1'!H87+'Storebrand Livsforsikring'!H87+'Telenor Forsikring'!H87+'Tryg Forsikring'!H87</f>
        <v>155.89999999999998</v>
      </c>
      <c r="H87" s="329">
        <f t="shared" ref="H87:H111" si="32">SUM(B87,E87)</f>
        <v>684791765.99661469</v>
      </c>
      <c r="I87" s="329">
        <f t="shared" ref="I87:I111" si="33">SUM(C87,F87)</f>
        <v>731704542.53773952</v>
      </c>
      <c r="J87" s="24">
        <f t="shared" si="27"/>
        <v>6.9</v>
      </c>
    </row>
    <row r="88" spans="1:13" ht="15.75" customHeight="1" x14ac:dyDescent="0.2">
      <c r="A88" s="21" t="s">
        <v>9</v>
      </c>
      <c r="B88" s="234">
        <f>'Fremtind Livsforsikring'!B88+'Danica Pensjonsforsikring'!B88+'DNB Livsforsikring'!B88+'Eika Forsikring AS'!B88+'Frende Livsforsikring'!B88+'Frende Skadeforsikring'!B88+'Gjensidige Forsikring'!B88+'Gjensidige Pensjon'!B88+'Handelsbanken Liv'!B88+'If Skadeforsikring NUF'!B88+KLP!B88+'DNB Bedriftspensjon'!B88+'KLP Skadeforsikring AS'!B88+'Landkreditt Forsikring'!B88+Insr!B88+'Nordea Liv '!B88+'Oslo Pensjonsforsikring'!B88+'Protector Forsikring'!B88+'SHB Liv'!B88+'Sparebank 1'!B88+'Storebrand Livsforsikring'!B88+'Telenor Forsikring'!B88+'Tryg Forsikring'!B88+'WaterCircle F'!B88</f>
        <v>380917012.40255105</v>
      </c>
      <c r="C88" s="234">
        <f>'Fremtind Livsforsikring'!C88+'Danica Pensjonsforsikring'!C88+'DNB Livsforsikring'!C88+'Eika Forsikring AS'!C88+'Frende Livsforsikring'!C88+'Frende Skadeforsikring'!C88+'Gjensidige Forsikring'!C88+'Gjensidige Pensjon'!C88+'Handelsbanken Liv'!C88+'If Skadeforsikring NUF'!C88+KLP!C88+'DNB Bedriftspensjon'!C88+'KLP Skadeforsikring AS'!C88+'Landkreditt Forsikring'!C88+Insr!C88+'Nordea Liv '!C88+'Oslo Pensjonsforsikring'!C88+'Protector Forsikring'!C88+'SHB Liv'!C88+'Sparebank 1'!C88+'Storebrand Livsforsikring'!C88+'Telenor Forsikring'!C88+'Tryg Forsikring'!C88+'WaterCircle F'!C88</f>
        <v>381871255.3188628</v>
      </c>
      <c r="D88" s="23">
        <f t="shared" si="23"/>
        <v>0.3</v>
      </c>
      <c r="E88" s="44"/>
      <c r="F88" s="44"/>
      <c r="G88" s="166"/>
      <c r="H88" s="237">
        <f t="shared" si="32"/>
        <v>380917012.40255105</v>
      </c>
      <c r="I88" s="237">
        <f t="shared" si="33"/>
        <v>381871255.3188628</v>
      </c>
      <c r="J88" s="23">
        <f t="shared" si="27"/>
        <v>0.3</v>
      </c>
      <c r="M88" s="149"/>
    </row>
    <row r="89" spans="1:13" ht="15.75" customHeight="1" x14ac:dyDescent="0.2">
      <c r="A89" s="21" t="s">
        <v>10</v>
      </c>
      <c r="B89" s="234">
        <f>'Fremtind Livsforsikring'!B89+'Danica Pensjonsforsikring'!B89+'DNB Livsforsikring'!B89+'Eika Forsikring AS'!B89+'Frende Livsforsikring'!B89+'Frende Skadeforsikring'!B89+'Gjensidige Forsikring'!B89+'Gjensidige Pensjon'!B89+'Handelsbanken Liv'!B89+'If Skadeforsikring NUF'!B89+KLP!B89+'DNB Bedriftspensjon'!B89+'KLP Skadeforsikring AS'!B89+'Landkreditt Forsikring'!B89+Insr!B89+'Nordea Liv '!B89+'Oslo Pensjonsforsikring'!B89+'Protector Forsikring'!B89+'SHB Liv'!B89+'Sparebank 1'!B89+'Storebrand Livsforsikring'!B89+'Telenor Forsikring'!B89+'Tryg Forsikring'!B89+'WaterCircle F'!B89</f>
        <v>2953783.0261034803</v>
      </c>
      <c r="C89" s="234">
        <f>'Fremtind Livsforsikring'!C89+'Danica Pensjonsforsikring'!C89+'DNB Livsforsikring'!C89+'Eika Forsikring AS'!C89+'Frende Livsforsikring'!C89+'Frende Skadeforsikring'!C89+'Gjensidige Forsikring'!C89+'Gjensidige Pensjon'!C89+'Handelsbanken Liv'!C89+'If Skadeforsikring NUF'!C89+KLP!C89+'DNB Bedriftspensjon'!C89+'KLP Skadeforsikring AS'!C89+'Landkreditt Forsikring'!C89+Insr!C89+'Nordea Liv '!C89+'Oslo Pensjonsforsikring'!C89+'Protector Forsikring'!C89+'SHB Liv'!C89+'Sparebank 1'!C89+'Storebrand Livsforsikring'!C89+'Telenor Forsikring'!C89+'Tryg Forsikring'!C89+'WaterCircle F'!C89</f>
        <v>3168063.6674366803</v>
      </c>
      <c r="D89" s="23">
        <f t="shared" si="23"/>
        <v>7.3</v>
      </c>
      <c r="E89" s="44">
        <f>'Fremtind Livsforsikring'!F89+'Danica Pensjonsforsikring'!F89+'DNB Livsforsikring'!F89+'Eika Forsikring AS'!F89+'Frende Livsforsikring'!F89+'Frende Skadeforsikring'!F89+'Gjensidige Forsikring'!F89+'Gjensidige Pensjon'!F89+'Handelsbanken Liv'!F89+'If Skadeforsikring NUF'!F89+KLP!F89+'DNB Bedriftspensjon'!F89+'KLP Skadeforsikring AS'!F89+'Landkreditt Forsikring'!F89+Insr!F89+'Nordea Liv '!F89+'Oslo Pensjonsforsikring'!F89+'Protector Forsikring'!F89+'SHB Liv'!F89+'Sparebank 1'!F89+'Storebrand Livsforsikring'!F89+'Telenor Forsikring'!F89+'Tryg Forsikring'!F89+'WaterCircle F'!F89</f>
        <v>293104991.97979999</v>
      </c>
      <c r="F89" s="44">
        <f>'Fremtind Livsforsikring'!G89+'Danica Pensjonsforsikring'!G89+'DNB Livsforsikring'!G89+'Eika Forsikring AS'!G89+'Frende Livsforsikring'!G89+'Frende Skadeforsikring'!G89+'Gjensidige Forsikring'!G89+'Gjensidige Pensjon'!G89+'Handelsbanken Liv'!G89+'If Skadeforsikring NUF'!G89+KLP!G89+'DNB Bedriftspensjon'!G89+'KLP Skadeforsikring AS'!G89+'Landkreditt Forsikring'!G89+Insr!G89+'Nordea Liv '!G89+'Oslo Pensjonsforsikring'!G89+'Protector Forsikring'!G89+'SHB Liv'!G89+'Sparebank 1'!G89+'Storebrand Livsforsikring'!G89+'Telenor Forsikring'!G89+'Tryg Forsikring'!G89+'WaterCircle F'!G89</f>
        <v>335703451.27889997</v>
      </c>
      <c r="G89" s="166">
        <f>'Fremtind Livsforsikring'!H89+'Danica Pensjonsforsikring'!H89+'DNB Livsforsikring'!H89+'Eika Forsikring AS'!H89+'Frende Livsforsikring'!H89+'Frende Skadeforsikring'!H89+'Gjensidige Forsikring'!H89+'Gjensidige Pensjon'!H89+'Handelsbanken Liv'!H89+'If Skadeforsikring NUF'!H89+KLP!H89+'DNB Bedriftspensjon'!H89+'KLP Skadeforsikring AS'!H89+'Landkreditt Forsikring'!H89+Insr!H89+'Nordea Liv '!H89+'Oslo Pensjonsforsikring'!H89+'Protector Forsikring'!H89+'SHB Liv'!H89+'Sparebank 1'!H89+'Storebrand Livsforsikring'!H89+'Telenor Forsikring'!H89+'Tryg Forsikring'!H89</f>
        <v>154.6</v>
      </c>
      <c r="H89" s="237">
        <f t="shared" si="32"/>
        <v>296058775.00590348</v>
      </c>
      <c r="I89" s="237">
        <f t="shared" si="33"/>
        <v>338871514.94633663</v>
      </c>
      <c r="J89" s="23">
        <f t="shared" si="27"/>
        <v>14.5</v>
      </c>
      <c r="M89" s="149"/>
    </row>
    <row r="90" spans="1:13" ht="15.75" customHeight="1" x14ac:dyDescent="0.2">
      <c r="A90" s="296" t="s">
        <v>380</v>
      </c>
      <c r="B90" s="235"/>
      <c r="C90" s="235"/>
      <c r="D90" s="27"/>
      <c r="E90" s="235"/>
      <c r="F90" s="235"/>
      <c r="G90" s="166"/>
      <c r="H90" s="235"/>
      <c r="I90" s="235"/>
      <c r="J90" s="23"/>
    </row>
    <row r="91" spans="1:13" ht="15.75" customHeight="1" x14ac:dyDescent="0.2">
      <c r="A91" s="296" t="s">
        <v>12</v>
      </c>
      <c r="B91" s="235"/>
      <c r="C91" s="235"/>
      <c r="D91" s="27"/>
      <c r="E91" s="235"/>
      <c r="F91" s="235"/>
      <c r="G91" s="166"/>
      <c r="H91" s="235"/>
      <c r="I91" s="235"/>
      <c r="J91" s="23"/>
    </row>
    <row r="92" spans="1:13" ht="15.75" customHeight="1" x14ac:dyDescent="0.2">
      <c r="A92" s="296" t="s">
        <v>13</v>
      </c>
      <c r="B92" s="235"/>
      <c r="C92" s="235"/>
      <c r="D92" s="27"/>
      <c r="E92" s="235"/>
      <c r="F92" s="235"/>
      <c r="G92" s="166"/>
      <c r="H92" s="235"/>
      <c r="I92" s="235"/>
      <c r="J92" s="23"/>
    </row>
    <row r="93" spans="1:13" ht="15.75" customHeight="1" x14ac:dyDescent="0.2">
      <c r="A93" s="296" t="s">
        <v>381</v>
      </c>
      <c r="B93" s="235"/>
      <c r="C93" s="235"/>
      <c r="D93" s="27"/>
      <c r="E93" s="235"/>
      <c r="F93" s="235"/>
      <c r="G93" s="166"/>
      <c r="H93" s="235"/>
      <c r="I93" s="235"/>
      <c r="J93" s="23"/>
    </row>
    <row r="94" spans="1:13" ht="15.75" customHeight="1" x14ac:dyDescent="0.2">
      <c r="A94" s="296" t="s">
        <v>12</v>
      </c>
      <c r="B94" s="235"/>
      <c r="C94" s="235"/>
      <c r="D94" s="27"/>
      <c r="E94" s="235"/>
      <c r="F94" s="235"/>
      <c r="G94" s="166"/>
      <c r="H94" s="235"/>
      <c r="I94" s="235"/>
      <c r="J94" s="23"/>
    </row>
    <row r="95" spans="1:13" ht="15.75" customHeight="1" x14ac:dyDescent="0.2">
      <c r="A95" s="296" t="s">
        <v>13</v>
      </c>
      <c r="B95" s="235"/>
      <c r="C95" s="235"/>
      <c r="D95" s="27"/>
      <c r="E95" s="235"/>
      <c r="F95" s="235"/>
      <c r="G95" s="166"/>
      <c r="H95" s="235"/>
      <c r="I95" s="235"/>
      <c r="J95" s="23"/>
    </row>
    <row r="96" spans="1:13" ht="15.75" customHeight="1" x14ac:dyDescent="0.2">
      <c r="A96" s="21" t="s">
        <v>350</v>
      </c>
      <c r="B96" s="234">
        <f>'Fremtind Livsforsikring'!B96+'Danica Pensjonsforsikring'!B96+'DNB Livsforsikring'!B96+'Eika Forsikring AS'!B96+'Frende Livsforsikring'!B96+'Frende Skadeforsikring'!B96+'Gjensidige Forsikring'!B96+'Gjensidige Pensjon'!B96+'Handelsbanken Liv'!B96+'If Skadeforsikring NUF'!B96+KLP!B96+'DNB Bedriftspensjon'!B96+'KLP Skadeforsikring AS'!B96+'Landkreditt Forsikring'!B96+Insr!B96+'Nordea Liv '!B96+'Oslo Pensjonsforsikring'!B96+'Protector Forsikring'!B96+'SHB Liv'!B96+'Sparebank 1'!B96+'Storebrand Livsforsikring'!B96+'Telenor Forsikring'!B96+'Tryg Forsikring'!B96+'WaterCircle F'!B96</f>
        <v>1242885.31745</v>
      </c>
      <c r="C96" s="234">
        <f>'Fremtind Livsforsikring'!C96+'Danica Pensjonsforsikring'!C96+'DNB Livsforsikring'!C96+'Eika Forsikring AS'!C96+'Frende Livsforsikring'!C96+'Frende Skadeforsikring'!C96+'Gjensidige Forsikring'!C96+'Gjensidige Pensjon'!C96+'Handelsbanken Liv'!C96+'If Skadeforsikring NUF'!C96+KLP!C96+'DNB Bedriftspensjon'!C96+'KLP Skadeforsikring AS'!C96+'Landkreditt Forsikring'!C96+Insr!C96+'Nordea Liv '!C96+'Oslo Pensjonsforsikring'!C96+'Protector Forsikring'!C96+'SHB Liv'!C96+'Sparebank 1'!C96+'Storebrand Livsforsikring'!C96+'Telenor Forsikring'!C96+'Tryg Forsikring'!C96+'WaterCircle F'!C96</f>
        <v>1843898.0478699999</v>
      </c>
      <c r="D96" s="23">
        <f t="shared" si="23"/>
        <v>48.4</v>
      </c>
      <c r="E96" s="44">
        <f>'Fremtind Livsforsikring'!F96+'Danica Pensjonsforsikring'!F96+'DNB Livsforsikring'!F96+'Eika Forsikring AS'!F96+'Frende Livsforsikring'!F96+'Frende Skadeforsikring'!F96+'Gjensidige Forsikring'!F96+'Gjensidige Pensjon'!F96+'Handelsbanken Liv'!F96+'If Skadeforsikring NUF'!F96+KLP!F96+'DNB Bedriftspensjon'!F96+'KLP Skadeforsikring AS'!F96+'Landkreditt Forsikring'!F96+Insr!F96+'Nordea Liv '!F96+'Oslo Pensjonsforsikring'!F96+'Protector Forsikring'!F96+'SHB Liv'!F96+'Sparebank 1'!F96+'Storebrand Livsforsikring'!F96+'Telenor Forsikring'!F96+'Tryg Forsikring'!F96+'WaterCircle F'!F96</f>
        <v>1395663.65325</v>
      </c>
      <c r="F96" s="44">
        <f>'Fremtind Livsforsikring'!G96+'Danica Pensjonsforsikring'!G96+'DNB Livsforsikring'!G96+'Eika Forsikring AS'!G96+'Frende Livsforsikring'!G96+'Frende Skadeforsikring'!G96+'Gjensidige Forsikring'!G96+'Gjensidige Pensjon'!G96+'Handelsbanken Liv'!G96+'If Skadeforsikring NUF'!G96+KLP!G96+'DNB Bedriftspensjon'!G96+'KLP Skadeforsikring AS'!G96+'Landkreditt Forsikring'!G96+Insr!G96+'Nordea Liv '!G96+'Oslo Pensjonsforsikring'!G96+'Protector Forsikring'!G96+'SHB Liv'!G96+'Sparebank 1'!G96+'Storebrand Livsforsikring'!G96+'Telenor Forsikring'!G96+'Tryg Forsikring'!G96+'WaterCircle F'!G96</f>
        <v>2572298.98239</v>
      </c>
      <c r="G96" s="166">
        <f>'Fremtind Livsforsikring'!H96+'Danica Pensjonsforsikring'!H96+'DNB Livsforsikring'!H96+'Eika Forsikring AS'!H96+'Frende Livsforsikring'!H96+'Frende Skadeforsikring'!H96+'Gjensidige Forsikring'!H96+'Gjensidige Pensjon'!H96+'Handelsbanken Liv'!H96+'If Skadeforsikring NUF'!H96+KLP!H96+'DNB Bedriftspensjon'!H96+'KLP Skadeforsikring AS'!H96+'Landkreditt Forsikring'!H96+Insr!H96+'Nordea Liv '!H96+'Oslo Pensjonsforsikring'!H96+'Protector Forsikring'!H96+'SHB Liv'!H96+'Sparebank 1'!H96+'Storebrand Livsforsikring'!H96+'Telenor Forsikring'!H96+'Tryg Forsikring'!H96</f>
        <v>197.2</v>
      </c>
      <c r="H96" s="237">
        <f t="shared" si="32"/>
        <v>2638548.9706999999</v>
      </c>
      <c r="I96" s="237">
        <f t="shared" si="33"/>
        <v>4416197.0302600004</v>
      </c>
      <c r="J96" s="23">
        <f t="shared" si="27"/>
        <v>67.400000000000006</v>
      </c>
    </row>
    <row r="97" spans="1:10" ht="15.75" customHeight="1" x14ac:dyDescent="0.2">
      <c r="A97" s="21" t="s">
        <v>349</v>
      </c>
      <c r="B97" s="234">
        <f>'Fremtind Livsforsikring'!B97+'Danica Pensjonsforsikring'!B97+'DNB Livsforsikring'!B97+'Eika Forsikring AS'!B97+'Frende Livsforsikring'!B97+'Frende Skadeforsikring'!B97+'Gjensidige Forsikring'!B97+'Gjensidige Pensjon'!B97+'Handelsbanken Liv'!B97+'If Skadeforsikring NUF'!B97+KLP!B97+'DNB Bedriftspensjon'!B97+'KLP Skadeforsikring AS'!B97+'Landkreditt Forsikring'!B97+Insr!B97+'Nordea Liv '!B97+'Oslo Pensjonsforsikring'!B97+'Protector Forsikring'!B97+'SHB Liv'!B97+'Sparebank 1'!B97+'Storebrand Livsforsikring'!B97+'Telenor Forsikring'!B97+'Tryg Forsikring'!B97+'WaterCircle F'!B97</f>
        <v>5177429.6174600003</v>
      </c>
      <c r="C97" s="234">
        <f>'Fremtind Livsforsikring'!C97+'Danica Pensjonsforsikring'!C97+'DNB Livsforsikring'!C97+'Eika Forsikring AS'!C97+'Frende Livsforsikring'!C97+'Frende Skadeforsikring'!C97+'Gjensidige Forsikring'!C97+'Gjensidige Pensjon'!C97+'Handelsbanken Liv'!C97+'If Skadeforsikring NUF'!C97+KLP!C97+'DNB Bedriftspensjon'!C97+'KLP Skadeforsikring AS'!C97+'Landkreditt Forsikring'!C97+Insr!C97+'Nordea Liv '!C97+'Oslo Pensjonsforsikring'!C97+'Protector Forsikring'!C97+'SHB Liv'!C97+'Sparebank 1'!C97+'Storebrand Livsforsikring'!C97+'Telenor Forsikring'!C97+'Tryg Forsikring'!C97+'WaterCircle F'!C97</f>
        <v>6545575.2422799999</v>
      </c>
      <c r="D97" s="23">
        <f t="shared" ref="D97" si="34">IF(B97=0, "    ---- ", IF(ABS(ROUND(100/B97*C97-100,1))&lt;999,ROUND(100/B97*C97-100,1),IF(ROUND(100/B97*C97-100,1)&gt;999,999,-999)))</f>
        <v>26.4</v>
      </c>
      <c r="E97" s="44"/>
      <c r="F97" s="44"/>
      <c r="G97" s="166"/>
      <c r="H97" s="237">
        <f t="shared" ref="H97" si="35">SUM(B97,E97)</f>
        <v>5177429.6174600003</v>
      </c>
      <c r="I97" s="237">
        <f t="shared" ref="I97" si="36">SUM(C97,F97)</f>
        <v>6545575.2422799999</v>
      </c>
      <c r="J97" s="23">
        <f t="shared" ref="J97" si="37">IF(H97=0, "    ---- ", IF(ABS(ROUND(100/H97*I97-100,1))&lt;999,ROUND(100/H97*I97-100,1),IF(ROUND(100/H97*I97-100,1)&gt;999,999,-999)))</f>
        <v>26.4</v>
      </c>
    </row>
    <row r="98" spans="1:10" ht="15.75" customHeight="1" x14ac:dyDescent="0.2">
      <c r="A98" s="21" t="s">
        <v>382</v>
      </c>
      <c r="B98" s="234">
        <f>'Fremtind Livsforsikring'!B98+'Danica Pensjonsforsikring'!B98+'DNB Livsforsikring'!B98+'Eika Forsikring AS'!B98+'Frende Livsforsikring'!B98+'Frende Skadeforsikring'!B98+'Gjensidige Forsikring'!B98+'Gjensidige Pensjon'!B98+'Handelsbanken Liv'!B98+'If Skadeforsikring NUF'!B98+KLP!B98+'DNB Bedriftspensjon'!B98+'KLP Skadeforsikring AS'!B98+'Landkreditt Forsikring'!B98+Insr!B98+'Nordea Liv '!B98+'Oslo Pensjonsforsikring'!B98+'Protector Forsikring'!B98+'SHB Liv'!B98+'Sparebank 1'!B98+'Storebrand Livsforsikring'!B98+'Telenor Forsikring'!B98+'Tryg Forsikring'!B98+'WaterCircle F'!B98</f>
        <v>379135164.91265458</v>
      </c>
      <c r="C98" s="234">
        <f>'Fremtind Livsforsikring'!C98+'Danica Pensjonsforsikring'!C98+'DNB Livsforsikring'!C98+'Eika Forsikring AS'!C98+'Frende Livsforsikring'!C98+'Frende Skadeforsikring'!C98+'Gjensidige Forsikring'!C98+'Gjensidige Pensjon'!C98+'Handelsbanken Liv'!C98+'If Skadeforsikring NUF'!C98+KLP!C98+'DNB Bedriftspensjon'!C98+'KLP Skadeforsikring AS'!C98+'Landkreditt Forsikring'!C98+Insr!C98+'Nordea Liv '!C98+'Oslo Pensjonsforsikring'!C98+'Protector Forsikring'!C98+'SHB Liv'!C98+'Sparebank 1'!C98+'Storebrand Livsforsikring'!C98+'Telenor Forsikring'!C98+'Tryg Forsikring'!C98+'WaterCircle F'!C98</f>
        <v>380625351.5472995</v>
      </c>
      <c r="D98" s="23">
        <f t="shared" si="23"/>
        <v>0.4</v>
      </c>
      <c r="E98" s="44">
        <f>'Fremtind Livsforsikring'!F98+'Danica Pensjonsforsikring'!F98+'DNB Livsforsikring'!F98+'Eika Forsikring AS'!F98+'Frende Livsforsikring'!F98+'Frende Skadeforsikring'!F98+'Gjensidige Forsikring'!F98+'Gjensidige Pensjon'!F98+'Handelsbanken Liv'!F98+'If Skadeforsikring NUF'!F98+KLP!F98+'DNB Bedriftspensjon'!F98+'KLP Skadeforsikring AS'!F98+'Landkreditt Forsikring'!F98+Insr!F98+'Nordea Liv '!F98+'Oslo Pensjonsforsikring'!F98+'Protector Forsikring'!F98+'SHB Liv'!F98+'Sparebank 1'!F98+'Storebrand Livsforsikring'!F98+'Telenor Forsikring'!F98+'Tryg Forsikring'!F98+'WaterCircle F'!F98</f>
        <v>292295165.40559995</v>
      </c>
      <c r="F98" s="44">
        <f>'Fremtind Livsforsikring'!G98+'Danica Pensjonsforsikring'!G98+'DNB Livsforsikring'!G98+'Eika Forsikring AS'!G98+'Frende Livsforsikring'!G98+'Frende Skadeforsikring'!G98+'Gjensidige Forsikring'!G98+'Gjensidige Pensjon'!G98+'Handelsbanken Liv'!G98+'If Skadeforsikring NUF'!G98+KLP!G98+'DNB Bedriftspensjon'!G98+'KLP Skadeforsikring AS'!G98+'Landkreditt Forsikring'!G98+Insr!G98+'Nordea Liv '!G98+'Oslo Pensjonsforsikring'!G98+'Protector Forsikring'!G98+'SHB Liv'!G98+'Sparebank 1'!G98+'Storebrand Livsforsikring'!G98+'Telenor Forsikring'!G98+'Tryg Forsikring'!G98+'WaterCircle F'!G98</f>
        <v>334760576.01521003</v>
      </c>
      <c r="G98" s="166">
        <f>'Fremtind Livsforsikring'!H98+'Danica Pensjonsforsikring'!H98+'DNB Livsforsikring'!H98+'Eika Forsikring AS'!H98+'Frende Livsforsikring'!H98+'Frende Skadeforsikring'!H98+'Gjensidige Forsikring'!H98+'Gjensidige Pensjon'!H98+'Handelsbanken Liv'!H98+'If Skadeforsikring NUF'!H98+KLP!H98+'DNB Bedriftspensjon'!H98+'KLP Skadeforsikring AS'!H98+'Landkreditt Forsikring'!H98+Insr!H98+'Nordea Liv '!H98+'Oslo Pensjonsforsikring'!H98+'Protector Forsikring'!H98+'SHB Liv'!H98+'Sparebank 1'!H98+'Storebrand Livsforsikring'!H98+'Telenor Forsikring'!H98+'Tryg Forsikring'!H98</f>
        <v>129.19999999999999</v>
      </c>
      <c r="H98" s="237">
        <f t="shared" si="32"/>
        <v>671430330.31825447</v>
      </c>
      <c r="I98" s="237">
        <f t="shared" si="33"/>
        <v>715385927.56250954</v>
      </c>
      <c r="J98" s="23">
        <f t="shared" si="27"/>
        <v>6.5</v>
      </c>
    </row>
    <row r="99" spans="1:10" ht="15.75" customHeight="1" x14ac:dyDescent="0.2">
      <c r="A99" s="21" t="s">
        <v>9</v>
      </c>
      <c r="B99" s="234">
        <f>'Fremtind Livsforsikring'!B99+'Danica Pensjonsforsikring'!B99+'DNB Livsforsikring'!B99+'Eika Forsikring AS'!B99+'Frende Livsforsikring'!B99+'Frende Skadeforsikring'!B99+'Gjensidige Forsikring'!B99+'Gjensidige Pensjon'!B99+'Handelsbanken Liv'!B99+'If Skadeforsikring NUF'!B99+KLP!B99+'DNB Bedriftspensjon'!B99+'KLP Skadeforsikring AS'!B99+'Landkreditt Forsikring'!B99+Insr!B99+'Nordea Liv '!B99+'Oslo Pensjonsforsikring'!B99+'Protector Forsikring'!B99+'SHB Liv'!B99+'Sparebank 1'!B99+'Storebrand Livsforsikring'!B99+'Telenor Forsikring'!B99+'Tryg Forsikring'!B99+'WaterCircle F'!B99</f>
        <v>376181381.88655114</v>
      </c>
      <c r="C99" s="234">
        <f>'Fremtind Livsforsikring'!C99+'Danica Pensjonsforsikring'!C99+'DNB Livsforsikring'!C99+'Eika Forsikring AS'!C99+'Frende Livsforsikring'!C99+'Frende Skadeforsikring'!C99+'Gjensidige Forsikring'!C99+'Gjensidige Pensjon'!C99+'Handelsbanken Liv'!C99+'If Skadeforsikring NUF'!C99+KLP!C99+'DNB Bedriftspensjon'!C99+'KLP Skadeforsikring AS'!C99+'Landkreditt Forsikring'!C99+Insr!C99+'Nordea Liv '!C99+'Oslo Pensjonsforsikring'!C99+'Protector Forsikring'!C99+'SHB Liv'!C99+'Sparebank 1'!C99+'Storebrand Livsforsikring'!C99+'Telenor Forsikring'!C99+'Tryg Forsikring'!C99+'WaterCircle F'!C99</f>
        <v>377457287.87986279</v>
      </c>
      <c r="D99" s="23">
        <f t="shared" si="23"/>
        <v>0.3</v>
      </c>
      <c r="E99" s="44"/>
      <c r="F99" s="44"/>
      <c r="G99" s="166"/>
      <c r="H99" s="237">
        <f t="shared" si="32"/>
        <v>376181381.88655114</v>
      </c>
      <c r="I99" s="237">
        <f t="shared" si="33"/>
        <v>377457287.87986279</v>
      </c>
      <c r="J99" s="23">
        <f t="shared" si="27"/>
        <v>0.3</v>
      </c>
    </row>
    <row r="100" spans="1:10" ht="15.75" customHeight="1" x14ac:dyDescent="0.2">
      <c r="A100" s="21" t="s">
        <v>10</v>
      </c>
      <c r="B100" s="234">
        <f>'Fremtind Livsforsikring'!B100+'Danica Pensjonsforsikring'!B100+'DNB Livsforsikring'!B100+'Eika Forsikring AS'!B100+'Frende Livsforsikring'!B100+'Frende Skadeforsikring'!B100+'Gjensidige Forsikring'!B100+'Gjensidige Pensjon'!B100+'Handelsbanken Liv'!B100+'If Skadeforsikring NUF'!B100+KLP!B100+'DNB Bedriftspensjon'!B100+'KLP Skadeforsikring AS'!B100+'Landkreditt Forsikring'!B100+Insr!B100+'Nordea Liv '!B100+'Oslo Pensjonsforsikring'!B100+'Protector Forsikring'!B100+'SHB Liv'!B100+'Sparebank 1'!B100+'Storebrand Livsforsikring'!B100+'Telenor Forsikring'!B100+'Tryg Forsikring'!B100+'WaterCircle F'!B100</f>
        <v>2953783.0261034803</v>
      </c>
      <c r="C100" s="234">
        <f>'Fremtind Livsforsikring'!C100+'Danica Pensjonsforsikring'!C100+'DNB Livsforsikring'!C100+'Eika Forsikring AS'!C100+'Frende Livsforsikring'!C100+'Frende Skadeforsikring'!C100+'Gjensidige Forsikring'!C100+'Gjensidige Pensjon'!C100+'Handelsbanken Liv'!C100+'If Skadeforsikring NUF'!C100+KLP!C100+'DNB Bedriftspensjon'!C100+'KLP Skadeforsikring AS'!C100+'Landkreditt Forsikring'!C100+Insr!C100+'Nordea Liv '!C100+'Oslo Pensjonsforsikring'!C100+'Protector Forsikring'!C100+'SHB Liv'!C100+'Sparebank 1'!C100+'Storebrand Livsforsikring'!C100+'Telenor Forsikring'!C100+'Tryg Forsikring'!C100+'WaterCircle F'!C100</f>
        <v>3168063.6674366803</v>
      </c>
      <c r="D100" s="23">
        <f t="shared" si="23"/>
        <v>7.3</v>
      </c>
      <c r="E100" s="44">
        <f>'Fremtind Livsforsikring'!F100+'Danica Pensjonsforsikring'!F100+'DNB Livsforsikring'!F100+'Eika Forsikring AS'!F100+'Frende Livsforsikring'!F100+'Frende Skadeforsikring'!F100+'Gjensidige Forsikring'!F100+'Gjensidige Pensjon'!F100+'Handelsbanken Liv'!F100+'If Skadeforsikring NUF'!F100+KLP!F100+'DNB Bedriftspensjon'!F100+'KLP Skadeforsikring AS'!F100+'Landkreditt Forsikring'!F100+Insr!F100+'Nordea Liv '!F100+'Oslo Pensjonsforsikring'!F100+'Protector Forsikring'!F100+'SHB Liv'!F100+'Sparebank 1'!F100+'Storebrand Livsforsikring'!F100+'Telenor Forsikring'!F100+'Tryg Forsikring'!F100+'WaterCircle F'!F100</f>
        <v>292295165.40559995</v>
      </c>
      <c r="F100" s="44">
        <f>'Fremtind Livsforsikring'!G100+'Danica Pensjonsforsikring'!G100+'DNB Livsforsikring'!G100+'Eika Forsikring AS'!G100+'Frende Livsforsikring'!G100+'Frende Skadeforsikring'!G100+'Gjensidige Forsikring'!G100+'Gjensidige Pensjon'!G100+'Handelsbanken Liv'!G100+'If Skadeforsikring NUF'!G100+KLP!G100+'DNB Bedriftspensjon'!G100+'KLP Skadeforsikring AS'!G100+'Landkreditt Forsikring'!G100+Insr!G100+'Nordea Liv '!G100+'Oslo Pensjonsforsikring'!G100+'Protector Forsikring'!G100+'SHB Liv'!G100+'Sparebank 1'!G100+'Storebrand Livsforsikring'!G100+'Telenor Forsikring'!G100+'Tryg Forsikring'!G100+'WaterCircle F'!G100</f>
        <v>334760576.01521003</v>
      </c>
      <c r="G100" s="166">
        <f>'Fremtind Livsforsikring'!H100+'Danica Pensjonsforsikring'!H100+'DNB Livsforsikring'!H100+'Eika Forsikring AS'!H100+'Frende Livsforsikring'!H100+'Frende Skadeforsikring'!H100+'Gjensidige Forsikring'!H100+'Gjensidige Pensjon'!H100+'Handelsbanken Liv'!H100+'If Skadeforsikring NUF'!H100+KLP!H100+'DNB Bedriftspensjon'!H100+'KLP Skadeforsikring AS'!H100+'Landkreditt Forsikring'!H100+Insr!H100+'Nordea Liv '!H100+'Oslo Pensjonsforsikring'!H100+'Protector Forsikring'!H100+'SHB Liv'!H100+'Sparebank 1'!H100+'Storebrand Livsforsikring'!H100+'Telenor Forsikring'!H100+'Tryg Forsikring'!H100</f>
        <v>129.19999999999999</v>
      </c>
      <c r="H100" s="237">
        <f t="shared" si="32"/>
        <v>295248948.43170345</v>
      </c>
      <c r="I100" s="237">
        <f t="shared" si="33"/>
        <v>337928639.68264669</v>
      </c>
      <c r="J100" s="23">
        <f t="shared" si="27"/>
        <v>14.5</v>
      </c>
    </row>
    <row r="101" spans="1:10" ht="15.75" customHeight="1" x14ac:dyDescent="0.2">
      <c r="A101" s="296" t="s">
        <v>380</v>
      </c>
      <c r="B101" s="235"/>
      <c r="C101" s="235"/>
      <c r="D101" s="27"/>
      <c r="E101" s="235"/>
      <c r="F101" s="235"/>
      <c r="G101" s="166"/>
      <c r="H101" s="235"/>
      <c r="I101" s="235"/>
      <c r="J101" s="23"/>
    </row>
    <row r="102" spans="1:10" ht="15.75" customHeight="1" x14ac:dyDescent="0.2">
      <c r="A102" s="296" t="s">
        <v>12</v>
      </c>
      <c r="B102" s="235"/>
      <c r="C102" s="235"/>
      <c r="D102" s="27"/>
      <c r="E102" s="235"/>
      <c r="F102" s="235"/>
      <c r="G102" s="166"/>
      <c r="H102" s="235"/>
      <c r="I102" s="235"/>
      <c r="J102" s="23"/>
    </row>
    <row r="103" spans="1:10" ht="15.75" customHeight="1" x14ac:dyDescent="0.2">
      <c r="A103" s="296" t="s">
        <v>13</v>
      </c>
      <c r="B103" s="235"/>
      <c r="C103" s="235"/>
      <c r="D103" s="27"/>
      <c r="E103" s="235"/>
      <c r="F103" s="235"/>
      <c r="G103" s="166"/>
      <c r="H103" s="235"/>
      <c r="I103" s="235"/>
      <c r="J103" s="23"/>
    </row>
    <row r="104" spans="1:10" ht="15.75" customHeight="1" x14ac:dyDescent="0.2">
      <c r="A104" s="296" t="s">
        <v>381</v>
      </c>
      <c r="B104" s="235"/>
      <c r="C104" s="235"/>
      <c r="D104" s="27"/>
      <c r="E104" s="235"/>
      <c r="F104" s="235"/>
      <c r="G104" s="166"/>
      <c r="H104" s="235"/>
      <c r="I104" s="235"/>
      <c r="J104" s="23"/>
    </row>
    <row r="105" spans="1:10" ht="15.75" customHeight="1" x14ac:dyDescent="0.2">
      <c r="A105" s="296" t="s">
        <v>12</v>
      </c>
      <c r="B105" s="235"/>
      <c r="C105" s="235"/>
      <c r="D105" s="27"/>
      <c r="E105" s="235"/>
      <c r="F105" s="235"/>
      <c r="G105" s="166"/>
      <c r="H105" s="235"/>
      <c r="I105" s="235"/>
      <c r="J105" s="23"/>
    </row>
    <row r="106" spans="1:10" ht="15.75" customHeight="1" x14ac:dyDescent="0.2">
      <c r="A106" s="296" t="s">
        <v>13</v>
      </c>
      <c r="B106" s="235"/>
      <c r="C106" s="235"/>
      <c r="D106" s="27"/>
      <c r="E106" s="235"/>
      <c r="F106" s="235"/>
      <c r="G106" s="166"/>
      <c r="H106" s="235"/>
      <c r="I106" s="235"/>
      <c r="J106" s="23"/>
    </row>
    <row r="107" spans="1:10" ht="15.75" customHeight="1" x14ac:dyDescent="0.2">
      <c r="A107" s="21" t="s">
        <v>383</v>
      </c>
      <c r="B107" s="234">
        <f>'Fremtind Livsforsikring'!B107+'Danica Pensjonsforsikring'!B107+'DNB Livsforsikring'!B107+'Eika Forsikring AS'!B107+'Frende Livsforsikring'!B107+'Frende Skadeforsikring'!B107+'Gjensidige Forsikring'!B107+'Gjensidige Pensjon'!B107+'Handelsbanken Liv'!B107+'If Skadeforsikring NUF'!B107+KLP!B107+'DNB Bedriftspensjon'!B107+'KLP Skadeforsikring AS'!B107+'Landkreditt Forsikring'!B107+Insr!B107+'Nordea Liv '!B107+'Oslo Pensjonsforsikring'!B107+'Protector Forsikring'!B107+'SHB Liv'!B107+'Sparebank 1'!B107+'Storebrand Livsforsikring'!B107+'Telenor Forsikring'!B107+'Tryg Forsikring'!B107+'WaterCircle F'!B107</f>
        <v>4735630.5159999998</v>
      </c>
      <c r="C107" s="234">
        <f>'Fremtind Livsforsikring'!C107+'Danica Pensjonsforsikring'!C107+'DNB Livsforsikring'!C107+'Eika Forsikring AS'!C107+'Frende Livsforsikring'!C107+'Frende Skadeforsikring'!C107+'Gjensidige Forsikring'!C107+'Gjensidige Pensjon'!C107+'Handelsbanken Liv'!C107+'If Skadeforsikring NUF'!C107+KLP!C107+'DNB Bedriftspensjon'!C107+'KLP Skadeforsikring AS'!C107+'Landkreditt Forsikring'!C107+Insr!C107+'Nordea Liv '!C107+'Oslo Pensjonsforsikring'!C107+'Protector Forsikring'!C107+'SHB Liv'!C107+'Sparebank 1'!C107+'Storebrand Livsforsikring'!C107+'Telenor Forsikring'!C107+'Tryg Forsikring'!C107+'WaterCircle F'!C107</f>
        <v>4413967.4389999993</v>
      </c>
      <c r="D107" s="23">
        <f t="shared" si="23"/>
        <v>-6.8</v>
      </c>
      <c r="E107" s="44">
        <f>'Fremtind Livsforsikring'!F107+'Danica Pensjonsforsikring'!F107+'DNB Livsforsikring'!F107+'Eika Forsikring AS'!F107+'Frende Livsforsikring'!F107+'Frende Skadeforsikring'!F107+'Gjensidige Forsikring'!F107+'Gjensidige Pensjon'!F107+'Handelsbanken Liv'!F107+'If Skadeforsikring NUF'!F107+KLP!F107+'DNB Bedriftspensjon'!F107+'KLP Skadeforsikring AS'!F107+'Landkreditt Forsikring'!F107+Insr!F107+'Nordea Liv '!F107+'Oslo Pensjonsforsikring'!F107+'Protector Forsikring'!F107+'SHB Liv'!F107+'Sparebank 1'!F107+'Storebrand Livsforsikring'!F107+'Telenor Forsikring'!F107+'Tryg Forsikring'!F107+'WaterCircle F'!F107</f>
        <v>809826.57419999992</v>
      </c>
      <c r="F107" s="44">
        <f>'Fremtind Livsforsikring'!G107+'Danica Pensjonsforsikring'!G107+'DNB Livsforsikring'!G107+'Eika Forsikring AS'!G107+'Frende Livsforsikring'!G107+'Frende Skadeforsikring'!G107+'Gjensidige Forsikring'!G107+'Gjensidige Pensjon'!G107+'Handelsbanken Liv'!G107+'If Skadeforsikring NUF'!G107+KLP!G107+'DNB Bedriftspensjon'!G107+'KLP Skadeforsikring AS'!G107+'Landkreditt Forsikring'!G107+Insr!G107+'Nordea Liv '!G107+'Oslo Pensjonsforsikring'!G107+'Protector Forsikring'!G107+'SHB Liv'!G107+'Sparebank 1'!G107+'Storebrand Livsforsikring'!G107+'Telenor Forsikring'!G107+'Tryg Forsikring'!G107+'WaterCircle F'!G107</f>
        <v>942875.09768999997</v>
      </c>
      <c r="G107" s="166">
        <f>'Fremtind Livsforsikring'!H107+'Danica Pensjonsforsikring'!H107+'DNB Livsforsikring'!H107+'Eika Forsikring AS'!H107+'Frende Livsforsikring'!H107+'Frende Skadeforsikring'!H107+'Gjensidige Forsikring'!H107+'Gjensidige Pensjon'!H107+'Handelsbanken Liv'!H107+'If Skadeforsikring NUF'!H107+KLP!H107+'DNB Bedriftspensjon'!H107+'KLP Skadeforsikring AS'!H107+'Landkreditt Forsikring'!H107+Insr!H107+'Nordea Liv '!H107+'Oslo Pensjonsforsikring'!H107+'Protector Forsikring'!H107+'SHB Liv'!H107+'Sparebank 1'!H107+'Storebrand Livsforsikring'!H107+'Telenor Forsikring'!H107+'Tryg Forsikring'!H107</f>
        <v>-24.8</v>
      </c>
      <c r="H107" s="237">
        <f t="shared" si="32"/>
        <v>5545457.0901999995</v>
      </c>
      <c r="I107" s="237">
        <f t="shared" si="33"/>
        <v>5356842.5366899995</v>
      </c>
      <c r="J107" s="23">
        <f t="shared" si="27"/>
        <v>-3.4</v>
      </c>
    </row>
    <row r="108" spans="1:10" ht="15.75" customHeight="1" x14ac:dyDescent="0.2">
      <c r="A108" s="21" t="s">
        <v>384</v>
      </c>
      <c r="B108" s="234">
        <f>'Fremtind Livsforsikring'!B108+'Danica Pensjonsforsikring'!B108+'DNB Livsforsikring'!B108+'Eika Forsikring AS'!B108+'Frende Livsforsikring'!B108+'Frende Skadeforsikring'!B108+'Gjensidige Forsikring'!B108+'Gjensidige Pensjon'!B108+'Handelsbanken Liv'!B108+'If Skadeforsikring NUF'!B108+KLP!B108+'DNB Bedriftspensjon'!B108+'KLP Skadeforsikring AS'!B108+'Landkreditt Forsikring'!B108+Insr!B108+'Nordea Liv '!B108+'Oslo Pensjonsforsikring'!B108+'Protector Forsikring'!B108+'SHB Liv'!B108+'Sparebank 1'!B108+'Storebrand Livsforsikring'!B108+'Telenor Forsikring'!B108+'Tryg Forsikring'!B108+'WaterCircle F'!B108</f>
        <v>316052714.28343719</v>
      </c>
      <c r="C108" s="234">
        <f>'Fremtind Livsforsikring'!C108+'Danica Pensjonsforsikring'!C108+'DNB Livsforsikring'!C108+'Eika Forsikring AS'!C108+'Frende Livsforsikring'!C108+'Frende Skadeforsikring'!C108+'Gjensidige Forsikring'!C108+'Gjensidige Pensjon'!C108+'Handelsbanken Liv'!C108+'If Skadeforsikring NUF'!C108+KLP!C108+'DNB Bedriftspensjon'!C108+'KLP Skadeforsikring AS'!C108+'Landkreditt Forsikring'!C108+Insr!C108+'Nordea Liv '!C108+'Oslo Pensjonsforsikring'!C108+'Protector Forsikring'!C108+'SHB Liv'!C108+'Sparebank 1'!C108+'Storebrand Livsforsikring'!C108+'Telenor Forsikring'!C108+'Tryg Forsikring'!C108+'WaterCircle F'!C108</f>
        <v>325354741.80301988</v>
      </c>
      <c r="D108" s="23">
        <f t="shared" si="23"/>
        <v>2.9</v>
      </c>
      <c r="E108" s="44">
        <f>'Fremtind Livsforsikring'!F108+'Danica Pensjonsforsikring'!F108+'DNB Livsforsikring'!F108+'Eika Forsikring AS'!F108+'Frende Livsforsikring'!F108+'Frende Skadeforsikring'!F108+'Gjensidige Forsikring'!F108+'Gjensidige Pensjon'!F108+'Handelsbanken Liv'!F108+'If Skadeforsikring NUF'!F108+KLP!F108+'DNB Bedriftspensjon'!F108+'KLP Skadeforsikring AS'!F108+'Landkreditt Forsikring'!F108+Insr!F108+'Nordea Liv '!F108+'Oslo Pensjonsforsikring'!F108+'Protector Forsikring'!F108+'SHB Liv'!F108+'Sparebank 1'!F108+'Storebrand Livsforsikring'!F108+'Telenor Forsikring'!F108+'Tryg Forsikring'!F108+'WaterCircle F'!F108</f>
        <v>16499435.256000001</v>
      </c>
      <c r="F108" s="44">
        <f>'Fremtind Livsforsikring'!G108+'Danica Pensjonsforsikring'!G108+'DNB Livsforsikring'!G108+'Eika Forsikring AS'!G108+'Frende Livsforsikring'!G108+'Frende Skadeforsikring'!G108+'Gjensidige Forsikring'!G108+'Gjensidige Pensjon'!G108+'Handelsbanken Liv'!G108+'If Skadeforsikring NUF'!G108+KLP!G108+'DNB Bedriftspensjon'!G108+'KLP Skadeforsikring AS'!G108+'Landkreditt Forsikring'!G108+Insr!G108+'Nordea Liv '!G108+'Oslo Pensjonsforsikring'!G108+'Protector Forsikring'!G108+'SHB Liv'!G108+'Sparebank 1'!G108+'Storebrand Livsforsikring'!G108+'Telenor Forsikring'!G108+'Tryg Forsikring'!G108+'WaterCircle F'!G108</f>
        <v>17343450.93</v>
      </c>
      <c r="G108" s="166">
        <f>'Fremtind Livsforsikring'!H108+'Danica Pensjonsforsikring'!H108+'DNB Livsforsikring'!H108+'Eika Forsikring AS'!H108+'Frende Livsforsikring'!H108+'Frende Skadeforsikring'!H108+'Gjensidige Forsikring'!H108+'Gjensidige Pensjon'!H108+'Handelsbanken Liv'!H108+'If Skadeforsikring NUF'!H108+KLP!H108+'DNB Bedriftspensjon'!H108+'KLP Skadeforsikring AS'!H108+'Landkreditt Forsikring'!H108+Insr!H108+'Nordea Liv '!H108+'Oslo Pensjonsforsikring'!H108+'Protector Forsikring'!H108+'SHB Liv'!H108+'Sparebank 1'!H108+'Storebrand Livsforsikring'!H108+'Telenor Forsikring'!H108+'Tryg Forsikring'!H108</f>
        <v>42.3</v>
      </c>
      <c r="H108" s="237">
        <f t="shared" si="32"/>
        <v>332552149.53943717</v>
      </c>
      <c r="I108" s="237">
        <f t="shared" si="33"/>
        <v>342698192.73301989</v>
      </c>
      <c r="J108" s="23">
        <f t="shared" si="27"/>
        <v>3.1</v>
      </c>
    </row>
    <row r="109" spans="1:10" ht="15.75" customHeight="1" x14ac:dyDescent="0.2">
      <c r="A109" s="21" t="s">
        <v>385</v>
      </c>
      <c r="B109" s="234">
        <f>'Fremtind Livsforsikring'!B109+'Danica Pensjonsforsikring'!B109+'DNB Livsforsikring'!B109+'Eika Forsikring AS'!B109+'Frende Livsforsikring'!B109+'Frende Skadeforsikring'!B109+'Gjensidige Forsikring'!B109+'Gjensidige Pensjon'!B109+'Handelsbanken Liv'!B109+'If Skadeforsikring NUF'!B109+KLP!B109+'DNB Bedriftspensjon'!B109+'KLP Skadeforsikring AS'!B109+'Landkreditt Forsikring'!B109+Insr!B109+'Nordea Liv '!B109+'Oslo Pensjonsforsikring'!B109+'Protector Forsikring'!B109+'SHB Liv'!B109+'Sparebank 1'!B109+'Storebrand Livsforsikring'!B109+'Telenor Forsikring'!B109+'Tryg Forsikring'!B109+'WaterCircle F'!B109</f>
        <v>978579.22192826797</v>
      </c>
      <c r="C109" s="234">
        <f>'Fremtind Livsforsikring'!C109+'Danica Pensjonsforsikring'!C109+'DNB Livsforsikring'!C109+'Eika Forsikring AS'!C109+'Frende Livsforsikring'!C109+'Frende Skadeforsikring'!C109+'Gjensidige Forsikring'!C109+'Gjensidige Pensjon'!C109+'Handelsbanken Liv'!C109+'If Skadeforsikring NUF'!C109+KLP!C109+'DNB Bedriftspensjon'!C109+'KLP Skadeforsikring AS'!C109+'Landkreditt Forsikring'!C109+Insr!C109+'Nordea Liv '!C109+'Oslo Pensjonsforsikring'!C109+'Protector Forsikring'!C109+'SHB Liv'!C109+'Sparebank 1'!C109+'Storebrand Livsforsikring'!C109+'Telenor Forsikring'!C109+'Tryg Forsikring'!C109+'WaterCircle F'!C109</f>
        <v>1046910.163851911</v>
      </c>
      <c r="D109" s="23">
        <f t="shared" si="23"/>
        <v>7</v>
      </c>
      <c r="E109" s="44">
        <f>'Fremtind Livsforsikring'!F109+'Danica Pensjonsforsikring'!F109+'DNB Livsforsikring'!F109+'Eika Forsikring AS'!F109+'Frende Livsforsikring'!F109+'Frende Skadeforsikring'!F109+'Gjensidige Forsikring'!F109+'Gjensidige Pensjon'!F109+'Handelsbanken Liv'!F109+'If Skadeforsikring NUF'!F109+KLP!F109+'DNB Bedriftspensjon'!F109+'KLP Skadeforsikring AS'!F109+'Landkreditt Forsikring'!F109+Insr!F109+'Nordea Liv '!F109+'Oslo Pensjonsforsikring'!F109+'Protector Forsikring'!F109+'SHB Liv'!F109+'Sparebank 1'!F109+'Storebrand Livsforsikring'!F109+'Telenor Forsikring'!F109+'Tryg Forsikring'!F109+'WaterCircle F'!F109</f>
        <v>99962108.68073</v>
      </c>
      <c r="F109" s="44">
        <f>'Fremtind Livsforsikring'!G109+'Danica Pensjonsforsikring'!G109+'DNB Livsforsikring'!G109+'Eika Forsikring AS'!G109+'Frende Livsforsikring'!G109+'Frende Skadeforsikring'!G109+'Gjensidige Forsikring'!G109+'Gjensidige Pensjon'!G109+'Handelsbanken Liv'!G109+'If Skadeforsikring NUF'!G109+KLP!G109+'DNB Bedriftspensjon'!G109+'KLP Skadeforsikring AS'!G109+'Landkreditt Forsikring'!G109+Insr!G109+'Nordea Liv '!G109+'Oslo Pensjonsforsikring'!G109+'Protector Forsikring'!G109+'SHB Liv'!G109+'Sparebank 1'!G109+'Storebrand Livsforsikring'!G109+'Telenor Forsikring'!G109+'Tryg Forsikring'!G109+'WaterCircle F'!G109</f>
        <v>118216168.193756</v>
      </c>
      <c r="G109" s="166">
        <f>'Fremtind Livsforsikring'!H109+'Danica Pensjonsforsikring'!H109+'DNB Livsforsikring'!H109+'Eika Forsikring AS'!H109+'Frende Livsforsikring'!H109+'Frende Skadeforsikring'!H109+'Gjensidige Forsikring'!H109+'Gjensidige Pensjon'!H109+'Handelsbanken Liv'!H109+'If Skadeforsikring NUF'!H109+KLP!H109+'DNB Bedriftspensjon'!H109+'KLP Skadeforsikring AS'!H109+'Landkreditt Forsikring'!H109+Insr!H109+'Nordea Liv '!H109+'Oslo Pensjonsforsikring'!H109+'Protector Forsikring'!H109+'SHB Liv'!H109+'Sparebank 1'!H109+'Storebrand Livsforsikring'!H109+'Telenor Forsikring'!H109+'Tryg Forsikring'!H109</f>
        <v>174.20000000000002</v>
      </c>
      <c r="H109" s="237">
        <f t="shared" si="32"/>
        <v>100940687.90265827</v>
      </c>
      <c r="I109" s="237">
        <f t="shared" si="33"/>
        <v>119263078.35760792</v>
      </c>
      <c r="J109" s="23">
        <f t="shared" si="27"/>
        <v>18.2</v>
      </c>
    </row>
    <row r="110" spans="1:10" ht="15.75" customHeight="1" x14ac:dyDescent="0.2">
      <c r="A110" s="21" t="s">
        <v>386</v>
      </c>
      <c r="B110" s="234">
        <f>'Fremtind Livsforsikring'!B110+'Danica Pensjonsforsikring'!B110+'DNB Livsforsikring'!B110+'Eika Forsikring AS'!B110+'Frende Livsforsikring'!B110+'Frende Skadeforsikring'!B110+'Gjensidige Forsikring'!B110+'Gjensidige Pensjon'!B110+'Handelsbanken Liv'!B110+'If Skadeforsikring NUF'!B110+KLP!B110+'DNB Bedriftspensjon'!B110+'KLP Skadeforsikring AS'!B110+'Landkreditt Forsikring'!B110+Insr!B110+'Nordea Liv '!B110+'Oslo Pensjonsforsikring'!B110+'Protector Forsikring'!B110+'SHB Liv'!B110+'Sparebank 1'!B110+'Storebrand Livsforsikring'!B110+'Telenor Forsikring'!B110+'Tryg Forsikring'!B110+'WaterCircle F'!B110</f>
        <v>254520.97074000002</v>
      </c>
      <c r="C110" s="234">
        <f>'Fremtind Livsforsikring'!C110+'Danica Pensjonsforsikring'!C110+'DNB Livsforsikring'!C110+'Eika Forsikring AS'!C110+'Frende Livsforsikring'!C110+'Frende Skadeforsikring'!C110+'Gjensidige Forsikring'!C110+'Gjensidige Pensjon'!C110+'Handelsbanken Liv'!C110+'If Skadeforsikring NUF'!C110+KLP!C110+'DNB Bedriftspensjon'!C110+'KLP Skadeforsikring AS'!C110+'Landkreditt Forsikring'!C110+Insr!C110+'Nordea Liv '!C110+'Oslo Pensjonsforsikring'!C110+'Protector Forsikring'!C110+'SHB Liv'!C110+'Sparebank 1'!C110+'Storebrand Livsforsikring'!C110+'Telenor Forsikring'!C110+'Tryg Forsikring'!C110+'WaterCircle F'!C110</f>
        <v>425956.26289000001</v>
      </c>
      <c r="D110" s="23">
        <f t="shared" si="23"/>
        <v>67.400000000000006</v>
      </c>
      <c r="E110" s="44"/>
      <c r="F110" s="44"/>
      <c r="G110" s="166"/>
      <c r="H110" s="237">
        <f t="shared" si="32"/>
        <v>254520.97074000002</v>
      </c>
      <c r="I110" s="237">
        <f t="shared" si="33"/>
        <v>425956.26289000001</v>
      </c>
      <c r="J110" s="23">
        <f t="shared" si="27"/>
        <v>67.400000000000006</v>
      </c>
    </row>
    <row r="111" spans="1:10" s="43" customFormat="1" ht="15.75" customHeight="1" x14ac:dyDescent="0.2">
      <c r="A111" s="13" t="s">
        <v>366</v>
      </c>
      <c r="B111" s="308">
        <f>'Fremtind Livsforsikring'!B111+'Danica Pensjonsforsikring'!B111+'DNB Livsforsikring'!B111+'Eika Forsikring AS'!B111+'Frende Livsforsikring'!B111+'Frende Skadeforsikring'!B111+'Gjensidige Forsikring'!B111+'Gjensidige Pensjon'!B111+'Handelsbanken Liv'!B111+'If Skadeforsikring NUF'!B111+KLP!B111+'DNB Bedriftspensjon'!B111+'KLP Skadeforsikring AS'!B111+'Landkreditt Forsikring'!B111+Insr!B111+'Nordea Liv '!B111+'Oslo Pensjonsforsikring'!B111+'Protector Forsikring'!B111+'SHB Liv'!B111+'Sparebank 1'!B111+'Storebrand Livsforsikring'!B111+'Telenor Forsikring'!B111+'Tryg Forsikring'!B111+'WaterCircle F'!B111</f>
        <v>379040.60068999999</v>
      </c>
      <c r="C111" s="308">
        <f>'Fremtind Livsforsikring'!C111+'Danica Pensjonsforsikring'!C111+'DNB Livsforsikring'!C111+'Eika Forsikring AS'!C111+'Frende Livsforsikring'!C111+'Frende Skadeforsikring'!C111+'Gjensidige Forsikring'!C111+'Gjensidige Pensjon'!C111+'Handelsbanken Liv'!C111+'If Skadeforsikring NUF'!C111+KLP!C111+'DNB Bedriftspensjon'!C111+'KLP Skadeforsikring AS'!C111+'Landkreditt Forsikring'!C111+Insr!C111+'Nordea Liv '!C111+'Oslo Pensjonsforsikring'!C111+'Protector Forsikring'!C111+'SHB Liv'!C111+'Sparebank 1'!C111+'Storebrand Livsforsikring'!C111+'Telenor Forsikring'!C111+'Tryg Forsikring'!C111+'WaterCircle F'!C111</f>
        <v>664553.65385999996</v>
      </c>
      <c r="D111" s="24">
        <f t="shared" si="23"/>
        <v>75.3</v>
      </c>
      <c r="E111" s="236">
        <f>'Fremtind Livsforsikring'!F111+'Danica Pensjonsforsikring'!F111+'DNB Livsforsikring'!F111+'Eika Forsikring AS'!F111+'Frende Livsforsikring'!F111+'Frende Skadeforsikring'!F111+'Gjensidige Forsikring'!F111+'Gjensidige Pensjon'!F111+'Handelsbanken Liv'!F111+'If Skadeforsikring NUF'!F111+KLP!F111+'DNB Bedriftspensjon'!F111+'KLP Skadeforsikring AS'!F111+'Landkreditt Forsikring'!F111+Insr!F111+'Nordea Liv '!F111+'Oslo Pensjonsforsikring'!F111+'Protector Forsikring'!F111+'SHB Liv'!F111+'Sparebank 1'!F111+'Storebrand Livsforsikring'!F111+'Telenor Forsikring'!F111+'Tryg Forsikring'!F111+'WaterCircle F'!F111</f>
        <v>11036026.356990002</v>
      </c>
      <c r="F111" s="236">
        <f>'Fremtind Livsforsikring'!G111+'Danica Pensjonsforsikring'!G111+'DNB Livsforsikring'!G111+'Eika Forsikring AS'!G111+'Frende Livsforsikring'!G111+'Frende Skadeforsikring'!G111+'Gjensidige Forsikring'!G111+'Gjensidige Pensjon'!G111+'Handelsbanken Liv'!G111+'If Skadeforsikring NUF'!G111+KLP!G111+'DNB Bedriftspensjon'!G111+'KLP Skadeforsikring AS'!G111+'Landkreditt Forsikring'!G111+Insr!G111+'Nordea Liv '!G111+'Oslo Pensjonsforsikring'!G111+'Protector Forsikring'!G111+'SHB Liv'!G111+'Sparebank 1'!G111+'Storebrand Livsforsikring'!G111+'Telenor Forsikring'!G111+'Tryg Forsikring'!G111+'WaterCircle F'!G111</f>
        <v>14745075.340380002</v>
      </c>
      <c r="G111" s="171">
        <f>'Fremtind Livsforsikring'!H111+'Danica Pensjonsforsikring'!H111+'DNB Livsforsikring'!H111+'Eika Forsikring AS'!H111+'Frende Livsforsikring'!H111+'Frende Skadeforsikring'!H111+'Gjensidige Forsikring'!H111+'Gjensidige Pensjon'!H111+'Handelsbanken Liv'!H111+'If Skadeforsikring NUF'!H111+KLP!H111+'DNB Bedriftspensjon'!H111+'KLP Skadeforsikring AS'!H111+'Landkreditt Forsikring'!H111+Insr!H111+'Nordea Liv '!H111+'Oslo Pensjonsforsikring'!H111+'Protector Forsikring'!H111+'SHB Liv'!H111+'Sparebank 1'!H111+'Storebrand Livsforsikring'!H111+'Telenor Forsikring'!H111+'Tryg Forsikring'!H111</f>
        <v>85.1</v>
      </c>
      <c r="H111" s="329">
        <f t="shared" si="32"/>
        <v>11415066.957680002</v>
      </c>
      <c r="I111" s="329">
        <f t="shared" si="33"/>
        <v>15409628.994240001</v>
      </c>
      <c r="J111" s="24">
        <f t="shared" si="27"/>
        <v>35</v>
      </c>
    </row>
    <row r="112" spans="1:10" ht="15.75" customHeight="1" x14ac:dyDescent="0.2">
      <c r="A112" s="21" t="s">
        <v>9</v>
      </c>
      <c r="B112" s="234">
        <f>'Fremtind Livsforsikring'!B112+'Danica Pensjonsforsikring'!B112+'DNB Livsforsikring'!B112+'Eika Forsikring AS'!B112+'Frende Livsforsikring'!B112+'Frende Skadeforsikring'!B112+'Gjensidige Forsikring'!B112+'Gjensidige Pensjon'!B112+'Handelsbanken Liv'!B112+'If Skadeforsikring NUF'!B112+KLP!B112+'DNB Bedriftspensjon'!B112+'KLP Skadeforsikring AS'!B112+'Landkreditt Forsikring'!B112+Insr!B112+'Nordea Liv '!B112+'Oslo Pensjonsforsikring'!B112+'Protector Forsikring'!B112+'SHB Liv'!B112+'Sparebank 1'!B112+'Storebrand Livsforsikring'!B112+'Telenor Forsikring'!B112+'Tryg Forsikring'!B112+'WaterCircle F'!B112</f>
        <v>302508.10580999998</v>
      </c>
      <c r="C112" s="234">
        <f>'Fremtind Livsforsikring'!C112+'Danica Pensjonsforsikring'!C112+'DNB Livsforsikring'!C112+'Eika Forsikring AS'!C112+'Frende Livsforsikring'!C112+'Frende Skadeforsikring'!C112+'Gjensidige Forsikring'!C112+'Gjensidige Pensjon'!C112+'Handelsbanken Liv'!C112+'If Skadeforsikring NUF'!C112+KLP!C112+'DNB Bedriftspensjon'!C112+'KLP Skadeforsikring AS'!C112+'Landkreditt Forsikring'!C112+Insr!C112+'Nordea Liv '!C112+'Oslo Pensjonsforsikring'!C112+'Protector Forsikring'!C112+'SHB Liv'!C112+'Sparebank 1'!C112+'Storebrand Livsforsikring'!C112+'Telenor Forsikring'!C112+'Tryg Forsikring'!C112+'WaterCircle F'!C112</f>
        <v>263579.68152999994</v>
      </c>
      <c r="D112" s="23">
        <f t="shared" ref="D112:D125" si="38">IF(B112=0, "    ---- ", IF(ABS(ROUND(100/B112*C112-100,1))&lt;999,ROUND(100/B112*C112-100,1),IF(ROUND(100/B112*C112-100,1)&gt;999,999,-999)))</f>
        <v>-12.9</v>
      </c>
      <c r="E112" s="44">
        <f>'Fremtind Livsforsikring'!F112+'Danica Pensjonsforsikring'!F112+'DNB Livsforsikring'!F112+'Eika Forsikring AS'!F112+'Frende Livsforsikring'!F112+'Frende Skadeforsikring'!F112+'Gjensidige Forsikring'!F112+'Gjensidige Pensjon'!F112+'Handelsbanken Liv'!F112+'If Skadeforsikring NUF'!F112+KLP!F112+'DNB Bedriftspensjon'!F112+'KLP Skadeforsikring AS'!F112+'Landkreditt Forsikring'!F112+Insr!F112+'Nordea Liv '!F112+'Oslo Pensjonsforsikring'!F112+'Protector Forsikring'!F112+'SHB Liv'!F112+'Sparebank 1'!F112+'Storebrand Livsforsikring'!F112+'Telenor Forsikring'!F112+'Tryg Forsikring'!F112+'WaterCircle F'!F112</f>
        <v>5871.0330000000004</v>
      </c>
      <c r="F112" s="44">
        <f>'Fremtind Livsforsikring'!G112+'Danica Pensjonsforsikring'!G112+'DNB Livsforsikring'!G112+'Eika Forsikring AS'!G112+'Frende Livsforsikring'!G112+'Frende Skadeforsikring'!G112+'Gjensidige Forsikring'!G112+'Gjensidige Pensjon'!G112+'Handelsbanken Liv'!G112+'If Skadeforsikring NUF'!G112+KLP!G112+'DNB Bedriftspensjon'!G112+'KLP Skadeforsikring AS'!G112+'Landkreditt Forsikring'!G112+Insr!G112+'Nordea Liv '!G112+'Oslo Pensjonsforsikring'!G112+'Protector Forsikring'!G112+'SHB Liv'!G112+'Sparebank 1'!G112+'Storebrand Livsforsikring'!G112+'Telenor Forsikring'!G112+'Tryg Forsikring'!G112+'WaterCircle F'!G112</f>
        <v>4186.2830000000004</v>
      </c>
      <c r="G112" s="166">
        <f>'Fremtind Livsforsikring'!H112+'Danica Pensjonsforsikring'!H112+'DNB Livsforsikring'!H112+'Eika Forsikring AS'!H112+'Frende Livsforsikring'!H112+'Frende Skadeforsikring'!H112+'Gjensidige Forsikring'!H112+'Gjensidige Pensjon'!H112+'Handelsbanken Liv'!H112+'If Skadeforsikring NUF'!H112+KLP!H112+'DNB Bedriftspensjon'!H112+'KLP Skadeforsikring AS'!H112+'Landkreditt Forsikring'!H112+Insr!H112+'Nordea Liv '!H112+'Oslo Pensjonsforsikring'!H112+'Protector Forsikring'!H112+'SHB Liv'!H112+'Sparebank 1'!H112+'Storebrand Livsforsikring'!H112+'Telenor Forsikring'!H112+'Tryg Forsikring'!H112</f>
        <v>-28.7</v>
      </c>
      <c r="H112" s="237">
        <f t="shared" ref="H112:H125" si="39">SUM(B112,E112)</f>
        <v>308379.13880999997</v>
      </c>
      <c r="I112" s="237">
        <f t="shared" ref="I112:I125" si="40">SUM(C112,F112)</f>
        <v>267765.96452999994</v>
      </c>
      <c r="J112" s="23">
        <f t="shared" ref="J112:J125" si="41">IF(H112=0, "    ---- ", IF(ABS(ROUND(100/H112*I112-100,1))&lt;999,ROUND(100/H112*I112-100,1),IF(ROUND(100/H112*I112-100,1)&gt;999,999,-999)))</f>
        <v>-13.2</v>
      </c>
    </row>
    <row r="113" spans="1:10" ht="15.75" customHeight="1" x14ac:dyDescent="0.2">
      <c r="A113" s="21" t="s">
        <v>10</v>
      </c>
      <c r="B113" s="234">
        <f>'Fremtind Livsforsikring'!B113+'Danica Pensjonsforsikring'!B113+'DNB Livsforsikring'!B113+'Eika Forsikring AS'!B113+'Frende Livsforsikring'!B113+'Frende Skadeforsikring'!B113+'Gjensidige Forsikring'!B113+'Gjensidige Pensjon'!B113+'Handelsbanken Liv'!B113+'If Skadeforsikring NUF'!B113+KLP!B113+'DNB Bedriftspensjon'!B113+'KLP Skadeforsikring AS'!B113+'Landkreditt Forsikring'!B113+Insr!B113+'Nordea Liv '!B113+'Oslo Pensjonsforsikring'!B113+'Protector Forsikring'!B113+'SHB Liv'!B113+'Sparebank 1'!B113+'Storebrand Livsforsikring'!B113+'Telenor Forsikring'!B113+'Tryg Forsikring'!B113+'WaterCircle F'!B113</f>
        <v>1392.58835</v>
      </c>
      <c r="C113" s="234">
        <f>'Fremtind Livsforsikring'!C113+'Danica Pensjonsforsikring'!C113+'DNB Livsforsikring'!C113+'Eika Forsikring AS'!C113+'Frende Livsforsikring'!C113+'Frende Skadeforsikring'!C113+'Gjensidige Forsikring'!C113+'Gjensidige Pensjon'!C113+'Handelsbanken Liv'!C113+'If Skadeforsikring NUF'!C113+KLP!C113+'DNB Bedriftspensjon'!C113+'KLP Skadeforsikring AS'!C113+'Landkreditt Forsikring'!C113+Insr!C113+'Nordea Liv '!C113+'Oslo Pensjonsforsikring'!C113+'Protector Forsikring'!C113+'SHB Liv'!C113+'Sparebank 1'!C113+'Storebrand Livsforsikring'!C113+'Telenor Forsikring'!C113+'Tryg Forsikring'!C113+'WaterCircle F'!C113</f>
        <v>5095.6072700000004</v>
      </c>
      <c r="D113" s="23">
        <f t="shared" si="38"/>
        <v>265.89999999999998</v>
      </c>
      <c r="E113" s="44">
        <f>'Fremtind Livsforsikring'!F113+'Danica Pensjonsforsikring'!F113+'DNB Livsforsikring'!F113+'Eika Forsikring AS'!F113+'Frende Livsforsikring'!F113+'Frende Skadeforsikring'!F113+'Gjensidige Forsikring'!F113+'Gjensidige Pensjon'!F113+'Handelsbanken Liv'!F113+'If Skadeforsikring NUF'!F113+KLP!F113+'DNB Bedriftspensjon'!F113+'KLP Skadeforsikring AS'!F113+'Landkreditt Forsikring'!F113+Insr!F113+'Nordea Liv '!F113+'Oslo Pensjonsforsikring'!F113+'Protector Forsikring'!F113+'SHB Liv'!F113+'Sparebank 1'!F113+'Storebrand Livsforsikring'!F113+'Telenor Forsikring'!F113+'Tryg Forsikring'!F113+'WaterCircle F'!F113</f>
        <v>10999269.363010002</v>
      </c>
      <c r="F113" s="44">
        <f>'Fremtind Livsforsikring'!G113+'Danica Pensjonsforsikring'!G113+'DNB Livsforsikring'!G113+'Eika Forsikring AS'!G113+'Frende Livsforsikring'!G113+'Frende Skadeforsikring'!G113+'Gjensidige Forsikring'!G113+'Gjensidige Pensjon'!G113+'Handelsbanken Liv'!G113+'If Skadeforsikring NUF'!G113+KLP!G113+'DNB Bedriftspensjon'!G113+'KLP Skadeforsikring AS'!G113+'Landkreditt Forsikring'!G113+Insr!G113+'Nordea Liv '!G113+'Oslo Pensjonsforsikring'!G113+'Protector Forsikring'!G113+'SHB Liv'!G113+'Sparebank 1'!G113+'Storebrand Livsforsikring'!G113+'Telenor Forsikring'!G113+'Tryg Forsikring'!G113+'WaterCircle F'!G113</f>
        <v>14671941.870380001</v>
      </c>
      <c r="G113" s="171">
        <f>'Fremtind Livsforsikring'!H113+'Danica Pensjonsforsikring'!H113+'DNB Livsforsikring'!H113+'Eika Forsikring AS'!H113+'Frende Livsforsikring'!H113+'Frende Skadeforsikring'!H113+'Gjensidige Forsikring'!H113+'Gjensidige Pensjon'!H113+'Handelsbanken Liv'!H113+'If Skadeforsikring NUF'!H113+KLP!H113+'DNB Bedriftspensjon'!H113+'KLP Skadeforsikring AS'!H113+'Landkreditt Forsikring'!H113+Insr!H113+'Nordea Liv '!H113+'Oslo Pensjonsforsikring'!H113+'Protector Forsikring'!H113+'SHB Liv'!H113+'Sparebank 1'!H113+'Storebrand Livsforsikring'!H113+'Telenor Forsikring'!H113+'Tryg Forsikring'!H113</f>
        <v>84.899999999999991</v>
      </c>
      <c r="H113" s="237">
        <f t="shared" si="39"/>
        <v>11000661.951360002</v>
      </c>
      <c r="I113" s="237">
        <f t="shared" si="40"/>
        <v>14677037.477650002</v>
      </c>
      <c r="J113" s="24">
        <f t="shared" si="41"/>
        <v>33.4</v>
      </c>
    </row>
    <row r="114" spans="1:10" ht="15.75" customHeight="1" x14ac:dyDescent="0.2">
      <c r="A114" s="21" t="s">
        <v>26</v>
      </c>
      <c r="B114" s="234">
        <f>'Fremtind Livsforsikring'!B114+'Danica Pensjonsforsikring'!B114+'DNB Livsforsikring'!B114+'Eika Forsikring AS'!B114+'Frende Livsforsikring'!B114+'Frende Skadeforsikring'!B114+'Gjensidige Forsikring'!B114+'Gjensidige Pensjon'!B114+'Handelsbanken Liv'!B114+'If Skadeforsikring NUF'!B114+KLP!B114+'DNB Bedriftspensjon'!B114+'KLP Skadeforsikring AS'!B114+'Landkreditt Forsikring'!B114+Insr!B114+'Nordea Liv '!B114+'Oslo Pensjonsforsikring'!B114+'Protector Forsikring'!B114+'SHB Liv'!B114+'Sparebank 1'!B114+'Storebrand Livsforsikring'!B114+'Telenor Forsikring'!B114+'Tryg Forsikring'!B114+'WaterCircle F'!B114</f>
        <v>75139.906530000007</v>
      </c>
      <c r="C114" s="234">
        <f>'Fremtind Livsforsikring'!C114+'Danica Pensjonsforsikring'!C114+'DNB Livsforsikring'!C114+'Eika Forsikring AS'!C114+'Frende Livsforsikring'!C114+'Frende Skadeforsikring'!C114+'Gjensidige Forsikring'!C114+'Gjensidige Pensjon'!C114+'Handelsbanken Liv'!C114+'If Skadeforsikring NUF'!C114+KLP!C114+'DNB Bedriftspensjon'!C114+'KLP Skadeforsikring AS'!C114+'Landkreditt Forsikring'!C114+Insr!C114+'Nordea Liv '!C114+'Oslo Pensjonsforsikring'!C114+'Protector Forsikring'!C114+'SHB Liv'!C114+'Sparebank 1'!C114+'Storebrand Livsforsikring'!C114+'Telenor Forsikring'!C114+'Tryg Forsikring'!C114+'WaterCircle F'!C114</f>
        <v>395878.36505999998</v>
      </c>
      <c r="D114" s="23">
        <f t="shared" si="38"/>
        <v>426.9</v>
      </c>
      <c r="E114" s="44">
        <f>'Fremtind Livsforsikring'!F114+'Danica Pensjonsforsikring'!F114+'DNB Livsforsikring'!F114+'Eika Forsikring AS'!F114+'Frende Livsforsikring'!F114+'Frende Skadeforsikring'!F114+'Gjensidige Forsikring'!F114+'Gjensidige Pensjon'!F114+'Handelsbanken Liv'!F114+'If Skadeforsikring NUF'!F114+KLP!F114+'DNB Bedriftspensjon'!F114+'KLP Skadeforsikring AS'!F114+'Landkreditt Forsikring'!F114+Insr!F114+'Nordea Liv '!F114+'Oslo Pensjonsforsikring'!F114+'Protector Forsikring'!F114+'SHB Liv'!F114+'Sparebank 1'!F114+'Storebrand Livsforsikring'!F114+'Telenor Forsikring'!F114+'Tryg Forsikring'!F114+'WaterCircle F'!F114</f>
        <v>30885.96098</v>
      </c>
      <c r="F114" s="44">
        <f>'Fremtind Livsforsikring'!G114+'Danica Pensjonsforsikring'!G114+'DNB Livsforsikring'!G114+'Eika Forsikring AS'!G114+'Frende Livsforsikring'!G114+'Frende Skadeforsikring'!G114+'Gjensidige Forsikring'!G114+'Gjensidige Pensjon'!G114+'Handelsbanken Liv'!G114+'If Skadeforsikring NUF'!G114+KLP!G114+'DNB Bedriftspensjon'!G114+'KLP Skadeforsikring AS'!G114+'Landkreditt Forsikring'!G114+Insr!G114+'Nordea Liv '!G114+'Oslo Pensjonsforsikring'!G114+'Protector Forsikring'!G114+'SHB Liv'!G114+'Sparebank 1'!G114+'Storebrand Livsforsikring'!G114+'Telenor Forsikring'!G114+'Tryg Forsikring'!G114+'WaterCircle F'!G114</f>
        <v>68947.187000000005</v>
      </c>
      <c r="G114" s="171">
        <f>'Fremtind Livsforsikring'!H114+'Danica Pensjonsforsikring'!H114+'DNB Livsforsikring'!H114+'Eika Forsikring AS'!H114+'Frende Livsforsikring'!H114+'Frende Skadeforsikring'!H114+'Gjensidige Forsikring'!H114+'Gjensidige Pensjon'!H114+'Handelsbanken Liv'!H114+'If Skadeforsikring NUF'!H114+KLP!H114+'DNB Bedriftspensjon'!H114+'KLP Skadeforsikring AS'!H114+'Landkreditt Forsikring'!H114+Insr!H114+'Nordea Liv '!H114+'Oslo Pensjonsforsikring'!H114+'Protector Forsikring'!H114+'SHB Liv'!H114+'Sparebank 1'!H114+'Storebrand Livsforsikring'!H114+'Telenor Forsikring'!H114+'Tryg Forsikring'!H114</f>
        <v>899.6</v>
      </c>
      <c r="H114" s="237">
        <f t="shared" si="39"/>
        <v>106025.86751000001</v>
      </c>
      <c r="I114" s="237">
        <f t="shared" si="40"/>
        <v>464825.55206000002</v>
      </c>
      <c r="J114" s="24">
        <f t="shared" si="41"/>
        <v>338.4</v>
      </c>
    </row>
    <row r="115" spans="1:10" ht="15.75" customHeight="1" x14ac:dyDescent="0.2">
      <c r="A115" s="296" t="s">
        <v>15</v>
      </c>
      <c r="B115" s="235"/>
      <c r="C115" s="235"/>
      <c r="D115" s="27"/>
      <c r="E115" s="235"/>
      <c r="F115" s="235"/>
      <c r="G115" s="166"/>
      <c r="H115" s="235"/>
      <c r="I115" s="235"/>
      <c r="J115" s="23"/>
    </row>
    <row r="116" spans="1:10" ht="15.75" customHeight="1" x14ac:dyDescent="0.2">
      <c r="A116" s="21" t="s">
        <v>387</v>
      </c>
      <c r="B116" s="234">
        <f>'Fremtind Livsforsikring'!B116+'Danica Pensjonsforsikring'!B116+'DNB Livsforsikring'!B116+'Eika Forsikring AS'!B116+'Frende Livsforsikring'!B116+'Frende Skadeforsikring'!B116+'Gjensidige Forsikring'!B116+'Gjensidige Pensjon'!B116+'Handelsbanken Liv'!B116+'If Skadeforsikring NUF'!B116+KLP!B116+'DNB Bedriftspensjon'!B116+'KLP Skadeforsikring AS'!B116+'Landkreditt Forsikring'!B116+Insr!B116+'Nordea Liv '!B116+'Oslo Pensjonsforsikring'!B116+'Protector Forsikring'!B116+'SHB Liv'!B116+'Sparebank 1'!B116+'Storebrand Livsforsikring'!B116+'Telenor Forsikring'!B116+'Tryg Forsikring'!B116+'WaterCircle F'!B116</f>
        <v>109506.11413</v>
      </c>
      <c r="C116" s="234">
        <f>'Fremtind Livsforsikring'!C116+'Danica Pensjonsforsikring'!C116+'DNB Livsforsikring'!C116+'Eika Forsikring AS'!C116+'Frende Livsforsikring'!C116+'Frende Skadeforsikring'!C116+'Gjensidige Forsikring'!C116+'Gjensidige Pensjon'!C116+'Handelsbanken Liv'!C116+'If Skadeforsikring NUF'!C116+KLP!C116+'DNB Bedriftspensjon'!C116+'KLP Skadeforsikring AS'!C116+'Landkreditt Forsikring'!C116+Insr!C116+'Nordea Liv '!C116+'Oslo Pensjonsforsikring'!C116+'Protector Forsikring'!C116+'SHB Liv'!C116+'Sparebank 1'!C116+'Storebrand Livsforsikring'!C116+'Telenor Forsikring'!C116+'Tryg Forsikring'!C116+'WaterCircle F'!C116</f>
        <v>63722.621279999999</v>
      </c>
      <c r="D116" s="23">
        <f t="shared" si="38"/>
        <v>-41.8</v>
      </c>
      <c r="E116" s="44">
        <f>'Fremtind Livsforsikring'!F116+'Danica Pensjonsforsikring'!F116+'DNB Livsforsikring'!F116+'Eika Forsikring AS'!F116+'Frende Livsforsikring'!F116+'Frende Skadeforsikring'!F116+'Gjensidige Forsikring'!F116+'Gjensidige Pensjon'!F116+'Handelsbanken Liv'!F116+'If Skadeforsikring NUF'!F116+KLP!F116+'DNB Bedriftspensjon'!F116+'KLP Skadeforsikring AS'!F116+'Landkreditt Forsikring'!F116+Insr!F116+'Nordea Liv '!F116+'Oslo Pensjonsforsikring'!F116+'Protector Forsikring'!F116+'SHB Liv'!F116+'Sparebank 1'!F116+'Storebrand Livsforsikring'!F116+'Telenor Forsikring'!F116+'Tryg Forsikring'!F116+'WaterCircle F'!F116</f>
        <v>5871.0330000000004</v>
      </c>
      <c r="F116" s="44">
        <f>'Fremtind Livsforsikring'!G116+'Danica Pensjonsforsikring'!G116+'DNB Livsforsikring'!G116+'Eika Forsikring AS'!G116+'Frende Livsforsikring'!G116+'Frende Skadeforsikring'!G116+'Gjensidige Forsikring'!G116+'Gjensidige Pensjon'!G116+'Handelsbanken Liv'!G116+'If Skadeforsikring NUF'!G116+KLP!G116+'DNB Bedriftspensjon'!G116+'KLP Skadeforsikring AS'!G116+'Landkreditt Forsikring'!G116+Insr!G116+'Nordea Liv '!G116+'Oslo Pensjonsforsikring'!G116+'Protector Forsikring'!G116+'SHB Liv'!G116+'Sparebank 1'!G116+'Storebrand Livsforsikring'!G116+'Telenor Forsikring'!G116+'Tryg Forsikring'!G116+'WaterCircle F'!G116</f>
        <v>4186.2830000000004</v>
      </c>
      <c r="G116" s="166">
        <f>'Fremtind Livsforsikring'!H116+'Danica Pensjonsforsikring'!H116+'DNB Livsforsikring'!H116+'Eika Forsikring AS'!H116+'Frende Livsforsikring'!H116+'Frende Skadeforsikring'!H116+'Gjensidige Forsikring'!H116+'Gjensidige Pensjon'!H116+'Handelsbanken Liv'!H116+'If Skadeforsikring NUF'!H116+KLP!H116+'DNB Bedriftspensjon'!H116+'KLP Skadeforsikring AS'!H116+'Landkreditt Forsikring'!H116+Insr!H116+'Nordea Liv '!H116+'Oslo Pensjonsforsikring'!H116+'Protector Forsikring'!H116+'SHB Liv'!H116+'Sparebank 1'!H116+'Storebrand Livsforsikring'!H116+'Telenor Forsikring'!H116+'Tryg Forsikring'!H116</f>
        <v>-28.7</v>
      </c>
      <c r="H116" s="237">
        <f t="shared" si="39"/>
        <v>115377.14713</v>
      </c>
      <c r="I116" s="237">
        <f t="shared" si="40"/>
        <v>67908.904280000002</v>
      </c>
      <c r="J116" s="23">
        <f t="shared" si="41"/>
        <v>-41.1</v>
      </c>
    </row>
    <row r="117" spans="1:10" ht="15.75" customHeight="1" x14ac:dyDescent="0.2">
      <c r="A117" s="21" t="s">
        <v>388</v>
      </c>
      <c r="B117" s="234"/>
      <c r="C117" s="234"/>
      <c r="D117" s="23"/>
      <c r="E117" s="44">
        <f>'Fremtind Livsforsikring'!F117+'Danica Pensjonsforsikring'!F117+'DNB Livsforsikring'!F117+'Eika Forsikring AS'!F117+'Frende Livsforsikring'!F117+'Frende Skadeforsikring'!F117+'Gjensidige Forsikring'!F117+'Gjensidige Pensjon'!F117+'Handelsbanken Liv'!F117+'If Skadeforsikring NUF'!F117+KLP!F117+'DNB Bedriftspensjon'!F117+'KLP Skadeforsikring AS'!F117+'Landkreditt Forsikring'!F117+Insr!F117+'Nordea Liv '!F117+'Oslo Pensjonsforsikring'!F117+'Protector Forsikring'!F117+'SHB Liv'!F117+'Sparebank 1'!F117+'Storebrand Livsforsikring'!F117+'Telenor Forsikring'!F117+'Tryg Forsikring'!F117+'WaterCircle F'!F117</f>
        <v>2146859.7734000003</v>
      </c>
      <c r="F117" s="44">
        <f>'Fremtind Livsforsikring'!G117+'Danica Pensjonsforsikring'!G117+'DNB Livsforsikring'!G117+'Eika Forsikring AS'!G117+'Frende Livsforsikring'!G117+'Frende Skadeforsikring'!G117+'Gjensidige Forsikring'!G117+'Gjensidige Pensjon'!G117+'Handelsbanken Liv'!G117+'If Skadeforsikring NUF'!G117+KLP!G117+'DNB Bedriftspensjon'!G117+'KLP Skadeforsikring AS'!G117+'Landkreditt Forsikring'!G117+Insr!G117+'Nordea Liv '!G117+'Oslo Pensjonsforsikring'!G117+'Protector Forsikring'!G117+'SHB Liv'!G117+'Sparebank 1'!G117+'Storebrand Livsforsikring'!G117+'Telenor Forsikring'!G117+'Tryg Forsikring'!G117+'WaterCircle F'!G117</f>
        <v>2368350.4905699999</v>
      </c>
      <c r="G117" s="166">
        <f>'Fremtind Livsforsikring'!H117+'Danica Pensjonsforsikring'!H117+'DNB Livsforsikring'!H117+'Eika Forsikring AS'!H117+'Frende Livsforsikring'!H117+'Frende Skadeforsikring'!H117+'Gjensidige Forsikring'!H117+'Gjensidige Pensjon'!H117+'Handelsbanken Liv'!H117+'If Skadeforsikring NUF'!H117+KLP!H117+'DNB Bedriftspensjon'!H117+'KLP Skadeforsikring AS'!H117+'Landkreditt Forsikring'!H117+Insr!H117+'Nordea Liv '!H117+'Oslo Pensjonsforsikring'!H117+'Protector Forsikring'!H117+'SHB Liv'!H117+'Sparebank 1'!H117+'Storebrand Livsforsikring'!H117+'Telenor Forsikring'!H117+'Tryg Forsikring'!H117</f>
        <v>96.9</v>
      </c>
      <c r="H117" s="237">
        <f t="shared" si="39"/>
        <v>2146859.7734000003</v>
      </c>
      <c r="I117" s="237">
        <f t="shared" si="40"/>
        <v>2368350.4905699999</v>
      </c>
      <c r="J117" s="23">
        <f t="shared" si="41"/>
        <v>10.3</v>
      </c>
    </row>
    <row r="118" spans="1:10" ht="15.75" customHeight="1" x14ac:dyDescent="0.2">
      <c r="A118" s="21" t="s">
        <v>386</v>
      </c>
      <c r="B118" s="234"/>
      <c r="C118" s="234"/>
      <c r="D118" s="23"/>
      <c r="E118" s="44"/>
      <c r="F118" s="44"/>
      <c r="G118" s="166"/>
      <c r="H118" s="237"/>
      <c r="I118" s="237"/>
      <c r="J118" s="23"/>
    </row>
    <row r="119" spans="1:10" s="43" customFormat="1" ht="15.75" customHeight="1" x14ac:dyDescent="0.2">
      <c r="A119" s="13" t="s">
        <v>367</v>
      </c>
      <c r="B119" s="329">
        <f>'Fremtind Livsforsikring'!B119+'Danica Pensjonsforsikring'!B119+'DNB Livsforsikring'!B119+'Eika Forsikring AS'!B119+'Frende Livsforsikring'!B119+'Frende Skadeforsikring'!B119+'Gjensidige Forsikring'!B119+'Gjensidige Pensjon'!B119+'Handelsbanken Liv'!B119+'If Skadeforsikring NUF'!B119+KLP!B119+'DNB Bedriftspensjon'!B119+'KLP Skadeforsikring AS'!B119+'Landkreditt Forsikring'!B119+Insr!B119+'Nordea Liv '!B119+'Oslo Pensjonsforsikring'!B119+'Protector Forsikring'!B119+'SHB Liv'!B119+'Sparebank 1'!B119+'Storebrand Livsforsikring'!B119+'Telenor Forsikring'!B119+'Tryg Forsikring'!B119+'WaterCircle F'!B119</f>
        <v>388362.41899999988</v>
      </c>
      <c r="C119" s="329">
        <f>'Fremtind Livsforsikring'!C119+'Danica Pensjonsforsikring'!C119+'DNB Livsforsikring'!C119+'Eika Forsikring AS'!C119+'Frende Livsforsikring'!C119+'Frende Skadeforsikring'!C119+'Gjensidige Forsikring'!C119+'Gjensidige Pensjon'!C119+'Handelsbanken Liv'!C119+'If Skadeforsikring NUF'!C119+KLP!C119+'DNB Bedriftspensjon'!C119+'KLP Skadeforsikring AS'!C119+'Landkreditt Forsikring'!C119+Insr!C119+'Nordea Liv '!C119+'Oslo Pensjonsforsikring'!C119+'Protector Forsikring'!C119+'SHB Liv'!C119+'Sparebank 1'!C119+'Storebrand Livsforsikring'!C119+'Telenor Forsikring'!C119+'Tryg Forsikring'!C119+'WaterCircle F'!C119</f>
        <v>735115.97393999994</v>
      </c>
      <c r="D119" s="24">
        <f t="shared" si="38"/>
        <v>89.3</v>
      </c>
      <c r="E119" s="236">
        <f>'Fremtind Livsforsikring'!F119+'Danica Pensjonsforsikring'!F119+'DNB Livsforsikring'!F119+'Eika Forsikring AS'!F119+'Frende Livsforsikring'!F119+'Frende Skadeforsikring'!F119+'Gjensidige Forsikring'!F119+'Gjensidige Pensjon'!F119+'Handelsbanken Liv'!F119+'If Skadeforsikring NUF'!F119+KLP!F119+'DNB Bedriftspensjon'!F119+'KLP Skadeforsikring AS'!F119+'Landkreditt Forsikring'!F119+Insr!F119+'Nordea Liv '!F119+'Oslo Pensjonsforsikring'!F119+'Protector Forsikring'!F119+'SHB Liv'!F119+'Sparebank 1'!F119+'Storebrand Livsforsikring'!F119+'Telenor Forsikring'!F119+'Tryg Forsikring'!F119+'WaterCircle F'!F119</f>
        <v>11062987.154130001</v>
      </c>
      <c r="F119" s="236">
        <f>'Fremtind Livsforsikring'!G119+'Danica Pensjonsforsikring'!G119+'DNB Livsforsikring'!G119+'Eika Forsikring AS'!G119+'Frende Livsforsikring'!G119+'Frende Skadeforsikring'!G119+'Gjensidige Forsikring'!G119+'Gjensidige Pensjon'!G119+'Handelsbanken Liv'!G119+'If Skadeforsikring NUF'!G119+KLP!G119+'DNB Bedriftspensjon'!G119+'KLP Skadeforsikring AS'!G119+'Landkreditt Forsikring'!G119+Insr!G119+'Nordea Liv '!G119+'Oslo Pensjonsforsikring'!G119+'Protector Forsikring'!G119+'SHB Liv'!G119+'Sparebank 1'!G119+'Storebrand Livsforsikring'!G119+'Telenor Forsikring'!G119+'Tryg Forsikring'!G119+'WaterCircle F'!G119</f>
        <v>14665945.305569999</v>
      </c>
      <c r="G119" s="171">
        <f>'Fremtind Livsforsikring'!H119+'Danica Pensjonsforsikring'!H119+'DNB Livsforsikring'!H119+'Eika Forsikring AS'!H119+'Frende Livsforsikring'!H119+'Frende Skadeforsikring'!H119+'Gjensidige Forsikring'!H119+'Gjensidige Pensjon'!H119+'Handelsbanken Liv'!H119+'If Skadeforsikring NUF'!H119+KLP!H119+'DNB Bedriftspensjon'!H119+'KLP Skadeforsikring AS'!H119+'Landkreditt Forsikring'!H119+Insr!H119+'Nordea Liv '!H119+'Oslo Pensjonsforsikring'!H119+'Protector Forsikring'!H119+'SHB Liv'!H119+'Sparebank 1'!H119+'Storebrand Livsforsikring'!H119+'Telenor Forsikring'!H119+'Tryg Forsikring'!H119</f>
        <v>209.29999999999995</v>
      </c>
      <c r="H119" s="329">
        <f t="shared" si="39"/>
        <v>11451349.57313</v>
      </c>
      <c r="I119" s="329">
        <f t="shared" si="40"/>
        <v>15401061.279509999</v>
      </c>
      <c r="J119" s="24">
        <f t="shared" si="41"/>
        <v>34.5</v>
      </c>
    </row>
    <row r="120" spans="1:10" ht="15.75" customHeight="1" x14ac:dyDescent="0.2">
      <c r="A120" s="21" t="s">
        <v>9</v>
      </c>
      <c r="B120" s="237">
        <f>'Fremtind Livsforsikring'!B120+'Danica Pensjonsforsikring'!B120+'DNB Livsforsikring'!B120+'Eika Forsikring AS'!B120+'Frende Livsforsikring'!B120+'Frende Skadeforsikring'!B120+'Gjensidige Forsikring'!B120+'Gjensidige Pensjon'!B120+'Handelsbanken Liv'!B120+'If Skadeforsikring NUF'!B120+KLP!B120+'DNB Bedriftspensjon'!B120+'KLP Skadeforsikring AS'!B120+'Landkreditt Forsikring'!B120+Insr!B120+'Nordea Liv '!B120+'Oslo Pensjonsforsikring'!B120+'Protector Forsikring'!B120+'SHB Liv'!B120+'Sparebank 1'!B120+'Storebrand Livsforsikring'!B120+'Telenor Forsikring'!B120+'Tryg Forsikring'!B120+'WaterCircle F'!B120</f>
        <v>209650.64556999988</v>
      </c>
      <c r="C120" s="237">
        <f>'Fremtind Livsforsikring'!C120+'Danica Pensjonsforsikring'!C120+'DNB Livsforsikring'!C120+'Eika Forsikring AS'!C120+'Frende Livsforsikring'!C120+'Frende Skadeforsikring'!C120+'Gjensidige Forsikring'!C120+'Gjensidige Pensjon'!C120+'Handelsbanken Liv'!C120+'If Skadeforsikring NUF'!C120+KLP!C120+'DNB Bedriftspensjon'!C120+'KLP Skadeforsikring AS'!C120+'Landkreditt Forsikring'!C120+Insr!C120+'Nordea Liv '!C120+'Oslo Pensjonsforsikring'!C120+'Protector Forsikring'!C120+'SHB Liv'!C120+'Sparebank 1'!C120+'Storebrand Livsforsikring'!C120+'Telenor Forsikring'!C120+'Tryg Forsikring'!C120+'WaterCircle F'!C120</f>
        <v>562303.32900000003</v>
      </c>
      <c r="D120" s="23">
        <f t="shared" si="38"/>
        <v>168.2</v>
      </c>
      <c r="E120" s="44"/>
      <c r="F120" s="44"/>
      <c r="G120" s="166"/>
      <c r="H120" s="237">
        <f t="shared" si="39"/>
        <v>209650.64556999988</v>
      </c>
      <c r="I120" s="237">
        <f t="shared" si="40"/>
        <v>562303.32900000003</v>
      </c>
      <c r="J120" s="23">
        <f t="shared" si="41"/>
        <v>168.2</v>
      </c>
    </row>
    <row r="121" spans="1:10" ht="15.75" customHeight="1" x14ac:dyDescent="0.2">
      <c r="A121" s="21" t="s">
        <v>10</v>
      </c>
      <c r="B121" s="237">
        <f>'Fremtind Livsforsikring'!B121+'Danica Pensjonsforsikring'!B121+'DNB Livsforsikring'!B121+'Eika Forsikring AS'!B121+'Frende Livsforsikring'!B121+'Frende Skadeforsikring'!B121+'Gjensidige Forsikring'!B121+'Gjensidige Pensjon'!B121+'Handelsbanken Liv'!B121+'If Skadeforsikring NUF'!B121+KLP!B121+'DNB Bedriftspensjon'!B121+'KLP Skadeforsikring AS'!B121+'Landkreditt Forsikring'!B121+Insr!B121+'Nordea Liv '!B121+'Oslo Pensjonsforsikring'!B121+'Protector Forsikring'!B121+'SHB Liv'!B121+'Sparebank 1'!B121+'Storebrand Livsforsikring'!B121+'Telenor Forsikring'!B121+'Tryg Forsikring'!B121+'WaterCircle F'!B121</f>
        <v>34815.485439999997</v>
      </c>
      <c r="C121" s="237">
        <f>'Fremtind Livsforsikring'!C121+'Danica Pensjonsforsikring'!C121+'DNB Livsforsikring'!C121+'Eika Forsikring AS'!C121+'Frende Livsforsikring'!C121+'Frende Skadeforsikring'!C121+'Gjensidige Forsikring'!C121+'Gjensidige Pensjon'!C121+'Handelsbanken Liv'!C121+'If Skadeforsikring NUF'!C121+KLP!C121+'DNB Bedriftspensjon'!C121+'KLP Skadeforsikring AS'!C121+'Landkreditt Forsikring'!C121+Insr!C121+'Nordea Liv '!C121+'Oslo Pensjonsforsikring'!C121+'Protector Forsikring'!C121+'SHB Liv'!C121+'Sparebank 1'!C121+'Storebrand Livsforsikring'!C121+'Telenor Forsikring'!C121+'Tryg Forsikring'!C121+'WaterCircle F'!C121</f>
        <v>5506.1131000000005</v>
      </c>
      <c r="D121" s="23">
        <f t="shared" si="38"/>
        <v>-84.2</v>
      </c>
      <c r="E121" s="44">
        <f>'Fremtind Livsforsikring'!F121+'Danica Pensjonsforsikring'!F121+'DNB Livsforsikring'!F121+'Eika Forsikring AS'!F121+'Frende Livsforsikring'!F121+'Frende Skadeforsikring'!F121+'Gjensidige Forsikring'!F121+'Gjensidige Pensjon'!F121+'Handelsbanken Liv'!F121+'If Skadeforsikring NUF'!F121+KLP!F121+'DNB Bedriftspensjon'!F121+'KLP Skadeforsikring AS'!F121+'Landkreditt Forsikring'!F121+Insr!F121+'Nordea Liv '!F121+'Oslo Pensjonsforsikring'!F121+'Protector Forsikring'!F121+'SHB Liv'!F121+'Sparebank 1'!F121+'Storebrand Livsforsikring'!F121+'Telenor Forsikring'!F121+'Tryg Forsikring'!F121+'WaterCircle F'!F121</f>
        <v>11062987.154130001</v>
      </c>
      <c r="F121" s="44">
        <f>'Fremtind Livsforsikring'!G121+'Danica Pensjonsforsikring'!G121+'DNB Livsforsikring'!G121+'Eika Forsikring AS'!G121+'Frende Livsforsikring'!G121+'Frende Skadeforsikring'!G121+'Gjensidige Forsikring'!G121+'Gjensidige Pensjon'!G121+'Handelsbanken Liv'!G121+'If Skadeforsikring NUF'!G121+KLP!G121+'DNB Bedriftspensjon'!G121+'KLP Skadeforsikring AS'!G121+'Landkreditt Forsikring'!G121+Insr!G121+'Nordea Liv '!G121+'Oslo Pensjonsforsikring'!G121+'Protector Forsikring'!G121+'SHB Liv'!G121+'Sparebank 1'!G121+'Storebrand Livsforsikring'!G121+'Telenor Forsikring'!G121+'Tryg Forsikring'!G121+'WaterCircle F'!G121</f>
        <v>14665945.305569999</v>
      </c>
      <c r="G121" s="166">
        <f>'Fremtind Livsforsikring'!H121+'Danica Pensjonsforsikring'!H121+'DNB Livsforsikring'!H121+'Eika Forsikring AS'!H121+'Frende Livsforsikring'!H121+'Frende Skadeforsikring'!H121+'Gjensidige Forsikring'!H121+'Gjensidige Pensjon'!H121+'Handelsbanken Liv'!H121+'If Skadeforsikring NUF'!H121+KLP!H121+'DNB Bedriftspensjon'!H121+'KLP Skadeforsikring AS'!H121+'Landkreditt Forsikring'!H121+Insr!H121+'Nordea Liv '!H121+'Oslo Pensjonsforsikring'!H121+'Protector Forsikring'!H121+'SHB Liv'!H121+'Sparebank 1'!H121+'Storebrand Livsforsikring'!H121+'Telenor Forsikring'!H121+'Tryg Forsikring'!H121</f>
        <v>209.29999999999995</v>
      </c>
      <c r="H121" s="237">
        <f t="shared" si="39"/>
        <v>11097802.639570002</v>
      </c>
      <c r="I121" s="237">
        <f t="shared" si="40"/>
        <v>14671451.418669999</v>
      </c>
      <c r="J121" s="23">
        <f t="shared" si="41"/>
        <v>32.200000000000003</v>
      </c>
    </row>
    <row r="122" spans="1:10" ht="15.75" customHeight="1" x14ac:dyDescent="0.2">
      <c r="A122" s="21" t="s">
        <v>26</v>
      </c>
      <c r="B122" s="237">
        <f>'Fremtind Livsforsikring'!B122+'Danica Pensjonsforsikring'!B122+'DNB Livsforsikring'!B122+'Eika Forsikring AS'!B122+'Frende Livsforsikring'!B122+'Frende Skadeforsikring'!B122+'Gjensidige Forsikring'!B122+'Gjensidige Pensjon'!B122+'Handelsbanken Liv'!B122+'If Skadeforsikring NUF'!B122+KLP!B122+'DNB Bedriftspensjon'!B122+'KLP Skadeforsikring AS'!B122+'Landkreditt Forsikring'!B122+Insr!B122+'Nordea Liv '!B122+'Oslo Pensjonsforsikring'!B122+'Protector Forsikring'!B122+'SHB Liv'!B122+'Sparebank 1'!B122+'Storebrand Livsforsikring'!B122+'Telenor Forsikring'!B122+'Tryg Forsikring'!B122+'WaterCircle F'!B122</f>
        <v>143896.28799000001</v>
      </c>
      <c r="C122" s="237">
        <f>'Fremtind Livsforsikring'!C122+'Danica Pensjonsforsikring'!C122+'DNB Livsforsikring'!C122+'Eika Forsikring AS'!C122+'Frende Livsforsikring'!C122+'Frende Skadeforsikring'!C122+'Gjensidige Forsikring'!C122+'Gjensidige Pensjon'!C122+'Handelsbanken Liv'!C122+'If Skadeforsikring NUF'!C122+KLP!C122+'DNB Bedriftspensjon'!C122+'KLP Skadeforsikring AS'!C122+'Landkreditt Forsikring'!C122+Insr!C122+'Nordea Liv '!C122+'Oslo Pensjonsforsikring'!C122+'Protector Forsikring'!C122+'SHB Liv'!C122+'Sparebank 1'!C122+'Storebrand Livsforsikring'!C122+'Telenor Forsikring'!C122+'Tryg Forsikring'!C122+'WaterCircle F'!C122</f>
        <v>167306.53184000001</v>
      </c>
      <c r="D122" s="23">
        <f t="shared" si="38"/>
        <v>16.3</v>
      </c>
      <c r="E122" s="44">
        <f>'Fremtind Livsforsikring'!F122+'Danica Pensjonsforsikring'!F122+'DNB Livsforsikring'!F122+'Eika Forsikring AS'!F122+'Frende Livsforsikring'!F122+'Frende Skadeforsikring'!F122+'Gjensidige Forsikring'!F122+'Gjensidige Pensjon'!F122+'Handelsbanken Liv'!F122+'If Skadeforsikring NUF'!F122+KLP!F122+'DNB Bedriftspensjon'!F122+'KLP Skadeforsikring AS'!F122+'Landkreditt Forsikring'!F122+Insr!F122+'Nordea Liv '!F122+'Oslo Pensjonsforsikring'!F122+'Protector Forsikring'!F122+'SHB Liv'!F122+'Sparebank 1'!F122+'Storebrand Livsforsikring'!F122+'Telenor Forsikring'!F122+'Tryg Forsikring'!F122+'WaterCircle F'!F122</f>
        <v>0</v>
      </c>
      <c r="F122" s="44">
        <f>'Fremtind Livsforsikring'!G122+'Danica Pensjonsforsikring'!G122+'DNB Livsforsikring'!G122+'Eika Forsikring AS'!G122+'Frende Livsforsikring'!G122+'Frende Skadeforsikring'!G122+'Gjensidige Forsikring'!G122+'Gjensidige Pensjon'!G122+'Handelsbanken Liv'!G122+'If Skadeforsikring NUF'!G122+KLP!G122+'DNB Bedriftspensjon'!G122+'KLP Skadeforsikring AS'!G122+'Landkreditt Forsikring'!G122+Insr!G122+'Nordea Liv '!G122+'Oslo Pensjonsforsikring'!G122+'Protector Forsikring'!G122+'SHB Liv'!G122+'Sparebank 1'!G122+'Storebrand Livsforsikring'!G122+'Telenor Forsikring'!G122+'Tryg Forsikring'!G122+'WaterCircle F'!G122</f>
        <v>0</v>
      </c>
      <c r="G122" s="166">
        <f>'Fremtind Livsforsikring'!H122+'Danica Pensjonsforsikring'!H122+'DNB Livsforsikring'!H122+'Eika Forsikring AS'!H122+'Frende Livsforsikring'!H122+'Frende Skadeforsikring'!H122+'Gjensidige Forsikring'!H122+'Gjensidige Pensjon'!H122+'Handelsbanken Liv'!H122+'If Skadeforsikring NUF'!H122+KLP!H122+'DNB Bedriftspensjon'!H122+'KLP Skadeforsikring AS'!H122+'Landkreditt Forsikring'!H122+Insr!H122+'Nordea Liv '!H122+'Oslo Pensjonsforsikring'!H122+'Protector Forsikring'!H122+'SHB Liv'!H122+'Sparebank 1'!H122+'Storebrand Livsforsikring'!H122+'Telenor Forsikring'!H122+'Tryg Forsikring'!H122</f>
        <v>0</v>
      </c>
      <c r="H122" s="237">
        <f t="shared" si="39"/>
        <v>143896.28799000001</v>
      </c>
      <c r="I122" s="237">
        <f t="shared" si="40"/>
        <v>167306.53184000001</v>
      </c>
      <c r="J122" s="23">
        <f t="shared" si="41"/>
        <v>16.3</v>
      </c>
    </row>
    <row r="123" spans="1:10" ht="15.75" customHeight="1" x14ac:dyDescent="0.2">
      <c r="A123" s="296" t="s">
        <v>14</v>
      </c>
      <c r="B123" s="235"/>
      <c r="C123" s="235"/>
      <c r="D123" s="27"/>
      <c r="E123" s="235"/>
      <c r="F123" s="235"/>
      <c r="G123" s="166"/>
      <c r="H123" s="235"/>
      <c r="I123" s="235"/>
      <c r="J123" s="23"/>
    </row>
    <row r="124" spans="1:10" ht="15.75" customHeight="1" x14ac:dyDescent="0.2">
      <c r="A124" s="21" t="s">
        <v>384</v>
      </c>
      <c r="B124" s="237">
        <f>'Fremtind Livsforsikring'!B124+'Danica Pensjonsforsikring'!B124+'DNB Livsforsikring'!B124+'Eika Forsikring AS'!B124+'Frende Livsforsikring'!B124+'Frende Skadeforsikring'!B124+'Gjensidige Forsikring'!B124+'Gjensidige Pensjon'!B124+'Handelsbanken Liv'!B124+'If Skadeforsikring NUF'!B124+KLP!B124+'DNB Bedriftspensjon'!B124+'KLP Skadeforsikring AS'!B124+'Landkreditt Forsikring'!B124+Insr!B124+'Nordea Liv '!B124+'Oslo Pensjonsforsikring'!B124+'Protector Forsikring'!B124+'SHB Liv'!B124+'Sparebank 1'!B124+'Storebrand Livsforsikring'!B124+'Telenor Forsikring'!B124+'Tryg Forsikring'!B124+'WaterCircle F'!B124</f>
        <v>53616.676609999995</v>
      </c>
      <c r="C124" s="237">
        <f>'Fremtind Livsforsikring'!C124+'Danica Pensjonsforsikring'!C124+'DNB Livsforsikring'!C124+'Eika Forsikring AS'!C124+'Frende Livsforsikring'!C124+'Frende Skadeforsikring'!C124+'Gjensidige Forsikring'!C124+'Gjensidige Pensjon'!C124+'Handelsbanken Liv'!C124+'If Skadeforsikring NUF'!C124+KLP!C124+'DNB Bedriftspensjon'!C124+'KLP Skadeforsikring AS'!C124+'Landkreditt Forsikring'!C124+Insr!C124+'Nordea Liv '!C124+'Oslo Pensjonsforsikring'!C124+'Protector Forsikring'!C124+'SHB Liv'!C124+'Sparebank 1'!C124+'Storebrand Livsforsikring'!C124+'Telenor Forsikring'!C124+'Tryg Forsikring'!C124+'WaterCircle F'!C124</f>
        <v>47134.245999999999</v>
      </c>
      <c r="D124" s="23">
        <f t="shared" si="38"/>
        <v>-12.1</v>
      </c>
      <c r="E124" s="44">
        <f>'Fremtind Livsforsikring'!F124+'Danica Pensjonsforsikring'!F124+'DNB Livsforsikring'!F124+'Eika Forsikring AS'!F124+'Frende Livsforsikring'!F124+'Frende Skadeforsikring'!F124+'Gjensidige Forsikring'!F124+'Gjensidige Pensjon'!F124+'Handelsbanken Liv'!F124+'If Skadeforsikring NUF'!F124+KLP!F124+'DNB Bedriftspensjon'!F124+'KLP Skadeforsikring AS'!F124+'Landkreditt Forsikring'!F124+Insr!F124+'Nordea Liv '!F124+'Oslo Pensjonsforsikring'!F124+'Protector Forsikring'!F124+'SHB Liv'!F124+'Sparebank 1'!F124+'Storebrand Livsforsikring'!F124+'Telenor Forsikring'!F124+'Tryg Forsikring'!F124+'WaterCircle F'!F124</f>
        <v>19716.014999999999</v>
      </c>
      <c r="F124" s="44">
        <f>'Fremtind Livsforsikring'!G124+'Danica Pensjonsforsikring'!G124+'DNB Livsforsikring'!G124+'Eika Forsikring AS'!G124+'Frende Livsforsikring'!G124+'Frende Skadeforsikring'!G124+'Gjensidige Forsikring'!G124+'Gjensidige Pensjon'!G124+'Handelsbanken Liv'!G124+'If Skadeforsikring NUF'!G124+KLP!G124+'DNB Bedriftspensjon'!G124+'KLP Skadeforsikring AS'!G124+'Landkreditt Forsikring'!G124+Insr!G124+'Nordea Liv '!G124+'Oslo Pensjonsforsikring'!G124+'Protector Forsikring'!G124+'SHB Liv'!G124+'Sparebank 1'!G124+'Storebrand Livsforsikring'!G124+'Telenor Forsikring'!G124+'Tryg Forsikring'!G124+'WaterCircle F'!G124</f>
        <v>18657.546999999999</v>
      </c>
      <c r="G124" s="166">
        <f>'Fremtind Livsforsikring'!H124+'Danica Pensjonsforsikring'!H124+'DNB Livsforsikring'!H124+'Eika Forsikring AS'!H124+'Frende Livsforsikring'!H124+'Frende Skadeforsikring'!H124+'Gjensidige Forsikring'!H124+'Gjensidige Pensjon'!H124+'Handelsbanken Liv'!H124+'If Skadeforsikring NUF'!H124+KLP!H124+'DNB Bedriftspensjon'!H124+'KLP Skadeforsikring AS'!H124+'Landkreditt Forsikring'!H124+Insr!H124+'Nordea Liv '!H124+'Oslo Pensjonsforsikring'!H124+'Protector Forsikring'!H124+'SHB Liv'!H124+'Sparebank 1'!H124+'Storebrand Livsforsikring'!H124+'Telenor Forsikring'!H124+'Tryg Forsikring'!H124</f>
        <v>-92.5</v>
      </c>
      <c r="H124" s="237">
        <f t="shared" si="39"/>
        <v>73332.691609999994</v>
      </c>
      <c r="I124" s="237">
        <f t="shared" si="40"/>
        <v>65791.793000000005</v>
      </c>
      <c r="J124" s="23">
        <f t="shared" si="41"/>
        <v>-10.3</v>
      </c>
    </row>
    <row r="125" spans="1:10" ht="15.75" customHeight="1" x14ac:dyDescent="0.2">
      <c r="A125" s="21" t="s">
        <v>385</v>
      </c>
      <c r="B125" s="237">
        <f>'Fremtind Livsforsikring'!B125+'Danica Pensjonsforsikring'!B125+'DNB Livsforsikring'!B125+'Eika Forsikring AS'!B125+'Frende Livsforsikring'!B125+'Frende Skadeforsikring'!B125+'Gjensidige Forsikring'!B125+'Gjensidige Pensjon'!B125+'Handelsbanken Liv'!B125+'If Skadeforsikring NUF'!B125+KLP!B125+'DNB Bedriftspensjon'!B125+'KLP Skadeforsikring AS'!B125+'Landkreditt Forsikring'!B125+Insr!B125+'Nordea Liv '!B125+'Oslo Pensjonsforsikring'!B125+'Protector Forsikring'!B125+'SHB Liv'!B125+'Sparebank 1'!B125+'Storebrand Livsforsikring'!B125+'Telenor Forsikring'!B125+'Tryg Forsikring'!B125+'WaterCircle F'!B125</f>
        <v>2613.38528</v>
      </c>
      <c r="C125" s="237">
        <f>'Fremtind Livsforsikring'!C125+'Danica Pensjonsforsikring'!C125+'DNB Livsforsikring'!C125+'Eika Forsikring AS'!C125+'Frende Livsforsikring'!C125+'Frende Skadeforsikring'!C125+'Gjensidige Forsikring'!C125+'Gjensidige Pensjon'!C125+'Handelsbanken Liv'!C125+'If Skadeforsikring NUF'!C125+KLP!C125+'DNB Bedriftspensjon'!C125+'KLP Skadeforsikring AS'!C125+'Landkreditt Forsikring'!C125+Insr!C125+'Nordea Liv '!C125+'Oslo Pensjonsforsikring'!C125+'Protector Forsikring'!C125+'SHB Liv'!C125+'Sparebank 1'!C125+'Storebrand Livsforsikring'!C125+'Telenor Forsikring'!C125+'Tryg Forsikring'!C125+'WaterCircle F'!C125</f>
        <v>1367.04628</v>
      </c>
      <c r="D125" s="23">
        <f t="shared" si="38"/>
        <v>-47.7</v>
      </c>
      <c r="E125" s="44">
        <f>'Fremtind Livsforsikring'!F125+'Danica Pensjonsforsikring'!F125+'DNB Livsforsikring'!F125+'Eika Forsikring AS'!F125+'Frende Livsforsikring'!F125+'Frende Skadeforsikring'!F125+'Gjensidige Forsikring'!F125+'Gjensidige Pensjon'!F125+'Handelsbanken Liv'!F125+'If Skadeforsikring NUF'!F125+KLP!F125+'DNB Bedriftspensjon'!F125+'KLP Skadeforsikring AS'!F125+'Landkreditt Forsikring'!F125+Insr!F125+'Nordea Liv '!F125+'Oslo Pensjonsforsikring'!F125+'Protector Forsikring'!F125+'SHB Liv'!F125+'Sparebank 1'!F125+'Storebrand Livsforsikring'!F125+'Telenor Forsikring'!F125+'Tryg Forsikring'!F125+'WaterCircle F'!F125</f>
        <v>2253165.1133699999</v>
      </c>
      <c r="F125" s="44">
        <f>'Fremtind Livsforsikring'!G125+'Danica Pensjonsforsikring'!G125+'DNB Livsforsikring'!G125+'Eika Forsikring AS'!G125+'Frende Livsforsikring'!G125+'Frende Skadeforsikring'!G125+'Gjensidige Forsikring'!G125+'Gjensidige Pensjon'!G125+'Handelsbanken Liv'!G125+'If Skadeforsikring NUF'!G125+KLP!G125+'DNB Bedriftspensjon'!G125+'KLP Skadeforsikring AS'!G125+'Landkreditt Forsikring'!G125+Insr!G125+'Nordea Liv '!G125+'Oslo Pensjonsforsikring'!G125+'Protector Forsikring'!G125+'SHB Liv'!G125+'Sparebank 1'!G125+'Storebrand Livsforsikring'!G125+'Telenor Forsikring'!G125+'Tryg Forsikring'!G125+'WaterCircle F'!G125</f>
        <v>2621068.21062</v>
      </c>
      <c r="G125" s="166">
        <f>'Fremtind Livsforsikring'!H125+'Danica Pensjonsforsikring'!H125+'DNB Livsforsikring'!H125+'Eika Forsikring AS'!H125+'Frende Livsforsikring'!H125+'Frende Skadeforsikring'!H125+'Gjensidige Forsikring'!H125+'Gjensidige Pensjon'!H125+'Handelsbanken Liv'!H125+'If Skadeforsikring NUF'!H125+KLP!H125+'DNB Bedriftspensjon'!H125+'KLP Skadeforsikring AS'!H125+'Landkreditt Forsikring'!H125+Insr!H125+'Nordea Liv '!H125+'Oslo Pensjonsforsikring'!H125+'Protector Forsikring'!H125+'SHB Liv'!H125+'Sparebank 1'!H125+'Storebrand Livsforsikring'!H125+'Telenor Forsikring'!H125+'Tryg Forsikring'!H125</f>
        <v>283</v>
      </c>
      <c r="H125" s="237">
        <f t="shared" si="39"/>
        <v>2255778.49865</v>
      </c>
      <c r="I125" s="237">
        <f t="shared" si="40"/>
        <v>2622435.2568999999</v>
      </c>
      <c r="J125" s="23">
        <f t="shared" si="41"/>
        <v>16.3</v>
      </c>
    </row>
    <row r="126" spans="1:10" ht="15.75" customHeight="1" x14ac:dyDescent="0.2">
      <c r="A126" s="10" t="s">
        <v>386</v>
      </c>
      <c r="B126" s="238"/>
      <c r="C126" s="239"/>
      <c r="D126" s="22"/>
      <c r="E126" s="45"/>
      <c r="F126" s="45"/>
      <c r="G126" s="167"/>
      <c r="H126" s="238"/>
      <c r="I126" s="239"/>
      <c r="J126" s="22"/>
    </row>
    <row r="127" spans="1:10" ht="15.75" customHeight="1" x14ac:dyDescent="0.2">
      <c r="A127" s="155"/>
    </row>
    <row r="128" spans="1:10" ht="15.75" customHeight="1" x14ac:dyDescent="0.2">
      <c r="A128" s="149"/>
    </row>
    <row r="129" spans="1:10" ht="15.75" customHeight="1" x14ac:dyDescent="0.25">
      <c r="A129" s="165" t="s">
        <v>27</v>
      </c>
    </row>
    <row r="130" spans="1:10" ht="15.75" customHeight="1" x14ac:dyDescent="0.25">
      <c r="A130" s="149"/>
      <c r="B130" s="730"/>
      <c r="C130" s="730"/>
      <c r="D130" s="730"/>
      <c r="E130" s="730"/>
      <c r="F130" s="730"/>
      <c r="G130" s="730"/>
      <c r="H130" s="730"/>
      <c r="I130" s="730"/>
      <c r="J130" s="730"/>
    </row>
    <row r="131" spans="1:10" s="3" customFormat="1" ht="20.100000000000001" customHeight="1" x14ac:dyDescent="0.2">
      <c r="A131" s="144"/>
      <c r="B131" s="727" t="s">
        <v>0</v>
      </c>
      <c r="C131" s="728"/>
      <c r="D131" s="729"/>
      <c r="E131" s="728" t="s">
        <v>1</v>
      </c>
      <c r="F131" s="728"/>
      <c r="G131" s="728"/>
      <c r="H131" s="727" t="s">
        <v>2</v>
      </c>
      <c r="I131" s="728"/>
      <c r="J131" s="729"/>
    </row>
    <row r="132" spans="1:10" s="3" customFormat="1" ht="15.75" customHeight="1" x14ac:dyDescent="0.2">
      <c r="A132" s="140"/>
      <c r="B132" s="20" t="s">
        <v>421</v>
      </c>
      <c r="C132" s="20" t="s">
        <v>422</v>
      </c>
      <c r="D132" s="19" t="s">
        <v>3</v>
      </c>
      <c r="E132" s="20" t="s">
        <v>421</v>
      </c>
      <c r="F132" s="20" t="s">
        <v>422</v>
      </c>
      <c r="G132" s="19" t="s">
        <v>3</v>
      </c>
      <c r="H132" s="20" t="s">
        <v>421</v>
      </c>
      <c r="I132" s="20" t="s">
        <v>422</v>
      </c>
      <c r="J132" s="19" t="s">
        <v>3</v>
      </c>
    </row>
    <row r="133" spans="1:10" s="3" customFormat="1" ht="15.75" customHeight="1" x14ac:dyDescent="0.2">
      <c r="A133" s="708"/>
      <c r="B133" s="15"/>
      <c r="C133" s="15"/>
      <c r="D133" s="17" t="s">
        <v>4</v>
      </c>
      <c r="E133" s="16"/>
      <c r="F133" s="16"/>
      <c r="G133" s="15" t="s">
        <v>4</v>
      </c>
      <c r="H133" s="16"/>
      <c r="I133" s="16"/>
      <c r="J133" s="15" t="s">
        <v>4</v>
      </c>
    </row>
    <row r="134" spans="1:10" s="420" customFormat="1" ht="15.75" customHeight="1" x14ac:dyDescent="0.2">
      <c r="A134" s="14" t="s">
        <v>389</v>
      </c>
      <c r="B134" s="236">
        <f>'Fremtind Livsforsikring'!B134+'Danica Pensjonsforsikring'!B134+'DNB Livsforsikring'!B134+'Eika Forsikring AS'!B134+'Frende Livsforsikring'!B134+'Frende Skadeforsikring'!B134+'Gjensidige Forsikring'!B134+'Gjensidige Pensjon'!B134+'Handelsbanken Liv'!B134+'If Skadeforsikring NUF'!B134+KLP!B134+'DNB Bedriftspensjon'!B134+'KLP Skadeforsikring AS'!B134+'Landkreditt Forsikring'!B134+Insr!B134+'Nordea Liv '!B134+'Oslo Pensjonsforsikring'!B134+'Protector Forsikring'!B134+'SHB Liv'!B134+'Sparebank 1'!B134+'Storebrand Livsforsikring'!B134+'Telenor Forsikring'!B134+'Tryg Forsikring'!B134+'WaterCircle F'!B134</f>
        <v>36679238.238579996</v>
      </c>
      <c r="C134" s="236">
        <f>'Fremtind Livsforsikring'!C134+'Danica Pensjonsforsikring'!C134+'DNB Livsforsikring'!C134+'Eika Forsikring AS'!C134+'Frende Livsforsikring'!C134+'Frende Skadeforsikring'!C134+'Gjensidige Forsikring'!C134+'Gjensidige Pensjon'!C134+'Handelsbanken Liv'!C134+'If Skadeforsikring NUF'!C134+KLP!C134+'DNB Bedriftspensjon'!C134+'KLP Skadeforsikring AS'!C134+'Landkreditt Forsikring'!C134+Insr!C134+'Nordea Liv '!C134+'Oslo Pensjonsforsikring'!C134+'Protector Forsikring'!C134+'SHB Liv'!C134+'Sparebank 1'!C134+'Storebrand Livsforsikring'!C134+'Telenor Forsikring'!C134+'Tryg Forsikring'!C134+'WaterCircle F'!C134</f>
        <v>28836361.399250001</v>
      </c>
      <c r="D134" s="11">
        <f t="shared" ref="D134:D137" si="42">IF(B134=0, "    ---- ", IF(ABS(ROUND(100/B134*C134-100,1))&lt;999,ROUND(100/B134*C134-100,1),IF(ROUND(100/B134*C134-100,1)&gt;999,999,-999)))</f>
        <v>-21.4</v>
      </c>
      <c r="E134" s="236">
        <f>'Fremtind Livsforsikring'!F134+'Danica Pensjonsforsikring'!F134+'DNB Livsforsikring'!F134+'Eika Forsikring AS'!F134+'Frende Livsforsikring'!F134+'Frende Skadeforsikring'!F134+'Gjensidige Forsikring'!F134+'Gjensidige Pensjon'!F134+'Handelsbanken Liv'!F134+'If Skadeforsikring NUF'!F134+KLP!F134+'DNB Bedriftspensjon'!F134+'KLP Skadeforsikring AS'!F134+'Landkreditt Forsikring'!F134+Insr!F134+'Nordea Liv '!F134+'Oslo Pensjonsforsikring'!F134+'Protector Forsikring'!F134+'SHB Liv'!F134+'Sparebank 1'!F134+'Storebrand Livsforsikring'!F134+'Telenor Forsikring'!F134+'Tryg Forsikring'!F134+'WaterCircle F'!F134</f>
        <v>125663.209</v>
      </c>
      <c r="F134" s="236">
        <f>'Fremtind Livsforsikring'!G134+'Danica Pensjonsforsikring'!G134+'DNB Livsforsikring'!G134+'Eika Forsikring AS'!G134+'Frende Livsforsikring'!G134+'Frende Skadeforsikring'!G134+'Gjensidige Forsikring'!G134+'Gjensidige Pensjon'!G134+'Handelsbanken Liv'!G134+'If Skadeforsikring NUF'!G134+KLP!G134+'DNB Bedriftspensjon'!G134+'KLP Skadeforsikring AS'!G134+'Landkreditt Forsikring'!G134+Insr!G134+'Nordea Liv '!G134+'Oslo Pensjonsforsikring'!G134+'Protector Forsikring'!G134+'SHB Liv'!G134+'Sparebank 1'!G134+'Storebrand Livsforsikring'!G134+'Telenor Forsikring'!G134+'Tryg Forsikring'!G134+'WaterCircle F'!G134</f>
        <v>63880.035000000003</v>
      </c>
      <c r="G134" s="11">
        <f t="shared" ref="G134:G136" si="43">IF(E134=0, "    ---- ", IF(ABS(ROUND(100/E134*F134-100,1))&lt;999,ROUND(100/E134*F134-100,1),IF(ROUND(100/E134*F134-100,1)&gt;999,999,-999)))</f>
        <v>-49.2</v>
      </c>
      <c r="H134" s="236">
        <f t="shared" ref="H134:I137" si="44">SUM(B134,E134)</f>
        <v>36804901.447579995</v>
      </c>
      <c r="I134" s="236">
        <f t="shared" si="44"/>
        <v>28900241.434250001</v>
      </c>
      <c r="J134" s="11">
        <f t="shared" ref="J134:J137" si="45">IF(H134=0, "    ---- ", IF(ABS(ROUND(100/H134*I134-100,1))&lt;999,ROUND(100/H134*I134-100,1),IF(ROUND(100/H134*I134-100,1)&gt;999,999,-999)))</f>
        <v>-21.5</v>
      </c>
    </row>
    <row r="135" spans="1:10" s="420" customFormat="1" ht="15.75" customHeight="1" x14ac:dyDescent="0.2">
      <c r="A135" s="13" t="s">
        <v>390</v>
      </c>
      <c r="B135" s="236">
        <f>'Fremtind Livsforsikring'!B135+'Danica Pensjonsforsikring'!B135+'DNB Livsforsikring'!B135+'Eika Forsikring AS'!B135+'Frende Livsforsikring'!B135+'Frende Skadeforsikring'!B135+'Gjensidige Forsikring'!B135+'Gjensidige Pensjon'!B135+'Handelsbanken Liv'!B135+'If Skadeforsikring NUF'!B135+KLP!B135+'DNB Bedriftspensjon'!B135+'KLP Skadeforsikring AS'!B135+'Landkreditt Forsikring'!B135+Insr!B135+'Nordea Liv '!B135+'Oslo Pensjonsforsikring'!B135+'Protector Forsikring'!B135+'SHB Liv'!B135+'Sparebank 1'!B135+'Storebrand Livsforsikring'!B135+'Telenor Forsikring'!B135+'Tryg Forsikring'!B135+'WaterCircle F'!B135</f>
        <v>576252216.01008999</v>
      </c>
      <c r="C135" s="236">
        <f>'Fremtind Livsforsikring'!C135+'Danica Pensjonsforsikring'!C135+'DNB Livsforsikring'!C135+'Eika Forsikring AS'!C135+'Frende Livsforsikring'!C135+'Frende Skadeforsikring'!C135+'Gjensidige Forsikring'!C135+'Gjensidige Pensjon'!C135+'Handelsbanken Liv'!C135+'If Skadeforsikring NUF'!C135+KLP!C135+'DNB Bedriftspensjon'!C135+'KLP Skadeforsikring AS'!C135+'Landkreditt Forsikring'!C135+Insr!C135+'Nordea Liv '!C135+'Oslo Pensjonsforsikring'!C135+'Protector Forsikring'!C135+'SHB Liv'!C135+'Sparebank 1'!C135+'Storebrand Livsforsikring'!C135+'Telenor Forsikring'!C135+'Tryg Forsikring'!C135+'WaterCircle F'!C135</f>
        <v>609403402.69496012</v>
      </c>
      <c r="D135" s="11">
        <f t="shared" si="42"/>
        <v>5.8</v>
      </c>
      <c r="E135" s="236">
        <f>'Fremtind Livsforsikring'!F135+'Danica Pensjonsforsikring'!F135+'DNB Livsforsikring'!F135+'Eika Forsikring AS'!F135+'Frende Livsforsikring'!F135+'Frende Skadeforsikring'!F135+'Gjensidige Forsikring'!F135+'Gjensidige Pensjon'!F135+'Handelsbanken Liv'!F135+'If Skadeforsikring NUF'!F135+KLP!F135+'DNB Bedriftspensjon'!F135+'KLP Skadeforsikring AS'!F135+'Landkreditt Forsikring'!F135+Insr!F135+'Nordea Liv '!F135+'Oslo Pensjonsforsikring'!F135+'Protector Forsikring'!F135+'SHB Liv'!F135+'Sparebank 1'!F135+'Storebrand Livsforsikring'!F135+'Telenor Forsikring'!F135+'Tryg Forsikring'!F135+'WaterCircle F'!F135</f>
        <v>2644541.49015</v>
      </c>
      <c r="F135" s="236">
        <f>'Fremtind Livsforsikring'!G135+'Danica Pensjonsforsikring'!G135+'DNB Livsforsikring'!G135+'Eika Forsikring AS'!G135+'Frende Livsforsikring'!G135+'Frende Skadeforsikring'!G135+'Gjensidige Forsikring'!G135+'Gjensidige Pensjon'!G135+'Handelsbanken Liv'!G135+'If Skadeforsikring NUF'!G135+KLP!G135+'DNB Bedriftspensjon'!G135+'KLP Skadeforsikring AS'!G135+'Landkreditt Forsikring'!G135+Insr!G135+'Nordea Liv '!G135+'Oslo Pensjonsforsikring'!G135+'Protector Forsikring'!G135+'SHB Liv'!G135+'Sparebank 1'!G135+'Storebrand Livsforsikring'!G135+'Telenor Forsikring'!G135+'Tryg Forsikring'!G135+'WaterCircle F'!G135</f>
        <v>1974716.5681499999</v>
      </c>
      <c r="G135" s="11">
        <f t="shared" si="43"/>
        <v>-25.3</v>
      </c>
      <c r="H135" s="236">
        <f t="shared" si="44"/>
        <v>578896757.50023997</v>
      </c>
      <c r="I135" s="236">
        <f t="shared" si="44"/>
        <v>611378119.26311016</v>
      </c>
      <c r="J135" s="11">
        <f t="shared" si="45"/>
        <v>5.6</v>
      </c>
    </row>
    <row r="136" spans="1:10" s="420" customFormat="1" ht="15.75" customHeight="1" x14ac:dyDescent="0.2">
      <c r="A136" s="13" t="s">
        <v>391</v>
      </c>
      <c r="B136" s="236">
        <f>'Fremtind Livsforsikring'!B136+'Danica Pensjonsforsikring'!B136+'DNB Livsforsikring'!B136+'Eika Forsikring AS'!B136+'Frende Livsforsikring'!B136+'Frende Skadeforsikring'!B136+'Gjensidige Forsikring'!B136+'Gjensidige Pensjon'!B136+'Handelsbanken Liv'!B136+'If Skadeforsikring NUF'!B136+KLP!B136+'DNB Bedriftspensjon'!B136+'KLP Skadeforsikring AS'!B136+'Landkreditt Forsikring'!B136+Insr!B136+'Nordea Liv '!B136+'Oslo Pensjonsforsikring'!B136+'Protector Forsikring'!B136+'SHB Liv'!B136+'Sparebank 1'!B136+'Storebrand Livsforsikring'!B136+'Telenor Forsikring'!B136+'Tryg Forsikring'!B136+'WaterCircle F'!B136</f>
        <v>106107.522</v>
      </c>
      <c r="C136" s="236">
        <f>'Fremtind Livsforsikring'!C136+'Danica Pensjonsforsikring'!C136+'DNB Livsforsikring'!C136+'Eika Forsikring AS'!C136+'Frende Livsforsikring'!C136+'Frende Skadeforsikring'!C136+'Gjensidige Forsikring'!C136+'Gjensidige Pensjon'!C136+'Handelsbanken Liv'!C136+'If Skadeforsikring NUF'!C136+KLP!C136+'DNB Bedriftspensjon'!C136+'KLP Skadeforsikring AS'!C136+'Landkreditt Forsikring'!C136+Insr!C136+'Nordea Liv '!C136+'Oslo Pensjonsforsikring'!C136+'Protector Forsikring'!C136+'SHB Liv'!C136+'Sparebank 1'!C136+'Storebrand Livsforsikring'!C136+'Telenor Forsikring'!C136+'Tryg Forsikring'!C136+'WaterCircle F'!C136</f>
        <v>3309007.423</v>
      </c>
      <c r="D136" s="11">
        <f t="shared" si="42"/>
        <v>999</v>
      </c>
      <c r="E136" s="236">
        <f>'Fremtind Livsforsikring'!F136+'Danica Pensjonsforsikring'!F136+'DNB Livsforsikring'!F136+'Eika Forsikring AS'!F136+'Frende Livsforsikring'!F136+'Frende Skadeforsikring'!F136+'Gjensidige Forsikring'!F136+'Gjensidige Pensjon'!F136+'Handelsbanken Liv'!F136+'If Skadeforsikring NUF'!F136+KLP!F136+'DNB Bedriftspensjon'!F136+'KLP Skadeforsikring AS'!F136+'Landkreditt Forsikring'!F136+Insr!F136+'Nordea Liv '!F136+'Oslo Pensjonsforsikring'!F136+'Protector Forsikring'!F136+'SHB Liv'!F136+'Sparebank 1'!F136+'Storebrand Livsforsikring'!F136+'Telenor Forsikring'!F136+'Tryg Forsikring'!F136+'WaterCircle F'!F136</f>
        <v>0</v>
      </c>
      <c r="F136" s="236">
        <f>'Fremtind Livsforsikring'!G136+'Danica Pensjonsforsikring'!G136+'DNB Livsforsikring'!G136+'Eika Forsikring AS'!G136+'Frende Livsforsikring'!G136+'Frende Skadeforsikring'!G136+'Gjensidige Forsikring'!G136+'Gjensidige Pensjon'!G136+'Handelsbanken Liv'!G136+'If Skadeforsikring NUF'!G136+KLP!G136+'DNB Bedriftspensjon'!G136+'KLP Skadeforsikring AS'!G136+'Landkreditt Forsikring'!G136+Insr!G136+'Nordea Liv '!G136+'Oslo Pensjonsforsikring'!G136+'Protector Forsikring'!G136+'SHB Liv'!G136+'Sparebank 1'!G136+'Storebrand Livsforsikring'!G136+'Telenor Forsikring'!G136+'Tryg Forsikring'!G136+'WaterCircle F'!G136</f>
        <v>-462823.85</v>
      </c>
      <c r="G136" s="11" t="str">
        <f t="shared" si="43"/>
        <v xml:space="preserve">    ---- </v>
      </c>
      <c r="H136" s="236">
        <f t="shared" si="44"/>
        <v>106107.522</v>
      </c>
      <c r="I136" s="236">
        <f t="shared" si="44"/>
        <v>2846183.5729999999</v>
      </c>
      <c r="J136" s="11">
        <f t="shared" si="45"/>
        <v>999</v>
      </c>
    </row>
    <row r="137" spans="1:10" s="420" customFormat="1" ht="15.75" customHeight="1" x14ac:dyDescent="0.2">
      <c r="A137" s="41" t="s">
        <v>392</v>
      </c>
      <c r="B137" s="276">
        <f>'Fremtind Livsforsikring'!B137+'Danica Pensjonsforsikring'!B137+'DNB Livsforsikring'!B137+'Eika Forsikring AS'!B137+'Frende Livsforsikring'!B137+'Frende Skadeforsikring'!B137+'Gjensidige Forsikring'!B137+'Gjensidige Pensjon'!B137+'Handelsbanken Liv'!B137+'If Skadeforsikring NUF'!B137+KLP!B137+'DNB Bedriftspensjon'!B137+'KLP Skadeforsikring AS'!B137+'Landkreditt Forsikring'!B137+Insr!B137+'Nordea Liv '!B137+'Oslo Pensjonsforsikring'!B137+'Protector Forsikring'!B137+'SHB Liv'!B137+'Sparebank 1'!B137+'Storebrand Livsforsikring'!B137+'Telenor Forsikring'!B137+'Tryg Forsikring'!B137+'WaterCircle F'!B137</f>
        <v>288211.58799999999</v>
      </c>
      <c r="C137" s="276">
        <f>'Fremtind Livsforsikring'!C137+'Danica Pensjonsforsikring'!C137+'DNB Livsforsikring'!C137+'Eika Forsikring AS'!C137+'Frende Livsforsikring'!C137+'Frende Skadeforsikring'!C137+'Gjensidige Forsikring'!C137+'Gjensidige Pensjon'!C137+'Handelsbanken Liv'!C137+'If Skadeforsikring NUF'!C137+KLP!C137+'DNB Bedriftspensjon'!C137+'KLP Skadeforsikring AS'!C137+'Landkreditt Forsikring'!C137+Insr!C137+'Nordea Liv '!C137+'Oslo Pensjonsforsikring'!C137+'Protector Forsikring'!C137+'SHB Liv'!C137+'Sparebank 1'!C137+'Storebrand Livsforsikring'!C137+'Telenor Forsikring'!C137+'Tryg Forsikring'!C137+'WaterCircle F'!C137</f>
        <v>7708306.0199999996</v>
      </c>
      <c r="D137" s="9">
        <f t="shared" si="42"/>
        <v>999</v>
      </c>
      <c r="E137" s="276"/>
      <c r="F137" s="276"/>
      <c r="G137" s="9"/>
      <c r="H137" s="276">
        <f t="shared" si="44"/>
        <v>288211.58799999999</v>
      </c>
      <c r="I137" s="276">
        <f t="shared" si="44"/>
        <v>7708306.0199999996</v>
      </c>
      <c r="J137" s="9">
        <f t="shared" si="45"/>
        <v>999</v>
      </c>
    </row>
    <row r="138" spans="1:10" s="3" customFormat="1" ht="15.75" customHeight="1" x14ac:dyDescent="0.2">
      <c r="A138" s="8"/>
      <c r="E138" s="7"/>
      <c r="F138" s="7"/>
      <c r="G138" s="6"/>
      <c r="H138" s="7"/>
      <c r="I138" s="7"/>
      <c r="J138" s="6"/>
    </row>
    <row r="139" spans="1:10" ht="15.75" customHeight="1" x14ac:dyDescent="0.2"/>
    <row r="140" spans="1:10" ht="15.75" customHeight="1" x14ac:dyDescent="0.2"/>
    <row r="141" spans="1:10" ht="15.75" customHeight="1" x14ac:dyDescent="0.2"/>
    <row r="142" spans="1:10" ht="15.75" customHeight="1" x14ac:dyDescent="0.2"/>
    <row r="143" spans="1:10" ht="15.75" customHeight="1" x14ac:dyDescent="0.2"/>
    <row r="144" spans="1:10"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sheetData>
  <mergeCells count="27">
    <mergeCell ref="B18:D18"/>
    <mergeCell ref="E18:G18"/>
    <mergeCell ref="H18:J18"/>
    <mergeCell ref="B2:D2"/>
    <mergeCell ref="E2:G2"/>
    <mergeCell ref="H2:J2"/>
    <mergeCell ref="B4:D4"/>
    <mergeCell ref="E4:G4"/>
    <mergeCell ref="H4:J4"/>
    <mergeCell ref="B63:D63"/>
    <mergeCell ref="E63:G63"/>
    <mergeCell ref="H63:J63"/>
    <mergeCell ref="B19:D19"/>
    <mergeCell ref="E19:G19"/>
    <mergeCell ref="H19:J19"/>
    <mergeCell ref="B62:D62"/>
    <mergeCell ref="E62:G62"/>
    <mergeCell ref="H62:J62"/>
    <mergeCell ref="B42:D42"/>
    <mergeCell ref="E42:G42"/>
    <mergeCell ref="H42:J42"/>
    <mergeCell ref="B131:D131"/>
    <mergeCell ref="E131:G131"/>
    <mergeCell ref="H131:J131"/>
    <mergeCell ref="B130:D130"/>
    <mergeCell ref="E130:G130"/>
    <mergeCell ref="H130:J130"/>
  </mergeCells>
  <conditionalFormatting sqref="A50:A52">
    <cfRule type="expression" dxfId="423" priority="41">
      <formula>kvartal &lt; 4</formula>
    </cfRule>
  </conditionalFormatting>
  <conditionalFormatting sqref="A69:A74">
    <cfRule type="expression" dxfId="422" priority="39">
      <formula>kvartal &lt; 4</formula>
    </cfRule>
  </conditionalFormatting>
  <conditionalFormatting sqref="A80:A85">
    <cfRule type="expression" dxfId="421" priority="38">
      <formula>kvartal &lt; 4</formula>
    </cfRule>
  </conditionalFormatting>
  <conditionalFormatting sqref="A90:A95">
    <cfRule type="expression" dxfId="420" priority="35">
      <formula>kvartal &lt; 4</formula>
    </cfRule>
  </conditionalFormatting>
  <conditionalFormatting sqref="A101:A106">
    <cfRule type="expression" dxfId="419" priority="34">
      <formula>kvartal &lt; 4</formula>
    </cfRule>
  </conditionalFormatting>
  <conditionalFormatting sqref="A115">
    <cfRule type="expression" dxfId="418" priority="33">
      <formula>kvartal &lt; 4</formula>
    </cfRule>
  </conditionalFormatting>
  <conditionalFormatting sqref="A123">
    <cfRule type="expression" dxfId="417" priority="32">
      <formula>kvartal &lt; 4</formula>
    </cfRule>
  </conditionalFormatting>
  <conditionalFormatting sqref="B50:B52">
    <cfRule type="expression" dxfId="416" priority="25">
      <formula>kvartal&lt;4</formula>
    </cfRule>
  </conditionalFormatting>
  <conditionalFormatting sqref="B69:C69">
    <cfRule type="expression" dxfId="415" priority="23">
      <formula>kvartal&lt;4</formula>
    </cfRule>
  </conditionalFormatting>
  <conditionalFormatting sqref="B72:C72">
    <cfRule type="expression" dxfId="414" priority="22">
      <formula>kvartal&lt;4</formula>
    </cfRule>
  </conditionalFormatting>
  <conditionalFormatting sqref="C50:C52">
    <cfRule type="expression" dxfId="413" priority="1">
      <formula>kvartal&lt;4</formula>
    </cfRule>
  </conditionalFormatting>
  <pageMargins left="0.23622047244094491" right="0.23622047244094491" top="0.62992125984251968" bottom="0.59055118110236227" header="0.51181102362204722" footer="0.51181102362204722"/>
  <pageSetup paperSize="9" scale="55" fitToHeight="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8"/>
  <dimension ref="A1:N144"/>
  <sheetViews>
    <sheetView showGridLines="0" zoomScaleNormal="100" workbookViewId="0">
      <selection activeCell="A3" sqref="A3"/>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135</v>
      </c>
      <c r="B1" s="709"/>
      <c r="C1" s="248" t="s">
        <v>83</v>
      </c>
      <c r="D1" s="26"/>
      <c r="E1" s="26"/>
      <c r="F1" s="26"/>
      <c r="G1" s="26"/>
      <c r="H1" s="26"/>
      <c r="I1" s="26"/>
      <c r="J1" s="26"/>
      <c r="K1" s="26"/>
      <c r="L1" s="26"/>
      <c r="M1" s="26"/>
    </row>
    <row r="2" spans="1:14" ht="15.75" x14ac:dyDescent="0.25">
      <c r="A2" s="165" t="s">
        <v>28</v>
      </c>
      <c r="B2" s="732"/>
      <c r="C2" s="732"/>
      <c r="D2" s="732"/>
      <c r="E2" s="406"/>
      <c r="F2" s="732"/>
      <c r="G2" s="732"/>
      <c r="H2" s="732"/>
      <c r="I2" s="406"/>
      <c r="J2" s="732"/>
      <c r="K2" s="732"/>
      <c r="L2" s="732"/>
      <c r="M2" s="406"/>
    </row>
    <row r="3" spans="1:14" ht="15.75" x14ac:dyDescent="0.25">
      <c r="A3" s="163"/>
      <c r="B3" s="406"/>
      <c r="C3" s="406"/>
      <c r="D3" s="406"/>
      <c r="E3" s="406"/>
      <c r="F3" s="406"/>
      <c r="G3" s="406"/>
      <c r="H3" s="406"/>
      <c r="I3" s="406"/>
      <c r="J3" s="406"/>
      <c r="K3" s="406"/>
      <c r="L3" s="406"/>
      <c r="M3" s="406"/>
    </row>
    <row r="4" spans="1:14" x14ac:dyDescent="0.2">
      <c r="A4" s="144"/>
      <c r="B4" s="733" t="s">
        <v>0</v>
      </c>
      <c r="C4" s="734"/>
      <c r="D4" s="734"/>
      <c r="E4" s="405"/>
      <c r="F4" s="733" t="s">
        <v>1</v>
      </c>
      <c r="G4" s="734"/>
      <c r="H4" s="734"/>
      <c r="I4" s="408"/>
      <c r="J4" s="733" t="s">
        <v>2</v>
      </c>
      <c r="K4" s="734"/>
      <c r="L4" s="734"/>
      <c r="M4" s="408"/>
    </row>
    <row r="5" spans="1:14" x14ac:dyDescent="0.2">
      <c r="A5" s="158"/>
      <c r="B5" s="152" t="s">
        <v>421</v>
      </c>
      <c r="C5" s="152" t="s">
        <v>422</v>
      </c>
      <c r="D5" s="245" t="s">
        <v>3</v>
      </c>
      <c r="E5" s="305" t="s">
        <v>29</v>
      </c>
      <c r="F5" s="152" t="s">
        <v>421</v>
      </c>
      <c r="G5" s="152" t="s">
        <v>422</v>
      </c>
      <c r="H5" s="245" t="s">
        <v>3</v>
      </c>
      <c r="I5" s="162" t="s">
        <v>29</v>
      </c>
      <c r="J5" s="152" t="s">
        <v>421</v>
      </c>
      <c r="K5" s="152" t="s">
        <v>422</v>
      </c>
      <c r="L5" s="245" t="s">
        <v>3</v>
      </c>
      <c r="M5" s="162" t="s">
        <v>29</v>
      </c>
    </row>
    <row r="6" spans="1:14" x14ac:dyDescent="0.2">
      <c r="A6" s="707"/>
      <c r="B6" s="156"/>
      <c r="C6" s="156"/>
      <c r="D6" s="246" t="s">
        <v>4</v>
      </c>
      <c r="E6" s="156" t="s">
        <v>30</v>
      </c>
      <c r="F6" s="161"/>
      <c r="G6" s="161"/>
      <c r="H6" s="245" t="s">
        <v>4</v>
      </c>
      <c r="I6" s="156" t="s">
        <v>30</v>
      </c>
      <c r="J6" s="161"/>
      <c r="K6" s="161"/>
      <c r="L6" s="245" t="s">
        <v>4</v>
      </c>
      <c r="M6" s="156" t="s">
        <v>30</v>
      </c>
    </row>
    <row r="7" spans="1:14" ht="15.75" x14ac:dyDescent="0.2">
      <c r="A7" s="14" t="s">
        <v>23</v>
      </c>
      <c r="B7" s="306">
        <v>212195.07199999999</v>
      </c>
      <c r="C7" s="307">
        <v>209266.72899999999</v>
      </c>
      <c r="D7" s="350">
        <f>IF(B7=0, "    ---- ", IF(ABS(ROUND(100/B7*C7-100,1))&lt;999,ROUND(100/B7*C7-100,1),IF(ROUND(100/B7*C7-100,1)&gt;999,999,-999)))</f>
        <v>-1.4</v>
      </c>
      <c r="E7" s="11">
        <f>IFERROR(100/'Skjema total MA'!C7*C7,0)</f>
        <v>5.6710896566849502</v>
      </c>
      <c r="F7" s="306">
        <v>216544.95199999999</v>
      </c>
      <c r="G7" s="307">
        <v>197786.42</v>
      </c>
      <c r="H7" s="350">
        <f>IF(F7=0, "    ---- ", IF(ABS(ROUND(100/F7*G7-100,1))&lt;999,ROUND(100/F7*G7-100,1),IF(ROUND(100/F7*G7-100,1)&gt;999,999,-999)))</f>
        <v>-8.6999999999999993</v>
      </c>
      <c r="I7" s="160">
        <f>IFERROR(100/'Skjema total MA'!F7*G7,0)</f>
        <v>2.864845464032395</v>
      </c>
      <c r="J7" s="308">
        <f t="shared" ref="J7:K12" si="0">SUM(B7,F7)</f>
        <v>428740.02399999998</v>
      </c>
      <c r="K7" s="309">
        <f t="shared" si="0"/>
        <v>407053.14899999998</v>
      </c>
      <c r="L7" s="427">
        <f>IF(J7=0, "    ---- ", IF(ABS(ROUND(100/J7*K7-100,1))&lt;999,ROUND(100/J7*K7-100,1),IF(ROUND(100/J7*K7-100,1)&gt;999,999,-999)))</f>
        <v>-5.0999999999999996</v>
      </c>
      <c r="M7" s="11">
        <f>IFERROR(100/'Skjema total MA'!I7*K7,0)</f>
        <v>3.842308204377757</v>
      </c>
    </row>
    <row r="8" spans="1:14" ht="15.75" x14ac:dyDescent="0.2">
      <c r="A8" s="21" t="s">
        <v>25</v>
      </c>
      <c r="B8" s="281">
        <v>101275.159</v>
      </c>
      <c r="C8" s="282">
        <v>100129.08500000001</v>
      </c>
      <c r="D8" s="166">
        <f t="shared" ref="D8:D10" si="1">IF(B8=0, "    ---- ", IF(ABS(ROUND(100/B8*C8-100,1))&lt;999,ROUND(100/B8*C8-100,1),IF(ROUND(100/B8*C8-100,1)&gt;999,999,-999)))</f>
        <v>-1.1000000000000001</v>
      </c>
      <c r="E8" s="27">
        <f>IFERROR(100/'Skjema total MA'!C8*C8,0)</f>
        <v>4.1390588739130409</v>
      </c>
      <c r="F8" s="285"/>
      <c r="G8" s="286"/>
      <c r="H8" s="166"/>
      <c r="I8" s="175"/>
      <c r="J8" s="234">
        <f t="shared" si="0"/>
        <v>101275.159</v>
      </c>
      <c r="K8" s="287">
        <f t="shared" si="0"/>
        <v>100129.08500000001</v>
      </c>
      <c r="L8" s="166">
        <f t="shared" ref="L8:L9" si="2">IF(J8=0, "    ---- ", IF(ABS(ROUND(100/J8*K8-100,1))&lt;999,ROUND(100/J8*K8-100,1),IF(ROUND(100/J8*K8-100,1)&gt;999,999,-999)))</f>
        <v>-1.1000000000000001</v>
      </c>
      <c r="M8" s="27">
        <f>IFERROR(100/'Skjema total MA'!I8*K8,0)</f>
        <v>4.1390588739130409</v>
      </c>
    </row>
    <row r="9" spans="1:14" ht="15.75" x14ac:dyDescent="0.2">
      <c r="A9" s="21" t="s">
        <v>24</v>
      </c>
      <c r="B9" s="281">
        <v>51985.794000000002</v>
      </c>
      <c r="C9" s="282">
        <v>49169.527000000002</v>
      </c>
      <c r="D9" s="166">
        <f t="shared" si="1"/>
        <v>-5.4</v>
      </c>
      <c r="E9" s="27">
        <f>IFERROR(100/'Skjema total MA'!C9*C9,0)</f>
        <v>6.5173677034239867</v>
      </c>
      <c r="F9" s="285"/>
      <c r="G9" s="286"/>
      <c r="H9" s="166"/>
      <c r="I9" s="175"/>
      <c r="J9" s="234">
        <f t="shared" si="0"/>
        <v>51985.794000000002</v>
      </c>
      <c r="K9" s="287">
        <f t="shared" si="0"/>
        <v>49169.527000000002</v>
      </c>
      <c r="L9" s="166">
        <f t="shared" si="2"/>
        <v>-5.4</v>
      </c>
      <c r="M9" s="27">
        <f>IFERROR(100/'Skjema total MA'!I9*K9,0)</f>
        <v>6.5173677034239867</v>
      </c>
    </row>
    <row r="10" spans="1:14" ht="15.75" x14ac:dyDescent="0.2">
      <c r="A10" s="13" t="s">
        <v>365</v>
      </c>
      <c r="B10" s="310">
        <v>313469.46799999999</v>
      </c>
      <c r="C10" s="311">
        <v>317063.30800000002</v>
      </c>
      <c r="D10" s="171">
        <f t="shared" si="1"/>
        <v>1.1000000000000001</v>
      </c>
      <c r="E10" s="11">
        <f>IFERROR(100/'Skjema total MA'!C10*C10,0)</f>
        <v>1.7585215491076676</v>
      </c>
      <c r="F10" s="310">
        <v>2641206.1860000002</v>
      </c>
      <c r="G10" s="311">
        <v>2632585.7349999999</v>
      </c>
      <c r="H10" s="171">
        <f t="shared" ref="H10:H12" si="3">IF(F10=0, "    ---- ", IF(ABS(ROUND(100/F10*G10-100,1))&lt;999,ROUND(100/F10*G10-100,1),IF(ROUND(100/F10*G10-100,1)&gt;999,999,-999)))</f>
        <v>-0.3</v>
      </c>
      <c r="I10" s="160">
        <f>IFERROR(100/'Skjema total MA'!F10*G10,0)</f>
        <v>4.7523942111798592</v>
      </c>
      <c r="J10" s="308">
        <f t="shared" si="0"/>
        <v>2954675.6540000001</v>
      </c>
      <c r="K10" s="309">
        <f t="shared" si="0"/>
        <v>2949649.0430000001</v>
      </c>
      <c r="L10" s="428">
        <f t="shared" ref="L10:L12" si="4">IF(J10=0, "    ---- ", IF(ABS(ROUND(100/J10*K10-100,1))&lt;999,ROUND(100/J10*K10-100,1),IF(ROUND(100/J10*K10-100,1)&gt;999,999,-999)))</f>
        <v>-0.2</v>
      </c>
      <c r="M10" s="11">
        <f>IFERROR(100/'Skjema total MA'!I10*K10,0)</f>
        <v>4.017224832453314</v>
      </c>
    </row>
    <row r="11" spans="1:14" s="43" customFormat="1" ht="15.75" x14ac:dyDescent="0.2">
      <c r="A11" s="13" t="s">
        <v>366</v>
      </c>
      <c r="B11" s="310"/>
      <c r="C11" s="311"/>
      <c r="D11" s="171"/>
      <c r="E11" s="11"/>
      <c r="F11" s="310">
        <v>27497.279999999999</v>
      </c>
      <c r="G11" s="311">
        <v>11632.317999999999</v>
      </c>
      <c r="H11" s="171">
        <f t="shared" si="3"/>
        <v>-57.7</v>
      </c>
      <c r="I11" s="160">
        <f>IFERROR(100/'Skjema total MA'!F11*G11,0)</f>
        <v>4.4898814584765976</v>
      </c>
      <c r="J11" s="308">
        <f t="shared" si="0"/>
        <v>27497.279999999999</v>
      </c>
      <c r="K11" s="309">
        <f t="shared" si="0"/>
        <v>11632.317999999999</v>
      </c>
      <c r="L11" s="428">
        <f t="shared" si="4"/>
        <v>-57.7</v>
      </c>
      <c r="M11" s="11">
        <f>IFERROR(100/'Skjema total MA'!I11*K11,0)</f>
        <v>4.0242505618074098</v>
      </c>
      <c r="N11" s="143"/>
    </row>
    <row r="12" spans="1:14" s="43" customFormat="1" ht="15.75" x14ac:dyDescent="0.2">
      <c r="A12" s="41" t="s">
        <v>367</v>
      </c>
      <c r="B12" s="312"/>
      <c r="C12" s="313"/>
      <c r="D12" s="169"/>
      <c r="E12" s="36"/>
      <c r="F12" s="312">
        <v>22955.428</v>
      </c>
      <c r="G12" s="313">
        <v>20637.371999999999</v>
      </c>
      <c r="H12" s="169">
        <f t="shared" si="3"/>
        <v>-10.1</v>
      </c>
      <c r="I12" s="169">
        <f>IFERROR(100/'Skjema total MA'!F12*G12,0)</f>
        <v>10.494060104224445</v>
      </c>
      <c r="J12" s="314">
        <f t="shared" si="0"/>
        <v>22955.428</v>
      </c>
      <c r="K12" s="315">
        <f t="shared" si="0"/>
        <v>20637.371999999999</v>
      </c>
      <c r="L12" s="429">
        <f t="shared" si="4"/>
        <v>-10.1</v>
      </c>
      <c r="M12" s="36">
        <f>IFERROR(100/'Skjema total MA'!I12*K12,0)</f>
        <v>10.367587312792196</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275</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272</v>
      </c>
      <c r="B17" s="157"/>
      <c r="C17" s="157"/>
      <c r="D17" s="151"/>
      <c r="E17" s="151"/>
      <c r="F17" s="157"/>
      <c r="G17" s="157"/>
      <c r="H17" s="157"/>
      <c r="I17" s="157"/>
      <c r="J17" s="157"/>
      <c r="K17" s="157"/>
      <c r="L17" s="157"/>
      <c r="M17" s="157"/>
    </row>
    <row r="18" spans="1:14" ht="15.75" x14ac:dyDescent="0.25">
      <c r="B18" s="735"/>
      <c r="C18" s="735"/>
      <c r="D18" s="735"/>
      <c r="E18" s="406"/>
      <c r="F18" s="735"/>
      <c r="G18" s="735"/>
      <c r="H18" s="735"/>
      <c r="I18" s="406"/>
      <c r="J18" s="735"/>
      <c r="K18" s="735"/>
      <c r="L18" s="735"/>
      <c r="M18" s="406"/>
    </row>
    <row r="19" spans="1:14" x14ac:dyDescent="0.2">
      <c r="A19" s="144"/>
      <c r="B19" s="733" t="s">
        <v>0</v>
      </c>
      <c r="C19" s="734"/>
      <c r="D19" s="734"/>
      <c r="E19" s="405"/>
      <c r="F19" s="733" t="s">
        <v>1</v>
      </c>
      <c r="G19" s="734"/>
      <c r="H19" s="734"/>
      <c r="I19" s="408"/>
      <c r="J19" s="733" t="s">
        <v>2</v>
      </c>
      <c r="K19" s="734"/>
      <c r="L19" s="734"/>
      <c r="M19" s="408"/>
    </row>
    <row r="20" spans="1:14" x14ac:dyDescent="0.2">
      <c r="A20" s="140" t="s">
        <v>5</v>
      </c>
      <c r="B20" s="152" t="s">
        <v>421</v>
      </c>
      <c r="C20" s="152" t="s">
        <v>422</v>
      </c>
      <c r="D20" s="162" t="s">
        <v>3</v>
      </c>
      <c r="E20" s="305" t="s">
        <v>29</v>
      </c>
      <c r="F20" s="152" t="s">
        <v>421</v>
      </c>
      <c r="G20" s="152" t="s">
        <v>422</v>
      </c>
      <c r="H20" s="162" t="s">
        <v>3</v>
      </c>
      <c r="I20" s="162" t="s">
        <v>29</v>
      </c>
      <c r="J20" s="152" t="s">
        <v>421</v>
      </c>
      <c r="K20" s="152" t="s">
        <v>422</v>
      </c>
      <c r="L20" s="162" t="s">
        <v>3</v>
      </c>
      <c r="M20" s="162" t="s">
        <v>29</v>
      </c>
    </row>
    <row r="21" spans="1:14" x14ac:dyDescent="0.2">
      <c r="A21" s="708"/>
      <c r="B21" s="156"/>
      <c r="C21" s="156"/>
      <c r="D21" s="246" t="s">
        <v>4</v>
      </c>
      <c r="E21" s="416" t="s">
        <v>30</v>
      </c>
      <c r="F21" s="161"/>
      <c r="G21" s="161"/>
      <c r="H21" s="245" t="s">
        <v>4</v>
      </c>
      <c r="I21" s="156" t="s">
        <v>30</v>
      </c>
      <c r="J21" s="161"/>
      <c r="K21" s="161"/>
      <c r="L21" s="156" t="s">
        <v>4</v>
      </c>
      <c r="M21" s="156" t="s">
        <v>30</v>
      </c>
    </row>
    <row r="22" spans="1:14" ht="15.75" x14ac:dyDescent="0.2">
      <c r="A22" s="14" t="s">
        <v>23</v>
      </c>
      <c r="B22" s="310">
        <v>11397.422</v>
      </c>
      <c r="C22" s="310">
        <v>10695.239</v>
      </c>
      <c r="D22" s="350">
        <f t="shared" ref="D22:D29" si="5">IF(B22=0, "    ---- ", IF(ABS(ROUND(100/B22*C22-100,1))&lt;999,ROUND(100/B22*C22-100,1),IF(ROUND(100/B22*C22-100,1)&gt;999,999,-999)))</f>
        <v>-6.2</v>
      </c>
      <c r="E22" s="11">
        <f>IFERROR(100/'Skjema total MA'!C22*C22,0)</f>
        <v>0.79903543443247715</v>
      </c>
      <c r="F22" s="318">
        <v>39035.349000000002</v>
      </c>
      <c r="G22" s="318">
        <v>43229.690999999999</v>
      </c>
      <c r="H22" s="350">
        <f t="shared" ref="H22:H35" si="6">IF(F22=0, "    ---- ", IF(ABS(ROUND(100/F22*G22-100,1))&lt;999,ROUND(100/F22*G22-100,1),IF(ROUND(100/F22*G22-100,1)&gt;999,999,-999)))</f>
        <v>10.7</v>
      </c>
      <c r="I22" s="160">
        <f>IFERROR(100/'Skjema total MA'!F22*G22,0)</f>
        <v>4.6801513281710223</v>
      </c>
      <c r="J22" s="316">
        <f t="shared" ref="J22:K35" si="7">SUM(B22,F22)</f>
        <v>50432.771000000001</v>
      </c>
      <c r="K22" s="316">
        <f t="shared" si="7"/>
        <v>53924.93</v>
      </c>
      <c r="L22" s="427">
        <f t="shared" ref="L22:L35" si="8">IF(J22=0, "    ---- ", IF(ABS(ROUND(100/J22*K22-100,1))&lt;999,ROUND(100/J22*K22-100,1),IF(ROUND(100/J22*K22-100,1)&gt;999,999,-999)))</f>
        <v>6.9</v>
      </c>
      <c r="M22" s="24">
        <f>IFERROR(100/'Skjema total MA'!I22*K22,0)</f>
        <v>2.3837381694941904</v>
      </c>
    </row>
    <row r="23" spans="1:14" ht="15.75" x14ac:dyDescent="0.2">
      <c r="A23" s="584" t="s">
        <v>368</v>
      </c>
      <c r="B23" s="281"/>
      <c r="C23" s="281"/>
      <c r="D23" s="166"/>
      <c r="E23" s="11"/>
      <c r="F23" s="290">
        <v>3915.8330000000001</v>
      </c>
      <c r="G23" s="290">
        <v>3334.837</v>
      </c>
      <c r="H23" s="166">
        <f t="shared" si="6"/>
        <v>-14.8</v>
      </c>
      <c r="I23" s="240">
        <f>IFERROR(100/'Skjema total MA'!F23*G23,0)</f>
        <v>2.7941821264125761</v>
      </c>
      <c r="J23" s="290">
        <f t="shared" ref="J23:J26" si="9">SUM(B23,F23)</f>
        <v>3915.8330000000001</v>
      </c>
      <c r="K23" s="290">
        <f t="shared" ref="K23:K26" si="10">SUM(C23,G23)</f>
        <v>3334.837</v>
      </c>
      <c r="L23" s="166">
        <f t="shared" si="8"/>
        <v>-14.8</v>
      </c>
      <c r="M23" s="23">
        <f>IFERROR(100/'Skjema total MA'!I23*K23,0)</f>
        <v>0.53719231996298378</v>
      </c>
    </row>
    <row r="24" spans="1:14" ht="15.75" x14ac:dyDescent="0.2">
      <c r="A24" s="584" t="s">
        <v>369</v>
      </c>
      <c r="B24" s="281"/>
      <c r="C24" s="281"/>
      <c r="D24" s="166"/>
      <c r="E24" s="11"/>
      <c r="F24" s="290">
        <v>0</v>
      </c>
      <c r="G24" s="290">
        <v>463.31299999999999</v>
      </c>
      <c r="H24" s="166" t="str">
        <f t="shared" si="6"/>
        <v xml:space="preserve">    ---- </v>
      </c>
      <c r="I24" s="240">
        <f>IFERROR(100/'Skjema total MA'!F24*G24,0)</f>
        <v>47.724029395364326</v>
      </c>
      <c r="J24" s="290">
        <f t="shared" si="9"/>
        <v>0</v>
      </c>
      <c r="K24" s="290">
        <f t="shared" si="10"/>
        <v>463.31299999999999</v>
      </c>
      <c r="L24" s="166" t="str">
        <f t="shared" si="8"/>
        <v xml:space="preserve">    ---- </v>
      </c>
      <c r="M24" s="23">
        <f>IFERROR(100/'Skjema total MA'!I24*K24,0)</f>
        <v>1.8373340812726897</v>
      </c>
    </row>
    <row r="25" spans="1:14" ht="15.75" x14ac:dyDescent="0.2">
      <c r="A25" s="584" t="s">
        <v>370</v>
      </c>
      <c r="B25" s="281"/>
      <c r="C25" s="281"/>
      <c r="D25" s="166"/>
      <c r="E25" s="11"/>
      <c r="F25" s="290">
        <v>1135.289</v>
      </c>
      <c r="G25" s="290">
        <v>1005.172</v>
      </c>
      <c r="H25" s="166">
        <f t="shared" si="6"/>
        <v>-11.5</v>
      </c>
      <c r="I25" s="240">
        <f>IFERROR(100/'Skjema total MA'!F25*G25,0)</f>
        <v>5.5427853956128779</v>
      </c>
      <c r="J25" s="290">
        <f t="shared" si="9"/>
        <v>1135.289</v>
      </c>
      <c r="K25" s="290">
        <f t="shared" si="10"/>
        <v>1005.172</v>
      </c>
      <c r="L25" s="166">
        <f t="shared" si="8"/>
        <v>-11.5</v>
      </c>
      <c r="M25" s="23">
        <f>IFERROR(100/'Skjema total MA'!I25*K25,0)</f>
        <v>2.3757717589104423</v>
      </c>
    </row>
    <row r="26" spans="1:14" ht="15.75" x14ac:dyDescent="0.2">
      <c r="A26" s="584" t="s">
        <v>371</v>
      </c>
      <c r="B26" s="281"/>
      <c r="C26" s="281"/>
      <c r="D26" s="166"/>
      <c r="E26" s="11"/>
      <c r="F26" s="290">
        <v>33984.226999999999</v>
      </c>
      <c r="G26" s="290">
        <v>38426.368999999999</v>
      </c>
      <c r="H26" s="166">
        <f t="shared" si="6"/>
        <v>13.1</v>
      </c>
      <c r="I26" s="240">
        <f>IFERROR(100/'Skjema total MA'!F26*G26,0)</f>
        <v>4.8936663989965616</v>
      </c>
      <c r="J26" s="290">
        <f t="shared" si="9"/>
        <v>33984.226999999999</v>
      </c>
      <c r="K26" s="290">
        <f t="shared" si="10"/>
        <v>38426.368999999999</v>
      </c>
      <c r="L26" s="166">
        <f t="shared" si="8"/>
        <v>13.1</v>
      </c>
      <c r="M26" s="23">
        <f>IFERROR(100/'Skjema total MA'!I26*K26,0)</f>
        <v>4.8936663989965616</v>
      </c>
    </row>
    <row r="27" spans="1:14" x14ac:dyDescent="0.2">
      <c r="A27" s="584" t="s">
        <v>11</v>
      </c>
      <c r="B27" s="281"/>
      <c r="C27" s="281"/>
      <c r="D27" s="166"/>
      <c r="E27" s="11"/>
      <c r="F27" s="290"/>
      <c r="G27" s="290"/>
      <c r="H27" s="166"/>
      <c r="I27" s="240"/>
      <c r="J27" s="290"/>
      <c r="K27" s="290"/>
      <c r="L27" s="166"/>
      <c r="M27" s="23"/>
    </row>
    <row r="28" spans="1:14" ht="15.75" x14ac:dyDescent="0.2">
      <c r="A28" s="49" t="s">
        <v>276</v>
      </c>
      <c r="B28" s="44">
        <v>11397.422</v>
      </c>
      <c r="C28" s="287">
        <v>10695.239</v>
      </c>
      <c r="D28" s="166">
        <f t="shared" si="5"/>
        <v>-6.2</v>
      </c>
      <c r="E28" s="11">
        <f>IFERROR(100/'Skjema total MA'!C28*C28,0)</f>
        <v>0.72211408473775018</v>
      </c>
      <c r="F28" s="234"/>
      <c r="G28" s="287"/>
      <c r="H28" s="166"/>
      <c r="I28" s="175"/>
      <c r="J28" s="44">
        <f t="shared" si="7"/>
        <v>11397.422</v>
      </c>
      <c r="K28" s="44">
        <f t="shared" si="7"/>
        <v>10695.239</v>
      </c>
      <c r="L28" s="254">
        <f t="shared" si="8"/>
        <v>-6.2</v>
      </c>
      <c r="M28" s="23">
        <f>IFERROR(100/'Skjema total MA'!I28*K28,0)</f>
        <v>0.72211408473775018</v>
      </c>
    </row>
    <row r="29" spans="1:14" s="3" customFormat="1" ht="15.75" x14ac:dyDescent="0.2">
      <c r="A29" s="13" t="s">
        <v>365</v>
      </c>
      <c r="B29" s="236">
        <v>99620.047999999995</v>
      </c>
      <c r="C29" s="236">
        <v>119080.289</v>
      </c>
      <c r="D29" s="171">
        <f t="shared" si="5"/>
        <v>19.5</v>
      </c>
      <c r="E29" s="11">
        <f>IFERROR(100/'Skjema total MA'!C29*C29,0)</f>
        <v>0.25906871843574941</v>
      </c>
      <c r="F29" s="308">
        <v>2099939.5920000002</v>
      </c>
      <c r="G29" s="308">
        <v>2074761.493</v>
      </c>
      <c r="H29" s="171">
        <f t="shared" si="6"/>
        <v>-1.2</v>
      </c>
      <c r="I29" s="160">
        <f>IFERROR(100/'Skjema total MA'!F29*G29,0)</f>
        <v>9.0723733040423031</v>
      </c>
      <c r="J29" s="236">
        <f t="shared" si="7"/>
        <v>2199559.64</v>
      </c>
      <c r="K29" s="236">
        <f t="shared" si="7"/>
        <v>2193841.7820000001</v>
      </c>
      <c r="L29" s="428">
        <f t="shared" si="8"/>
        <v>-0.3</v>
      </c>
      <c r="M29" s="24">
        <f>IFERROR(100/'Skjema total MA'!I29*K29,0)</f>
        <v>3.1871598216020498</v>
      </c>
      <c r="N29" s="148"/>
    </row>
    <row r="30" spans="1:14" s="3" customFormat="1" ht="15.75" x14ac:dyDescent="0.2">
      <c r="A30" s="584" t="s">
        <v>368</v>
      </c>
      <c r="B30" s="281"/>
      <c r="C30" s="281"/>
      <c r="D30" s="166"/>
      <c r="E30" s="11"/>
      <c r="F30" s="290">
        <v>619122.804</v>
      </c>
      <c r="G30" s="290">
        <v>593683.84900000005</v>
      </c>
      <c r="H30" s="166">
        <f t="shared" si="6"/>
        <v>-4.0999999999999996</v>
      </c>
      <c r="I30" s="240">
        <f>IFERROR(100/'Skjema total MA'!F30*G30,0)</f>
        <v>13.379005434321616</v>
      </c>
      <c r="J30" s="290">
        <f t="shared" ref="J30:J33" si="11">SUM(B30,F30)</f>
        <v>619122.804</v>
      </c>
      <c r="K30" s="290">
        <f t="shared" ref="K30:K33" si="12">SUM(C30,G30)</f>
        <v>593683.84900000005</v>
      </c>
      <c r="L30" s="166">
        <f t="shared" si="8"/>
        <v>-4.0999999999999996</v>
      </c>
      <c r="M30" s="23">
        <f>IFERROR(100/'Skjema total MA'!I30*K30,0)</f>
        <v>3.2702771607626686</v>
      </c>
      <c r="N30" s="148"/>
    </row>
    <row r="31" spans="1:14" s="3" customFormat="1" ht="15.75" x14ac:dyDescent="0.2">
      <c r="A31" s="584" t="s">
        <v>369</v>
      </c>
      <c r="B31" s="281"/>
      <c r="C31" s="281"/>
      <c r="D31" s="166"/>
      <c r="E31" s="11"/>
      <c r="F31" s="290">
        <v>1238072.048</v>
      </c>
      <c r="G31" s="290">
        <v>1150969.1299999999</v>
      </c>
      <c r="H31" s="166">
        <f t="shared" si="6"/>
        <v>-7</v>
      </c>
      <c r="I31" s="240">
        <f>IFERROR(100/'Skjema total MA'!F31*G31,0)</f>
        <v>12.437575003393048</v>
      </c>
      <c r="J31" s="290">
        <f t="shared" si="11"/>
        <v>1238072.048</v>
      </c>
      <c r="K31" s="290">
        <f t="shared" si="12"/>
        <v>1150969.1299999999</v>
      </c>
      <c r="L31" s="166">
        <f t="shared" si="8"/>
        <v>-7</v>
      </c>
      <c r="M31" s="23">
        <f>IFERROR(100/'Skjema total MA'!I31*K31,0)</f>
        <v>3.4798824959618391</v>
      </c>
      <c r="N31" s="148"/>
    </row>
    <row r="32" spans="1:14" ht="15.75" x14ac:dyDescent="0.2">
      <c r="A32" s="584" t="s">
        <v>370</v>
      </c>
      <c r="B32" s="281"/>
      <c r="C32" s="281"/>
      <c r="D32" s="166"/>
      <c r="E32" s="11"/>
      <c r="F32" s="290">
        <v>62467.635999999999</v>
      </c>
      <c r="G32" s="290">
        <v>83753.790999999997</v>
      </c>
      <c r="H32" s="166">
        <f t="shared" si="6"/>
        <v>34.1</v>
      </c>
      <c r="I32" s="240">
        <f>IFERROR(100/'Skjema total MA'!F32*G32,0)</f>
        <v>1.7092065937384613</v>
      </c>
      <c r="J32" s="290">
        <f t="shared" si="11"/>
        <v>62467.635999999999</v>
      </c>
      <c r="K32" s="290">
        <f t="shared" si="12"/>
        <v>83753.790999999997</v>
      </c>
      <c r="L32" s="166">
        <f t="shared" si="8"/>
        <v>34.1</v>
      </c>
      <c r="M32" s="23">
        <f>IFERROR(100/'Skjema total MA'!I32*K32,0)</f>
        <v>1.0667560267768865</v>
      </c>
    </row>
    <row r="33" spans="1:14" ht="15.75" x14ac:dyDescent="0.2">
      <c r="A33" s="584" t="s">
        <v>371</v>
      </c>
      <c r="B33" s="281"/>
      <c r="C33" s="281"/>
      <c r="D33" s="166"/>
      <c r="E33" s="11"/>
      <c r="F33" s="290">
        <v>180277.10399999999</v>
      </c>
      <c r="G33" s="290">
        <v>246354.723</v>
      </c>
      <c r="H33" s="166">
        <f t="shared" si="6"/>
        <v>36.700000000000003</v>
      </c>
      <c r="I33" s="240">
        <f>IFERROR(100/'Skjema total MA'!F34*G33,0)</f>
        <v>2262.6111899734096</v>
      </c>
      <c r="J33" s="290">
        <f t="shared" si="11"/>
        <v>180277.10399999999</v>
      </c>
      <c r="K33" s="290">
        <f t="shared" si="12"/>
        <v>246354.723</v>
      </c>
      <c r="L33" s="166">
        <f t="shared" si="8"/>
        <v>36.700000000000003</v>
      </c>
      <c r="M33" s="23">
        <f>IFERROR(100/'Skjema total MA'!I34*K33,0)</f>
        <v>981.09620371056792</v>
      </c>
    </row>
    <row r="34" spans="1:14" ht="15.75" x14ac:dyDescent="0.2">
      <c r="A34" s="13" t="s">
        <v>366</v>
      </c>
      <c r="B34" s="236"/>
      <c r="C34" s="309"/>
      <c r="D34" s="171"/>
      <c r="E34" s="11"/>
      <c r="F34" s="308">
        <v>5482.3649999999998</v>
      </c>
      <c r="G34" s="309">
        <v>9562.6149999999998</v>
      </c>
      <c r="H34" s="171">
        <f t="shared" si="6"/>
        <v>74.400000000000006</v>
      </c>
      <c r="I34" s="160">
        <f>IFERROR(100/'Skjema total MA'!F34*G34,0)</f>
        <v>87.826526891500166</v>
      </c>
      <c r="J34" s="236">
        <f t="shared" si="7"/>
        <v>5482.3649999999998</v>
      </c>
      <c r="K34" s="236">
        <f t="shared" si="7"/>
        <v>9562.6149999999998</v>
      </c>
      <c r="L34" s="428">
        <f t="shared" si="8"/>
        <v>74.400000000000006</v>
      </c>
      <c r="M34" s="24">
        <f>IFERROR(100/'Skjema total MA'!I34*K34,0)</f>
        <v>38.082668599967256</v>
      </c>
    </row>
    <row r="35" spans="1:14" ht="15.75" x14ac:dyDescent="0.2">
      <c r="A35" s="13" t="s">
        <v>367</v>
      </c>
      <c r="B35" s="236"/>
      <c r="C35" s="309"/>
      <c r="D35" s="171"/>
      <c r="E35" s="11"/>
      <c r="F35" s="308">
        <v>8384.3439999999991</v>
      </c>
      <c r="G35" s="309">
        <v>12921.367</v>
      </c>
      <c r="H35" s="171">
        <f t="shared" si="6"/>
        <v>54.1</v>
      </c>
      <c r="I35" s="160">
        <f>IFERROR(100/'Skjema total MA'!F35*G35,0)</f>
        <v>11.163827798937316</v>
      </c>
      <c r="J35" s="236">
        <f t="shared" si="7"/>
        <v>8384.3439999999991</v>
      </c>
      <c r="K35" s="236">
        <f t="shared" si="7"/>
        <v>12921.367</v>
      </c>
      <c r="L35" s="428">
        <f t="shared" si="8"/>
        <v>54.1</v>
      </c>
      <c r="M35" s="24">
        <f>IFERROR(100/'Skjema total MA'!I35*K35,0)</f>
        <v>33.361290743337157</v>
      </c>
    </row>
    <row r="36" spans="1:14" ht="15.75" x14ac:dyDescent="0.2">
      <c r="A36" s="12" t="s">
        <v>284</v>
      </c>
      <c r="B36" s="236"/>
      <c r="C36" s="309"/>
      <c r="D36" s="171"/>
      <c r="E36" s="11"/>
      <c r="F36" s="319"/>
      <c r="G36" s="320"/>
      <c r="H36" s="171"/>
      <c r="I36" s="430"/>
      <c r="J36" s="236"/>
      <c r="K36" s="236"/>
      <c r="L36" s="428"/>
      <c r="M36" s="24"/>
    </row>
    <row r="37" spans="1:14" ht="15.75" x14ac:dyDescent="0.2">
      <c r="A37" s="12" t="s">
        <v>373</v>
      </c>
      <c r="B37" s="236"/>
      <c r="C37" s="309"/>
      <c r="D37" s="171"/>
      <c r="E37" s="11"/>
      <c r="F37" s="319"/>
      <c r="G37" s="321"/>
      <c r="H37" s="171"/>
      <c r="I37" s="430"/>
      <c r="J37" s="236"/>
      <c r="K37" s="236"/>
      <c r="L37" s="428"/>
      <c r="M37" s="24"/>
    </row>
    <row r="38" spans="1:14" ht="15.75" x14ac:dyDescent="0.2">
      <c r="A38" s="12" t="s">
        <v>374</v>
      </c>
      <c r="B38" s="236"/>
      <c r="C38" s="309"/>
      <c r="D38" s="171"/>
      <c r="E38" s="24"/>
      <c r="F38" s="319"/>
      <c r="G38" s="320"/>
      <c r="H38" s="171"/>
      <c r="I38" s="430"/>
      <c r="J38" s="236"/>
      <c r="K38" s="236"/>
      <c r="L38" s="428"/>
      <c r="M38" s="24"/>
    </row>
    <row r="39" spans="1:14" ht="15.75" x14ac:dyDescent="0.2">
      <c r="A39" s="18" t="s">
        <v>375</v>
      </c>
      <c r="B39" s="276"/>
      <c r="C39" s="315"/>
      <c r="D39" s="169"/>
      <c r="E39" s="36"/>
      <c r="F39" s="322"/>
      <c r="G39" s="323"/>
      <c r="H39" s="169"/>
      <c r="I39" s="169"/>
      <c r="J39" s="236"/>
      <c r="K39" s="236"/>
      <c r="L39" s="429"/>
      <c r="M39" s="36"/>
    </row>
    <row r="40" spans="1:14" ht="15.75" x14ac:dyDescent="0.25">
      <c r="A40" s="47"/>
      <c r="B40" s="253"/>
      <c r="C40" s="253"/>
      <c r="D40" s="736"/>
      <c r="E40" s="736"/>
      <c r="F40" s="736"/>
      <c r="G40" s="736"/>
      <c r="H40" s="736"/>
      <c r="I40" s="736"/>
      <c r="J40" s="736"/>
      <c r="K40" s="736"/>
      <c r="L40" s="736"/>
      <c r="M40" s="407"/>
    </row>
    <row r="41" spans="1:14" x14ac:dyDescent="0.2">
      <c r="A41" s="155"/>
    </row>
    <row r="42" spans="1:14" ht="15.75" x14ac:dyDescent="0.25">
      <c r="A42" s="147" t="s">
        <v>273</v>
      </c>
      <c r="B42" s="732"/>
      <c r="C42" s="732"/>
      <c r="D42" s="732"/>
      <c r="E42" s="406"/>
      <c r="F42" s="737"/>
      <c r="G42" s="737"/>
      <c r="H42" s="737"/>
      <c r="I42" s="407"/>
      <c r="J42" s="737"/>
      <c r="K42" s="737"/>
      <c r="L42" s="737"/>
      <c r="M42" s="407"/>
    </row>
    <row r="43" spans="1:14" ht="15.75" x14ac:dyDescent="0.25">
      <c r="A43" s="163"/>
      <c r="B43" s="403"/>
      <c r="C43" s="403"/>
      <c r="D43" s="403"/>
      <c r="E43" s="403"/>
      <c r="F43" s="407"/>
      <c r="G43" s="407"/>
      <c r="H43" s="407"/>
      <c r="I43" s="407"/>
      <c r="J43" s="407"/>
      <c r="K43" s="407"/>
      <c r="L43" s="407"/>
      <c r="M43" s="407"/>
    </row>
    <row r="44" spans="1:14" ht="15.75" x14ac:dyDescent="0.25">
      <c r="A44" s="247"/>
      <c r="B44" s="733" t="s">
        <v>0</v>
      </c>
      <c r="C44" s="734"/>
      <c r="D44" s="734"/>
      <c r="E44" s="243"/>
      <c r="F44" s="407"/>
      <c r="G44" s="407"/>
      <c r="H44" s="407"/>
      <c r="I44" s="407"/>
      <c r="J44" s="407"/>
      <c r="K44" s="407"/>
      <c r="L44" s="407"/>
      <c r="M44" s="407"/>
    </row>
    <row r="45" spans="1:14" s="3" customFormat="1" x14ac:dyDescent="0.2">
      <c r="A45" s="140"/>
      <c r="B45" s="152" t="s">
        <v>421</v>
      </c>
      <c r="C45" s="152" t="s">
        <v>422</v>
      </c>
      <c r="D45" s="162" t="s">
        <v>3</v>
      </c>
      <c r="E45" s="162" t="s">
        <v>29</v>
      </c>
      <c r="F45" s="174"/>
      <c r="G45" s="174"/>
      <c r="H45" s="173"/>
      <c r="I45" s="173"/>
      <c r="J45" s="174"/>
      <c r="K45" s="174"/>
      <c r="L45" s="173"/>
      <c r="M45" s="173"/>
      <c r="N45" s="148"/>
    </row>
    <row r="46" spans="1:14" s="3" customFormat="1" x14ac:dyDescent="0.2">
      <c r="A46" s="708"/>
      <c r="B46" s="244"/>
      <c r="C46" s="244"/>
      <c r="D46" s="245" t="s">
        <v>4</v>
      </c>
      <c r="E46" s="156" t="s">
        <v>30</v>
      </c>
      <c r="F46" s="173"/>
      <c r="G46" s="173"/>
      <c r="H46" s="173"/>
      <c r="I46" s="173"/>
      <c r="J46" s="173"/>
      <c r="K46" s="173"/>
      <c r="L46" s="173"/>
      <c r="M46" s="173"/>
      <c r="N46" s="148"/>
    </row>
    <row r="47" spans="1:14" s="3" customFormat="1" ht="15.75" x14ac:dyDescent="0.2">
      <c r="A47" s="14" t="s">
        <v>23</v>
      </c>
      <c r="B47" s="310">
        <v>6013.6350000000002</v>
      </c>
      <c r="C47" s="311">
        <v>6193.2420000000002</v>
      </c>
      <c r="D47" s="427">
        <f t="shared" ref="D47:D48" si="13">IF(B47=0, "    ---- ", IF(ABS(ROUND(100/B47*C47-100,1))&lt;999,ROUND(100/B47*C47-100,1),IF(ROUND(100/B47*C47-100,1)&gt;999,999,-999)))</f>
        <v>3</v>
      </c>
      <c r="E47" s="11">
        <f>IFERROR(100/'Skjema total MA'!C47*C47,0)</f>
        <v>0.14654798852824844</v>
      </c>
      <c r="F47" s="145"/>
      <c r="G47" s="33"/>
      <c r="H47" s="159"/>
      <c r="I47" s="159"/>
      <c r="J47" s="37"/>
      <c r="K47" s="37"/>
      <c r="L47" s="159"/>
      <c r="M47" s="159"/>
      <c r="N47" s="148"/>
    </row>
    <row r="48" spans="1:14" s="3" customFormat="1" ht="15.75" x14ac:dyDescent="0.2">
      <c r="A48" s="38" t="s">
        <v>376</v>
      </c>
      <c r="B48" s="281">
        <v>6013.6350000000002</v>
      </c>
      <c r="C48" s="282">
        <v>6193.2420000000002</v>
      </c>
      <c r="D48" s="254">
        <f t="shared" si="13"/>
        <v>3</v>
      </c>
      <c r="E48" s="27">
        <f>IFERROR(100/'Skjema total MA'!C48*C48,0)</f>
        <v>0.26034335263135655</v>
      </c>
      <c r="F48" s="145"/>
      <c r="G48" s="33"/>
      <c r="H48" s="145"/>
      <c r="I48" s="145"/>
      <c r="J48" s="33"/>
      <c r="K48" s="33"/>
      <c r="L48" s="159"/>
      <c r="M48" s="159"/>
      <c r="N48" s="148"/>
    </row>
    <row r="49" spans="1:14" s="3" customFormat="1" ht="15.75" x14ac:dyDescent="0.2">
      <c r="A49" s="38" t="s">
        <v>377</v>
      </c>
      <c r="B49" s="44"/>
      <c r="C49" s="287"/>
      <c r="D49" s="254"/>
      <c r="E49" s="27"/>
      <c r="F49" s="145"/>
      <c r="G49" s="33"/>
      <c r="H49" s="145"/>
      <c r="I49" s="145"/>
      <c r="J49" s="37"/>
      <c r="K49" s="37"/>
      <c r="L49" s="159"/>
      <c r="M49" s="159"/>
      <c r="N49" s="148"/>
    </row>
    <row r="50" spans="1:14" s="3" customFormat="1" x14ac:dyDescent="0.2">
      <c r="A50" s="296" t="s">
        <v>6</v>
      </c>
      <c r="B50" s="290"/>
      <c r="C50" s="291"/>
      <c r="D50" s="254"/>
      <c r="E50" s="23"/>
      <c r="F50" s="145"/>
      <c r="G50" s="33"/>
      <c r="H50" s="145"/>
      <c r="I50" s="145"/>
      <c r="J50" s="33"/>
      <c r="K50" s="33"/>
      <c r="L50" s="159"/>
      <c r="M50" s="159"/>
      <c r="N50" s="148"/>
    </row>
    <row r="51" spans="1:14" s="3" customFormat="1" x14ac:dyDescent="0.2">
      <c r="A51" s="296" t="s">
        <v>7</v>
      </c>
      <c r="B51" s="290"/>
      <c r="C51" s="291"/>
      <c r="D51" s="254"/>
      <c r="E51" s="23"/>
      <c r="F51" s="145"/>
      <c r="G51" s="33"/>
      <c r="H51" s="145"/>
      <c r="I51" s="145"/>
      <c r="J51" s="33"/>
      <c r="K51" s="33"/>
      <c r="L51" s="159"/>
      <c r="M51" s="159"/>
      <c r="N51" s="148"/>
    </row>
    <row r="52" spans="1:14" s="3" customFormat="1" x14ac:dyDescent="0.2">
      <c r="A52" s="296" t="s">
        <v>8</v>
      </c>
      <c r="B52" s="290"/>
      <c r="C52" s="291"/>
      <c r="D52" s="254"/>
      <c r="E52" s="23"/>
      <c r="F52" s="145"/>
      <c r="G52" s="33"/>
      <c r="H52" s="145"/>
      <c r="I52" s="145"/>
      <c r="J52" s="33"/>
      <c r="K52" s="33"/>
      <c r="L52" s="159"/>
      <c r="M52" s="159"/>
      <c r="N52" s="148"/>
    </row>
    <row r="53" spans="1:14" s="3" customFormat="1" ht="15.75" x14ac:dyDescent="0.2">
      <c r="A53" s="39" t="s">
        <v>378</v>
      </c>
      <c r="B53" s="310"/>
      <c r="C53" s="311"/>
      <c r="D53" s="428"/>
      <c r="E53" s="11"/>
      <c r="F53" s="145"/>
      <c r="G53" s="33"/>
      <c r="H53" s="145"/>
      <c r="I53" s="145"/>
      <c r="J53" s="33"/>
      <c r="K53" s="33"/>
      <c r="L53" s="159"/>
      <c r="M53" s="159"/>
      <c r="N53" s="148"/>
    </row>
    <row r="54" spans="1:14" s="3" customFormat="1" ht="15.75" x14ac:dyDescent="0.2">
      <c r="A54" s="38" t="s">
        <v>376</v>
      </c>
      <c r="B54" s="281"/>
      <c r="C54" s="282"/>
      <c r="D54" s="254"/>
      <c r="E54" s="27"/>
      <c r="F54" s="145"/>
      <c r="G54" s="33"/>
      <c r="H54" s="145"/>
      <c r="I54" s="145"/>
      <c r="J54" s="33"/>
      <c r="K54" s="33"/>
      <c r="L54" s="159"/>
      <c r="M54" s="159"/>
      <c r="N54" s="148"/>
    </row>
    <row r="55" spans="1:14" s="3" customFormat="1" ht="15.75" x14ac:dyDescent="0.2">
      <c r="A55" s="38" t="s">
        <v>377</v>
      </c>
      <c r="B55" s="281"/>
      <c r="C55" s="282"/>
      <c r="D55" s="254"/>
      <c r="E55" s="27"/>
      <c r="F55" s="145"/>
      <c r="G55" s="33"/>
      <c r="H55" s="145"/>
      <c r="I55" s="145"/>
      <c r="J55" s="33"/>
      <c r="K55" s="33"/>
      <c r="L55" s="159"/>
      <c r="M55" s="159"/>
      <c r="N55" s="148"/>
    </row>
    <row r="56" spans="1:14" s="3" customFormat="1" ht="15.75" x14ac:dyDescent="0.2">
      <c r="A56" s="39" t="s">
        <v>379</v>
      </c>
      <c r="B56" s="310"/>
      <c r="C56" s="311"/>
      <c r="D56" s="428"/>
      <c r="E56" s="11"/>
      <c r="F56" s="145"/>
      <c r="G56" s="33"/>
      <c r="H56" s="145"/>
      <c r="I56" s="145"/>
      <c r="J56" s="33"/>
      <c r="K56" s="33"/>
      <c r="L56" s="159"/>
      <c r="M56" s="159"/>
      <c r="N56" s="148"/>
    </row>
    <row r="57" spans="1:14" s="3" customFormat="1" ht="15.75" x14ac:dyDescent="0.2">
      <c r="A57" s="38" t="s">
        <v>376</v>
      </c>
      <c r="B57" s="281"/>
      <c r="C57" s="282"/>
      <c r="D57" s="254"/>
      <c r="E57" s="27"/>
      <c r="F57" s="145"/>
      <c r="G57" s="33"/>
      <c r="H57" s="145"/>
      <c r="I57" s="145"/>
      <c r="J57" s="33"/>
      <c r="K57" s="33"/>
      <c r="L57" s="159"/>
      <c r="M57" s="159"/>
      <c r="N57" s="148"/>
    </row>
    <row r="58" spans="1:14" s="3" customFormat="1" ht="15.75" x14ac:dyDescent="0.2">
      <c r="A58" s="46" t="s">
        <v>377</v>
      </c>
      <c r="B58" s="283"/>
      <c r="C58" s="284"/>
      <c r="D58" s="255"/>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274</v>
      </c>
      <c r="C61" s="26"/>
      <c r="D61" s="26"/>
      <c r="E61" s="26"/>
      <c r="F61" s="26"/>
      <c r="G61" s="26"/>
      <c r="H61" s="26"/>
      <c r="I61" s="26"/>
      <c r="J61" s="26"/>
      <c r="K61" s="26"/>
      <c r="L61" s="26"/>
      <c r="M61" s="26"/>
    </row>
    <row r="62" spans="1:14" ht="15.75" x14ac:dyDescent="0.25">
      <c r="B62" s="735"/>
      <c r="C62" s="735"/>
      <c r="D62" s="735"/>
      <c r="E62" s="406"/>
      <c r="F62" s="735"/>
      <c r="G62" s="735"/>
      <c r="H62" s="735"/>
      <c r="I62" s="406"/>
      <c r="J62" s="735"/>
      <c r="K62" s="735"/>
      <c r="L62" s="735"/>
      <c r="M62" s="406"/>
    </row>
    <row r="63" spans="1:14" x14ac:dyDescent="0.2">
      <c r="A63" s="144"/>
      <c r="B63" s="733" t="s">
        <v>0</v>
      </c>
      <c r="C63" s="734"/>
      <c r="D63" s="738"/>
      <c r="E63" s="404"/>
      <c r="F63" s="734" t="s">
        <v>1</v>
      </c>
      <c r="G63" s="734"/>
      <c r="H63" s="734"/>
      <c r="I63" s="408"/>
      <c r="J63" s="733" t="s">
        <v>2</v>
      </c>
      <c r="K63" s="734"/>
      <c r="L63" s="734"/>
      <c r="M63" s="408"/>
    </row>
    <row r="64" spans="1:14" x14ac:dyDescent="0.2">
      <c r="A64" s="140"/>
      <c r="B64" s="152" t="s">
        <v>421</v>
      </c>
      <c r="C64" s="152" t="s">
        <v>422</v>
      </c>
      <c r="D64" s="245" t="s">
        <v>3</v>
      </c>
      <c r="E64" s="305" t="s">
        <v>29</v>
      </c>
      <c r="F64" s="152" t="s">
        <v>421</v>
      </c>
      <c r="G64" s="152" t="s">
        <v>422</v>
      </c>
      <c r="H64" s="245" t="s">
        <v>3</v>
      </c>
      <c r="I64" s="305" t="s">
        <v>29</v>
      </c>
      <c r="J64" s="152" t="s">
        <v>421</v>
      </c>
      <c r="K64" s="152" t="s">
        <v>422</v>
      </c>
      <c r="L64" s="245" t="s">
        <v>3</v>
      </c>
      <c r="M64" s="162" t="s">
        <v>29</v>
      </c>
    </row>
    <row r="65" spans="1:14" x14ac:dyDescent="0.2">
      <c r="A65" s="708"/>
      <c r="B65" s="156"/>
      <c r="C65" s="156"/>
      <c r="D65" s="246" t="s">
        <v>4</v>
      </c>
      <c r="E65" s="156" t="s">
        <v>30</v>
      </c>
      <c r="F65" s="161"/>
      <c r="G65" s="161"/>
      <c r="H65" s="245" t="s">
        <v>4</v>
      </c>
      <c r="I65" s="156" t="s">
        <v>30</v>
      </c>
      <c r="J65" s="161"/>
      <c r="K65" s="206"/>
      <c r="L65" s="156" t="s">
        <v>4</v>
      </c>
      <c r="M65" s="156" t="s">
        <v>30</v>
      </c>
    </row>
    <row r="66" spans="1:14" ht="15.75" x14ac:dyDescent="0.2">
      <c r="A66" s="14" t="s">
        <v>23</v>
      </c>
      <c r="B66" s="353">
        <v>87998.042000000001</v>
      </c>
      <c r="C66" s="353">
        <v>96731.383000000002</v>
      </c>
      <c r="D66" s="350">
        <f t="shared" ref="D66:D124" si="14">IF(B66=0, "    ---- ", IF(ABS(ROUND(100/B66*C66-100,1))&lt;999,ROUND(100/B66*C66-100,1),IF(ROUND(100/B66*C66-100,1)&gt;999,999,-999)))</f>
        <v>9.9</v>
      </c>
      <c r="E66" s="11">
        <f>IFERROR(100/'Skjema total MA'!C66*C66,0)</f>
        <v>1.6326932553967826</v>
      </c>
      <c r="F66" s="352">
        <v>1206947.0589999999</v>
      </c>
      <c r="G66" s="352">
        <v>1319681.8370000001</v>
      </c>
      <c r="H66" s="350">
        <f t="shared" ref="H66:H125" si="15">IF(F66=0, "    ---- ", IF(ABS(ROUND(100/F66*G66-100,1))&lt;999,ROUND(100/F66*G66-100,1),IF(ROUND(100/F66*G66-100,1)&gt;999,999,-999)))</f>
        <v>9.3000000000000007</v>
      </c>
      <c r="I66" s="11">
        <f>IFERROR(100/'Skjema total MA'!F66*G66,0)</f>
        <v>5.0724932935944942</v>
      </c>
      <c r="J66" s="309">
        <f t="shared" ref="J66:K79" si="16">SUM(B66,F66)</f>
        <v>1294945.1009999998</v>
      </c>
      <c r="K66" s="316">
        <f t="shared" si="16"/>
        <v>1416413.22</v>
      </c>
      <c r="L66" s="428">
        <f t="shared" ref="L66:L125" si="17">IF(J66=0, "    ---- ", IF(ABS(ROUND(100/J66*K66-100,1))&lt;999,ROUND(100/J66*K66-100,1),IF(ROUND(100/J66*K66-100,1)&gt;999,999,-999)))</f>
        <v>9.4</v>
      </c>
      <c r="M66" s="11">
        <f>IFERROR(100/'Skjema total MA'!I66*K66,0)</f>
        <v>4.4344556023010018</v>
      </c>
    </row>
    <row r="67" spans="1:14" x14ac:dyDescent="0.2">
      <c r="A67" s="21" t="s">
        <v>9</v>
      </c>
      <c r="B67" s="44">
        <v>87998.042000000001</v>
      </c>
      <c r="C67" s="145">
        <v>96731.383000000002</v>
      </c>
      <c r="D67" s="166">
        <f t="shared" si="14"/>
        <v>9.9</v>
      </c>
      <c r="E67" s="27">
        <f>IFERROR(100/'Skjema total MA'!C67*C67,0)</f>
        <v>2.3219887240165202</v>
      </c>
      <c r="F67" s="234"/>
      <c r="G67" s="145"/>
      <c r="H67" s="166"/>
      <c r="I67" s="27"/>
      <c r="J67" s="287">
        <f t="shared" si="16"/>
        <v>87998.042000000001</v>
      </c>
      <c r="K67" s="44">
        <f t="shared" si="16"/>
        <v>96731.383000000002</v>
      </c>
      <c r="L67" s="254">
        <f t="shared" si="17"/>
        <v>9.9</v>
      </c>
      <c r="M67" s="27">
        <f>IFERROR(100/'Skjema total MA'!I67*K67,0)</f>
        <v>2.3219887240165202</v>
      </c>
    </row>
    <row r="68" spans="1:14" x14ac:dyDescent="0.2">
      <c r="A68" s="21" t="s">
        <v>10</v>
      </c>
      <c r="B68" s="292"/>
      <c r="C68" s="293"/>
      <c r="D68" s="166"/>
      <c r="E68" s="27"/>
      <c r="F68" s="292">
        <v>1206947.0589999999</v>
      </c>
      <c r="G68" s="293">
        <v>1319681.8370000001</v>
      </c>
      <c r="H68" s="166">
        <f t="shared" si="15"/>
        <v>9.3000000000000007</v>
      </c>
      <c r="I68" s="27">
        <f>IFERROR(100/'Skjema total MA'!F68*G68,0)</f>
        <v>5.2813854838948933</v>
      </c>
      <c r="J68" s="287">
        <f t="shared" si="16"/>
        <v>1206947.0589999999</v>
      </c>
      <c r="K68" s="44">
        <f t="shared" si="16"/>
        <v>1319681.8370000001</v>
      </c>
      <c r="L68" s="254">
        <f t="shared" si="17"/>
        <v>9.3000000000000007</v>
      </c>
      <c r="M68" s="27">
        <f>IFERROR(100/'Skjema total MA'!I68*K68,0)</f>
        <v>5.256477055446851</v>
      </c>
    </row>
    <row r="69" spans="1:14" ht="15.75" x14ac:dyDescent="0.2">
      <c r="A69" s="296" t="s">
        <v>380</v>
      </c>
      <c r="B69" s="294"/>
      <c r="C69" s="295"/>
      <c r="D69" s="166"/>
      <c r="E69" s="417"/>
      <c r="F69" s="294"/>
      <c r="G69" s="295"/>
      <c r="H69" s="166"/>
      <c r="I69" s="417"/>
      <c r="J69" s="294"/>
      <c r="K69" s="295"/>
      <c r="L69" s="166"/>
      <c r="M69" s="23"/>
    </row>
    <row r="70" spans="1:14" x14ac:dyDescent="0.2">
      <c r="A70" s="296" t="s">
        <v>12</v>
      </c>
      <c r="B70" s="294"/>
      <c r="C70" s="295"/>
      <c r="D70" s="166"/>
      <c r="E70" s="417"/>
      <c r="F70" s="294"/>
      <c r="G70" s="295"/>
      <c r="H70" s="166"/>
      <c r="I70" s="417"/>
      <c r="J70" s="294"/>
      <c r="K70" s="295"/>
      <c r="L70" s="166"/>
      <c r="M70" s="23"/>
    </row>
    <row r="71" spans="1:14" x14ac:dyDescent="0.2">
      <c r="A71" s="296" t="s">
        <v>13</v>
      </c>
      <c r="B71" s="235"/>
      <c r="C71" s="289"/>
      <c r="D71" s="166"/>
      <c r="E71" s="417"/>
      <c r="F71" s="294"/>
      <c r="G71" s="295"/>
      <c r="H71" s="166"/>
      <c r="I71" s="417"/>
      <c r="J71" s="294"/>
      <c r="K71" s="295"/>
      <c r="L71" s="166"/>
      <c r="M71" s="23"/>
    </row>
    <row r="72" spans="1:14" ht="15.75" x14ac:dyDescent="0.2">
      <c r="A72" s="296" t="s">
        <v>381</v>
      </c>
      <c r="B72" s="294"/>
      <c r="C72" s="295"/>
      <c r="D72" s="166"/>
      <c r="E72" s="417"/>
      <c r="F72" s="294"/>
      <c r="G72" s="295"/>
      <c r="H72" s="166"/>
      <c r="I72" s="417"/>
      <c r="J72" s="294"/>
      <c r="K72" s="295"/>
      <c r="L72" s="166"/>
      <c r="M72" s="23"/>
    </row>
    <row r="73" spans="1:14" x14ac:dyDescent="0.2">
      <c r="A73" s="296" t="s">
        <v>12</v>
      </c>
      <c r="B73" s="235"/>
      <c r="C73" s="289"/>
      <c r="D73" s="166"/>
      <c r="E73" s="417"/>
      <c r="F73" s="294"/>
      <c r="G73" s="295"/>
      <c r="H73" s="166"/>
      <c r="I73" s="417"/>
      <c r="J73" s="294"/>
      <c r="K73" s="295"/>
      <c r="L73" s="166"/>
      <c r="M73" s="23"/>
    </row>
    <row r="74" spans="1:14" s="3" customFormat="1" x14ac:dyDescent="0.2">
      <c r="A74" s="296" t="s">
        <v>13</v>
      </c>
      <c r="B74" s="235"/>
      <c r="C74" s="289"/>
      <c r="D74" s="166"/>
      <c r="E74" s="417"/>
      <c r="F74" s="294"/>
      <c r="G74" s="295"/>
      <c r="H74" s="166"/>
      <c r="I74" s="417"/>
      <c r="J74" s="294"/>
      <c r="K74" s="295"/>
      <c r="L74" s="166"/>
      <c r="M74" s="23"/>
      <c r="N74" s="148"/>
    </row>
    <row r="75" spans="1:14" s="3" customFormat="1" x14ac:dyDescent="0.2">
      <c r="A75" s="21" t="s">
        <v>350</v>
      </c>
      <c r="B75" s="234"/>
      <c r="C75" s="145"/>
      <c r="D75" s="166"/>
      <c r="E75" s="27"/>
      <c r="F75" s="234"/>
      <c r="G75" s="145"/>
      <c r="H75" s="166"/>
      <c r="I75" s="27"/>
      <c r="J75" s="287"/>
      <c r="K75" s="44"/>
      <c r="L75" s="254"/>
      <c r="M75" s="27"/>
      <c r="N75" s="148"/>
    </row>
    <row r="76" spans="1:14" s="3" customFormat="1" x14ac:dyDescent="0.2">
      <c r="A76" s="21" t="s">
        <v>349</v>
      </c>
      <c r="B76" s="234"/>
      <c r="C76" s="145"/>
      <c r="D76" s="166"/>
      <c r="E76" s="27"/>
      <c r="F76" s="234"/>
      <c r="G76" s="145"/>
      <c r="H76" s="166"/>
      <c r="I76" s="27"/>
      <c r="J76" s="287"/>
      <c r="K76" s="44"/>
      <c r="L76" s="254"/>
      <c r="M76" s="27"/>
      <c r="N76" s="148"/>
    </row>
    <row r="77" spans="1:14" ht="15.75" x14ac:dyDescent="0.2">
      <c r="A77" s="21" t="s">
        <v>382</v>
      </c>
      <c r="B77" s="234">
        <v>87998.042000000001</v>
      </c>
      <c r="C77" s="234">
        <v>96731.383000000002</v>
      </c>
      <c r="D77" s="166">
        <f t="shared" si="14"/>
        <v>9.9</v>
      </c>
      <c r="E77" s="27">
        <f>IFERROR(100/'Skjema total MA'!C77*C77,0)</f>
        <v>2.3329850452266996</v>
      </c>
      <c r="F77" s="234">
        <v>1206947.0589999999</v>
      </c>
      <c r="G77" s="145">
        <v>1319681.8370000001</v>
      </c>
      <c r="H77" s="166">
        <f t="shared" si="15"/>
        <v>9.3000000000000007</v>
      </c>
      <c r="I77" s="27">
        <f>IFERROR(100/'Skjema total MA'!F77*G77,0)</f>
        <v>5.2837948396103354</v>
      </c>
      <c r="J77" s="287">
        <f t="shared" si="16"/>
        <v>1294945.1009999998</v>
      </c>
      <c r="K77" s="44">
        <f t="shared" si="16"/>
        <v>1416413.22</v>
      </c>
      <c r="L77" s="254">
        <f t="shared" si="17"/>
        <v>9.4</v>
      </c>
      <c r="M77" s="27">
        <f>IFERROR(100/'Skjema total MA'!I77*K77,0)</f>
        <v>4.8636767428316512</v>
      </c>
    </row>
    <row r="78" spans="1:14" x14ac:dyDescent="0.2">
      <c r="A78" s="21" t="s">
        <v>9</v>
      </c>
      <c r="B78" s="234">
        <v>87998.042000000001</v>
      </c>
      <c r="C78" s="145">
        <v>96731.383000000002</v>
      </c>
      <c r="D78" s="166">
        <f t="shared" si="14"/>
        <v>9.9</v>
      </c>
      <c r="E78" s="27">
        <f>IFERROR(100/'Skjema total MA'!C78*C78,0)</f>
        <v>2.4004365758518071</v>
      </c>
      <c r="F78" s="234"/>
      <c r="G78" s="145"/>
      <c r="H78" s="166"/>
      <c r="I78" s="27"/>
      <c r="J78" s="287">
        <f t="shared" si="16"/>
        <v>87998.042000000001</v>
      </c>
      <c r="K78" s="44">
        <f t="shared" si="16"/>
        <v>96731.383000000002</v>
      </c>
      <c r="L78" s="254">
        <f t="shared" si="17"/>
        <v>9.9</v>
      </c>
      <c r="M78" s="27">
        <f>IFERROR(100/'Skjema total MA'!I78*K78,0)</f>
        <v>2.4004365758518071</v>
      </c>
    </row>
    <row r="79" spans="1:14" x14ac:dyDescent="0.2">
      <c r="A79" s="21" t="s">
        <v>10</v>
      </c>
      <c r="B79" s="292"/>
      <c r="C79" s="293"/>
      <c r="D79" s="166"/>
      <c r="E79" s="27"/>
      <c r="F79" s="292">
        <v>1206947.0589999999</v>
      </c>
      <c r="G79" s="293">
        <v>1319681.8370000001</v>
      </c>
      <c r="H79" s="166">
        <f t="shared" si="15"/>
        <v>9.3000000000000007</v>
      </c>
      <c r="I79" s="27">
        <f>IFERROR(100/'Skjema total MA'!F79*G79,0)</f>
        <v>5.2837948396103354</v>
      </c>
      <c r="J79" s="287">
        <f t="shared" si="16"/>
        <v>1206947.0589999999</v>
      </c>
      <c r="K79" s="44">
        <f t="shared" si="16"/>
        <v>1319681.8370000001</v>
      </c>
      <c r="L79" s="254">
        <f t="shared" si="17"/>
        <v>9.3000000000000007</v>
      </c>
      <c r="M79" s="27">
        <f>IFERROR(100/'Skjema total MA'!I79*K79,0)</f>
        <v>5.2592613978193947</v>
      </c>
    </row>
    <row r="80" spans="1:14" ht="15.75" x14ac:dyDescent="0.2">
      <c r="A80" s="296" t="s">
        <v>380</v>
      </c>
      <c r="B80" s="294"/>
      <c r="C80" s="295"/>
      <c r="D80" s="166"/>
      <c r="E80" s="417"/>
      <c r="F80" s="294"/>
      <c r="G80" s="295"/>
      <c r="H80" s="166"/>
      <c r="I80" s="417"/>
      <c r="J80" s="294"/>
      <c r="K80" s="295"/>
      <c r="L80" s="166"/>
      <c r="M80" s="23"/>
    </row>
    <row r="81" spans="1:13" x14ac:dyDescent="0.2">
      <c r="A81" s="296" t="s">
        <v>12</v>
      </c>
      <c r="B81" s="294"/>
      <c r="C81" s="295"/>
      <c r="D81" s="166"/>
      <c r="E81" s="417"/>
      <c r="F81" s="294"/>
      <c r="G81" s="295"/>
      <c r="H81" s="166"/>
      <c r="I81" s="417"/>
      <c r="J81" s="294"/>
      <c r="K81" s="295"/>
      <c r="L81" s="166"/>
      <c r="M81" s="23"/>
    </row>
    <row r="82" spans="1:13" x14ac:dyDescent="0.2">
      <c r="A82" s="296" t="s">
        <v>13</v>
      </c>
      <c r="B82" s="294"/>
      <c r="C82" s="295"/>
      <c r="D82" s="166"/>
      <c r="E82" s="417"/>
      <c r="F82" s="294"/>
      <c r="G82" s="295"/>
      <c r="H82" s="166"/>
      <c r="I82" s="417"/>
      <c r="J82" s="294"/>
      <c r="K82" s="295"/>
      <c r="L82" s="166"/>
      <c r="M82" s="23"/>
    </row>
    <row r="83" spans="1:13" ht="15.75" x14ac:dyDescent="0.2">
      <c r="A83" s="296" t="s">
        <v>381</v>
      </c>
      <c r="B83" s="294"/>
      <c r="C83" s="295"/>
      <c r="D83" s="166"/>
      <c r="E83" s="417"/>
      <c r="F83" s="294"/>
      <c r="G83" s="295"/>
      <c r="H83" s="166"/>
      <c r="I83" s="417"/>
      <c r="J83" s="294"/>
      <c r="K83" s="295"/>
      <c r="L83" s="166"/>
      <c r="M83" s="23"/>
    </row>
    <row r="84" spans="1:13" x14ac:dyDescent="0.2">
      <c r="A84" s="296" t="s">
        <v>12</v>
      </c>
      <c r="B84" s="294"/>
      <c r="C84" s="295"/>
      <c r="D84" s="166"/>
      <c r="E84" s="417"/>
      <c r="F84" s="294"/>
      <c r="G84" s="295"/>
      <c r="H84" s="166"/>
      <c r="I84" s="417"/>
      <c r="J84" s="294"/>
      <c r="K84" s="295"/>
      <c r="L84" s="166"/>
      <c r="M84" s="23"/>
    </row>
    <row r="85" spans="1:13" x14ac:dyDescent="0.2">
      <c r="A85" s="296" t="s">
        <v>13</v>
      </c>
      <c r="B85" s="294"/>
      <c r="C85" s="295"/>
      <c r="D85" s="166"/>
      <c r="E85" s="417"/>
      <c r="F85" s="294"/>
      <c r="G85" s="295"/>
      <c r="H85" s="166"/>
      <c r="I85" s="417"/>
      <c r="J85" s="294"/>
      <c r="K85" s="295"/>
      <c r="L85" s="166"/>
      <c r="M85" s="23"/>
    </row>
    <row r="86" spans="1:13" ht="15.75" x14ac:dyDescent="0.2">
      <c r="A86" s="21" t="s">
        <v>383</v>
      </c>
      <c r="B86" s="234"/>
      <c r="C86" s="145"/>
      <c r="D86" s="166"/>
      <c r="E86" s="27"/>
      <c r="F86" s="234"/>
      <c r="G86" s="145"/>
      <c r="H86" s="166"/>
      <c r="I86" s="27"/>
      <c r="J86" s="287"/>
      <c r="K86" s="44"/>
      <c r="L86" s="254"/>
      <c r="M86" s="27"/>
    </row>
    <row r="87" spans="1:13" ht="15.75" x14ac:dyDescent="0.2">
      <c r="A87" s="13" t="s">
        <v>365</v>
      </c>
      <c r="B87" s="353">
        <v>734809.13500000001</v>
      </c>
      <c r="C87" s="353">
        <v>850214.01100000006</v>
      </c>
      <c r="D87" s="171">
        <f t="shared" si="14"/>
        <v>15.7</v>
      </c>
      <c r="E87" s="11">
        <f>IFERROR(100/'Skjema total MA'!C87*C87,0)</f>
        <v>0.21610365781327529</v>
      </c>
      <c r="F87" s="352">
        <v>14952595.821</v>
      </c>
      <c r="G87" s="352">
        <v>17479496.629000001</v>
      </c>
      <c r="H87" s="171">
        <f t="shared" si="15"/>
        <v>16.899999999999999</v>
      </c>
      <c r="I87" s="11">
        <f>IFERROR(100/'Skjema total MA'!F87*G87,0)</f>
        <v>5.1672331272633452</v>
      </c>
      <c r="J87" s="309">
        <f t="shared" ref="J87:K111" si="18">SUM(B87,F87)</f>
        <v>15687404.956</v>
      </c>
      <c r="K87" s="236">
        <f t="shared" si="18"/>
        <v>18329710.640000001</v>
      </c>
      <c r="L87" s="428">
        <f t="shared" si="17"/>
        <v>16.8</v>
      </c>
      <c r="M87" s="11">
        <f>IFERROR(100/'Skjema total MA'!I87*K87,0)</f>
        <v>2.5050699530206346</v>
      </c>
    </row>
    <row r="88" spans="1:13" x14ac:dyDescent="0.2">
      <c r="A88" s="21" t="s">
        <v>9</v>
      </c>
      <c r="B88" s="234">
        <v>734809.13500000001</v>
      </c>
      <c r="C88" s="145">
        <v>850214.01100000006</v>
      </c>
      <c r="D88" s="166">
        <f t="shared" si="14"/>
        <v>15.7</v>
      </c>
      <c r="E88" s="27">
        <f>IFERROR(100/'Skjema total MA'!C88*C88,0)</f>
        <v>0.22264415013119296</v>
      </c>
      <c r="F88" s="234"/>
      <c r="G88" s="145"/>
      <c r="H88" s="166"/>
      <c r="I88" s="27"/>
      <c r="J88" s="287">
        <f t="shared" si="18"/>
        <v>734809.13500000001</v>
      </c>
      <c r="K88" s="44">
        <f t="shared" si="18"/>
        <v>850214.01100000006</v>
      </c>
      <c r="L88" s="254">
        <f t="shared" si="17"/>
        <v>15.7</v>
      </c>
      <c r="M88" s="27">
        <f>IFERROR(100/'Skjema total MA'!I88*K88,0)</f>
        <v>0.22264415013119296</v>
      </c>
    </row>
    <row r="89" spans="1:13" x14ac:dyDescent="0.2">
      <c r="A89" s="21" t="s">
        <v>10</v>
      </c>
      <c r="B89" s="234"/>
      <c r="C89" s="145"/>
      <c r="D89" s="166"/>
      <c r="E89" s="27"/>
      <c r="F89" s="234">
        <v>14952595.821</v>
      </c>
      <c r="G89" s="145">
        <v>17479496.629000001</v>
      </c>
      <c r="H89" s="166">
        <f t="shared" si="15"/>
        <v>16.899999999999999</v>
      </c>
      <c r="I89" s="27">
        <f>IFERROR(100/'Skjema total MA'!F89*G89,0)</f>
        <v>5.2068266091426514</v>
      </c>
      <c r="J89" s="287">
        <f t="shared" si="18"/>
        <v>14952595.821</v>
      </c>
      <c r="K89" s="44">
        <f t="shared" si="18"/>
        <v>17479496.629000001</v>
      </c>
      <c r="L89" s="254">
        <f t="shared" si="17"/>
        <v>16.899999999999999</v>
      </c>
      <c r="M89" s="27">
        <f>IFERROR(100/'Skjema total MA'!I89*K89,0)</f>
        <v>5.1581486959055969</v>
      </c>
    </row>
    <row r="90" spans="1:13" ht="15.75" x14ac:dyDescent="0.2">
      <c r="A90" s="296" t="s">
        <v>380</v>
      </c>
      <c r="B90" s="294"/>
      <c r="C90" s="295"/>
      <c r="D90" s="166"/>
      <c r="E90" s="417"/>
      <c r="F90" s="294"/>
      <c r="G90" s="295"/>
      <c r="H90" s="166"/>
      <c r="I90" s="417"/>
      <c r="J90" s="294"/>
      <c r="K90" s="295"/>
      <c r="L90" s="166"/>
      <c r="M90" s="23"/>
    </row>
    <row r="91" spans="1:13" x14ac:dyDescent="0.2">
      <c r="A91" s="296" t="s">
        <v>12</v>
      </c>
      <c r="B91" s="294"/>
      <c r="C91" s="295"/>
      <c r="D91" s="166"/>
      <c r="E91" s="417"/>
      <c r="F91" s="294"/>
      <c r="G91" s="295"/>
      <c r="H91" s="166"/>
      <c r="I91" s="417"/>
      <c r="J91" s="294"/>
      <c r="K91" s="295"/>
      <c r="L91" s="166"/>
      <c r="M91" s="23"/>
    </row>
    <row r="92" spans="1:13" x14ac:dyDescent="0.2">
      <c r="A92" s="296" t="s">
        <v>13</v>
      </c>
      <c r="B92" s="294"/>
      <c r="C92" s="295"/>
      <c r="D92" s="166"/>
      <c r="E92" s="417"/>
      <c r="F92" s="294"/>
      <c r="G92" s="295"/>
      <c r="H92" s="166"/>
      <c r="I92" s="417"/>
      <c r="J92" s="294"/>
      <c r="K92" s="295"/>
      <c r="L92" s="166"/>
      <c r="M92" s="23"/>
    </row>
    <row r="93" spans="1:13" ht="15.75" x14ac:dyDescent="0.2">
      <c r="A93" s="296" t="s">
        <v>381</v>
      </c>
      <c r="B93" s="294"/>
      <c r="C93" s="295"/>
      <c r="D93" s="166"/>
      <c r="E93" s="417"/>
      <c r="F93" s="294"/>
      <c r="G93" s="295"/>
      <c r="H93" s="166"/>
      <c r="I93" s="417"/>
      <c r="J93" s="294"/>
      <c r="K93" s="295"/>
      <c r="L93" s="166"/>
      <c r="M93" s="23"/>
    </row>
    <row r="94" spans="1:13" x14ac:dyDescent="0.2">
      <c r="A94" s="296" t="s">
        <v>12</v>
      </c>
      <c r="B94" s="294"/>
      <c r="C94" s="295"/>
      <c r="D94" s="166"/>
      <c r="E94" s="417"/>
      <c r="F94" s="294"/>
      <c r="G94" s="295"/>
      <c r="H94" s="166"/>
      <c r="I94" s="417"/>
      <c r="J94" s="294"/>
      <c r="K94" s="295"/>
      <c r="L94" s="166"/>
      <c r="M94" s="23"/>
    </row>
    <row r="95" spans="1:13" x14ac:dyDescent="0.2">
      <c r="A95" s="296" t="s">
        <v>13</v>
      </c>
      <c r="B95" s="294"/>
      <c r="C95" s="295"/>
      <c r="D95" s="166"/>
      <c r="E95" s="417"/>
      <c r="F95" s="294"/>
      <c r="G95" s="295"/>
      <c r="H95" s="166"/>
      <c r="I95" s="417"/>
      <c r="J95" s="294"/>
      <c r="K95" s="295"/>
      <c r="L95" s="166"/>
      <c r="M95" s="23"/>
    </row>
    <row r="96" spans="1:13" x14ac:dyDescent="0.2">
      <c r="A96" s="21" t="s">
        <v>348</v>
      </c>
      <c r="B96" s="234"/>
      <c r="C96" s="145"/>
      <c r="D96" s="166"/>
      <c r="E96" s="27"/>
      <c r="F96" s="234"/>
      <c r="G96" s="145"/>
      <c r="H96" s="166"/>
      <c r="I96" s="27"/>
      <c r="J96" s="287"/>
      <c r="K96" s="44"/>
      <c r="L96" s="254"/>
      <c r="M96" s="27"/>
    </row>
    <row r="97" spans="1:13" x14ac:dyDescent="0.2">
      <c r="A97" s="21" t="s">
        <v>347</v>
      </c>
      <c r="B97" s="234"/>
      <c r="C97" s="145"/>
      <c r="D97" s="166"/>
      <c r="E97" s="27"/>
      <c r="F97" s="234"/>
      <c r="G97" s="145"/>
      <c r="H97" s="166"/>
      <c r="I97" s="27"/>
      <c r="J97" s="287"/>
      <c r="K97" s="44"/>
      <c r="L97" s="254"/>
      <c r="M97" s="27"/>
    </row>
    <row r="98" spans="1:13" ht="15.75" x14ac:dyDescent="0.2">
      <c r="A98" s="21" t="s">
        <v>382</v>
      </c>
      <c r="B98" s="234">
        <v>734809.13500000001</v>
      </c>
      <c r="C98" s="234">
        <v>850214.01100000006</v>
      </c>
      <c r="D98" s="166">
        <f t="shared" si="14"/>
        <v>15.7</v>
      </c>
      <c r="E98" s="27">
        <f>IFERROR(100/'Skjema total MA'!C98*C98,0)</f>
        <v>0.22337293287053839</v>
      </c>
      <c r="F98" s="292">
        <v>14952595.821</v>
      </c>
      <c r="G98" s="292">
        <v>17479496.629000001</v>
      </c>
      <c r="H98" s="166">
        <f t="shared" si="15"/>
        <v>16.899999999999999</v>
      </c>
      <c r="I98" s="27">
        <f>IFERROR(100/'Skjema total MA'!F98*G98,0)</f>
        <v>5.2214919800489916</v>
      </c>
      <c r="J98" s="287">
        <f t="shared" si="18"/>
        <v>15687404.956</v>
      </c>
      <c r="K98" s="44">
        <f t="shared" si="18"/>
        <v>18329710.640000001</v>
      </c>
      <c r="L98" s="254">
        <f t="shared" si="17"/>
        <v>16.8</v>
      </c>
      <c r="M98" s="27">
        <f>IFERROR(100/'Skjema total MA'!I98*K98,0)</f>
        <v>2.562212916663555</v>
      </c>
    </row>
    <row r="99" spans="1:13" x14ac:dyDescent="0.2">
      <c r="A99" s="21" t="s">
        <v>9</v>
      </c>
      <c r="B99" s="292">
        <v>734809.13500000001</v>
      </c>
      <c r="C99" s="293">
        <v>850214.01100000006</v>
      </c>
      <c r="D99" s="166">
        <f t="shared" si="14"/>
        <v>15.7</v>
      </c>
      <c r="E99" s="27">
        <f>IFERROR(100/'Skjema total MA'!C99*C99,0)</f>
        <v>0.22524774015506793</v>
      </c>
      <c r="F99" s="234"/>
      <c r="G99" s="145"/>
      <c r="H99" s="166"/>
      <c r="I99" s="27"/>
      <c r="J99" s="287">
        <f t="shared" si="18"/>
        <v>734809.13500000001</v>
      </c>
      <c r="K99" s="44">
        <f t="shared" si="18"/>
        <v>850214.01100000006</v>
      </c>
      <c r="L99" s="254">
        <f t="shared" si="17"/>
        <v>15.7</v>
      </c>
      <c r="M99" s="27">
        <f>IFERROR(100/'Skjema total MA'!I99*K99,0)</f>
        <v>0.22524774015506793</v>
      </c>
    </row>
    <row r="100" spans="1:13" x14ac:dyDescent="0.2">
      <c r="A100" s="21" t="s">
        <v>10</v>
      </c>
      <c r="B100" s="292"/>
      <c r="C100" s="293"/>
      <c r="D100" s="166"/>
      <c r="E100" s="27"/>
      <c r="F100" s="234">
        <v>14952595.821</v>
      </c>
      <c r="G100" s="234">
        <v>17479496.629000001</v>
      </c>
      <c r="H100" s="166">
        <f t="shared" si="15"/>
        <v>16.899999999999999</v>
      </c>
      <c r="I100" s="27">
        <f>IFERROR(100/'Skjema total MA'!F100*G100,0)</f>
        <v>5.2214919800489916</v>
      </c>
      <c r="J100" s="287">
        <f t="shared" si="18"/>
        <v>14952595.821</v>
      </c>
      <c r="K100" s="44">
        <f t="shared" si="18"/>
        <v>17479496.629000001</v>
      </c>
      <c r="L100" s="254">
        <f t="shared" si="17"/>
        <v>16.899999999999999</v>
      </c>
      <c r="M100" s="27">
        <f>IFERROR(100/'Skjema total MA'!I100*K100,0)</f>
        <v>5.1725407605035274</v>
      </c>
    </row>
    <row r="101" spans="1:13" ht="15.75" x14ac:dyDescent="0.2">
      <c r="A101" s="296" t="s">
        <v>380</v>
      </c>
      <c r="B101" s="294"/>
      <c r="C101" s="295"/>
      <c r="D101" s="166"/>
      <c r="E101" s="417"/>
      <c r="F101" s="294"/>
      <c r="G101" s="295"/>
      <c r="H101" s="166"/>
      <c r="I101" s="417"/>
      <c r="J101" s="294"/>
      <c r="K101" s="295"/>
      <c r="L101" s="166"/>
      <c r="M101" s="23"/>
    </row>
    <row r="102" spans="1:13" x14ac:dyDescent="0.2">
      <c r="A102" s="296" t="s">
        <v>12</v>
      </c>
      <c r="B102" s="294"/>
      <c r="C102" s="295"/>
      <c r="D102" s="166"/>
      <c r="E102" s="417"/>
      <c r="F102" s="294"/>
      <c r="G102" s="295"/>
      <c r="H102" s="166"/>
      <c r="I102" s="417"/>
      <c r="J102" s="294"/>
      <c r="K102" s="295"/>
      <c r="L102" s="166"/>
      <c r="M102" s="23"/>
    </row>
    <row r="103" spans="1:13" x14ac:dyDescent="0.2">
      <c r="A103" s="296" t="s">
        <v>13</v>
      </c>
      <c r="B103" s="294"/>
      <c r="C103" s="295"/>
      <c r="D103" s="166"/>
      <c r="E103" s="417"/>
      <c r="F103" s="294"/>
      <c r="G103" s="295"/>
      <c r="H103" s="166"/>
      <c r="I103" s="417"/>
      <c r="J103" s="294"/>
      <c r="K103" s="295"/>
      <c r="L103" s="166"/>
      <c r="M103" s="23"/>
    </row>
    <row r="104" spans="1:13" ht="15.75" x14ac:dyDescent="0.2">
      <c r="A104" s="296" t="s">
        <v>381</v>
      </c>
      <c r="B104" s="294"/>
      <c r="C104" s="295"/>
      <c r="D104" s="166"/>
      <c r="E104" s="417"/>
      <c r="F104" s="294"/>
      <c r="G104" s="295"/>
      <c r="H104" s="166"/>
      <c r="I104" s="417"/>
      <c r="J104" s="294"/>
      <c r="K104" s="295"/>
      <c r="L104" s="166"/>
      <c r="M104" s="23"/>
    </row>
    <row r="105" spans="1:13" x14ac:dyDescent="0.2">
      <c r="A105" s="296" t="s">
        <v>12</v>
      </c>
      <c r="B105" s="294"/>
      <c r="C105" s="295"/>
      <c r="D105" s="166"/>
      <c r="E105" s="417"/>
      <c r="F105" s="294"/>
      <c r="G105" s="295"/>
      <c r="H105" s="166"/>
      <c r="I105" s="417"/>
      <c r="J105" s="294"/>
      <c r="K105" s="295"/>
      <c r="L105" s="166"/>
      <c r="M105" s="23"/>
    </row>
    <row r="106" spans="1:13" x14ac:dyDescent="0.2">
      <c r="A106" s="296" t="s">
        <v>13</v>
      </c>
      <c r="B106" s="294"/>
      <c r="C106" s="295"/>
      <c r="D106" s="166"/>
      <c r="E106" s="417"/>
      <c r="F106" s="294"/>
      <c r="G106" s="295"/>
      <c r="H106" s="166"/>
      <c r="I106" s="417"/>
      <c r="J106" s="294"/>
      <c r="K106" s="295"/>
      <c r="L106" s="166"/>
      <c r="M106" s="23"/>
    </row>
    <row r="107" spans="1:13" ht="15.75" x14ac:dyDescent="0.2">
      <c r="A107" s="21" t="s">
        <v>383</v>
      </c>
      <c r="B107" s="234"/>
      <c r="C107" s="145"/>
      <c r="D107" s="166"/>
      <c r="E107" s="27"/>
      <c r="F107" s="234"/>
      <c r="G107" s="145"/>
      <c r="H107" s="166"/>
      <c r="I107" s="27"/>
      <c r="J107" s="287"/>
      <c r="K107" s="44"/>
      <c r="L107" s="254"/>
      <c r="M107" s="27"/>
    </row>
    <row r="108" spans="1:13" ht="15.75" x14ac:dyDescent="0.2">
      <c r="A108" s="21" t="s">
        <v>384</v>
      </c>
      <c r="B108" s="234">
        <v>256659.372</v>
      </c>
      <c r="C108" s="234">
        <v>189220.86300000001</v>
      </c>
      <c r="D108" s="166">
        <f t="shared" si="14"/>
        <v>-26.3</v>
      </c>
      <c r="E108" s="27">
        <f>IFERROR(100/'Skjema total MA'!C108*C108,0)</f>
        <v>5.815832341996735E-2</v>
      </c>
      <c r="F108" s="234">
        <v>181946.258</v>
      </c>
      <c r="G108" s="234">
        <v>189220.86300000001</v>
      </c>
      <c r="H108" s="166">
        <f t="shared" si="15"/>
        <v>4</v>
      </c>
      <c r="I108" s="27">
        <f>IFERROR(100/'Skjema total MA'!F108*G108,0)</f>
        <v>1.091021987283358</v>
      </c>
      <c r="J108" s="287">
        <f t="shared" si="18"/>
        <v>438605.63</v>
      </c>
      <c r="K108" s="44">
        <f t="shared" si="18"/>
        <v>378441.72600000002</v>
      </c>
      <c r="L108" s="254">
        <f t="shared" si="17"/>
        <v>-13.7</v>
      </c>
      <c r="M108" s="27">
        <f>IFERROR(100/'Skjema total MA'!I108*K108,0)</f>
        <v>0.11043003261322311</v>
      </c>
    </row>
    <row r="109" spans="1:13" ht="15.75" x14ac:dyDescent="0.2">
      <c r="A109" s="21" t="s">
        <v>385</v>
      </c>
      <c r="B109" s="234"/>
      <c r="C109" s="234"/>
      <c r="D109" s="166"/>
      <c r="E109" s="27"/>
      <c r="F109" s="234">
        <v>5227297.983</v>
      </c>
      <c r="G109" s="234">
        <v>6045679.733</v>
      </c>
      <c r="H109" s="166">
        <f t="shared" si="15"/>
        <v>15.7</v>
      </c>
      <c r="I109" s="27">
        <f>IFERROR(100/'Skjema total MA'!F109*G109,0)</f>
        <v>5.114088728617177</v>
      </c>
      <c r="J109" s="287">
        <f t="shared" si="18"/>
        <v>5227297.983</v>
      </c>
      <c r="K109" s="44">
        <f t="shared" si="18"/>
        <v>6045679.733</v>
      </c>
      <c r="L109" s="254">
        <f t="shared" si="17"/>
        <v>15.7</v>
      </c>
      <c r="M109" s="27">
        <f>IFERROR(100/'Skjema total MA'!I109*K109,0)</f>
        <v>5.0691964489396728</v>
      </c>
    </row>
    <row r="110" spans="1:13" ht="15.75" x14ac:dyDescent="0.2">
      <c r="A110" s="21" t="s">
        <v>386</v>
      </c>
      <c r="B110" s="234"/>
      <c r="C110" s="234"/>
      <c r="D110" s="166"/>
      <c r="E110" s="27"/>
      <c r="F110" s="234"/>
      <c r="G110" s="234"/>
      <c r="H110" s="166"/>
      <c r="I110" s="27"/>
      <c r="J110" s="287"/>
      <c r="K110" s="44"/>
      <c r="L110" s="254"/>
      <c r="M110" s="27"/>
    </row>
    <row r="111" spans="1:13" ht="15.75" x14ac:dyDescent="0.2">
      <c r="A111" s="13" t="s">
        <v>366</v>
      </c>
      <c r="B111" s="308">
        <v>22171.800999999999</v>
      </c>
      <c r="C111" s="159">
        <v>45761.972999999904</v>
      </c>
      <c r="D111" s="171">
        <f t="shared" si="14"/>
        <v>106.4</v>
      </c>
      <c r="E111" s="11">
        <f>IFERROR(100/'Skjema total MA'!C111*C111,0)</f>
        <v>6.886121644835689</v>
      </c>
      <c r="F111" s="308">
        <v>757818.28700000001</v>
      </c>
      <c r="G111" s="159">
        <v>661394.89300000004</v>
      </c>
      <c r="H111" s="171">
        <f t="shared" si="15"/>
        <v>-12.7</v>
      </c>
      <c r="I111" s="11">
        <f>IFERROR(100/'Skjema total MA'!F111*G111,0)</f>
        <v>4.4855307804955231</v>
      </c>
      <c r="J111" s="309">
        <f t="shared" si="18"/>
        <v>779990.08799999999</v>
      </c>
      <c r="K111" s="236">
        <f t="shared" si="18"/>
        <v>707156.86599999992</v>
      </c>
      <c r="L111" s="428">
        <f t="shared" si="17"/>
        <v>-9.3000000000000007</v>
      </c>
      <c r="M111" s="11">
        <f>IFERROR(100/'Skjema total MA'!I111*K111,0)</f>
        <v>4.5890583495834303</v>
      </c>
    </row>
    <row r="112" spans="1:13" x14ac:dyDescent="0.2">
      <c r="A112" s="21" t="s">
        <v>9</v>
      </c>
      <c r="B112" s="234">
        <v>22171.800999999999</v>
      </c>
      <c r="C112" s="145">
        <v>45761.972999999904</v>
      </c>
      <c r="D112" s="166">
        <f t="shared" si="14"/>
        <v>106.4</v>
      </c>
      <c r="E112" s="27">
        <f>IFERROR(100/'Skjema total MA'!C112*C112,0)</f>
        <v>17.361722547946624</v>
      </c>
      <c r="F112" s="234"/>
      <c r="G112" s="145"/>
      <c r="H112" s="166"/>
      <c r="I112" s="27"/>
      <c r="J112" s="287">
        <f t="shared" ref="J112:K125" si="19">SUM(B112,F112)</f>
        <v>22171.800999999999</v>
      </c>
      <c r="K112" s="44">
        <f t="shared" si="19"/>
        <v>45761.972999999904</v>
      </c>
      <c r="L112" s="254">
        <f t="shared" si="17"/>
        <v>106.4</v>
      </c>
      <c r="M112" s="27">
        <f>IFERROR(100/'Skjema total MA'!I112*K112,0)</f>
        <v>17.090287438257608</v>
      </c>
    </row>
    <row r="113" spans="1:14" x14ac:dyDescent="0.2">
      <c r="A113" s="21" t="s">
        <v>10</v>
      </c>
      <c r="B113" s="234"/>
      <c r="C113" s="145"/>
      <c r="D113" s="166"/>
      <c r="E113" s="27"/>
      <c r="F113" s="234">
        <v>757818.28700000001</v>
      </c>
      <c r="G113" s="145">
        <v>661394.89300000004</v>
      </c>
      <c r="H113" s="166">
        <f t="shared" si="15"/>
        <v>-12.7</v>
      </c>
      <c r="I113" s="27">
        <f>IFERROR(100/'Skjema total MA'!F113*G113,0)</f>
        <v>4.507889268122284</v>
      </c>
      <c r="J113" s="287">
        <f t="shared" si="19"/>
        <v>757818.28700000001</v>
      </c>
      <c r="K113" s="44">
        <f t="shared" si="19"/>
        <v>661394.89300000004</v>
      </c>
      <c r="L113" s="254">
        <f t="shared" si="17"/>
        <v>-12.7</v>
      </c>
      <c r="M113" s="27">
        <f>IFERROR(100/'Skjema total MA'!I113*K113,0)</f>
        <v>4.5063242088681958</v>
      </c>
    </row>
    <row r="114" spans="1:14" x14ac:dyDescent="0.2">
      <c r="A114" s="21" t="s">
        <v>26</v>
      </c>
      <c r="B114" s="234"/>
      <c r="C114" s="145"/>
      <c r="D114" s="166"/>
      <c r="E114" s="27"/>
      <c r="F114" s="234"/>
      <c r="G114" s="145"/>
      <c r="H114" s="166"/>
      <c r="I114" s="27"/>
      <c r="J114" s="287"/>
      <c r="K114" s="44"/>
      <c r="L114" s="254"/>
      <c r="M114" s="27"/>
    </row>
    <row r="115" spans="1:14" x14ac:dyDescent="0.2">
      <c r="A115" s="296" t="s">
        <v>15</v>
      </c>
      <c r="B115" s="294"/>
      <c r="C115" s="295"/>
      <c r="D115" s="166"/>
      <c r="E115" s="417"/>
      <c r="F115" s="294"/>
      <c r="G115" s="295"/>
      <c r="H115" s="166"/>
      <c r="I115" s="417"/>
      <c r="J115" s="294"/>
      <c r="K115" s="295"/>
      <c r="L115" s="166"/>
      <c r="M115" s="23"/>
    </row>
    <row r="116" spans="1:14" ht="15.75" x14ac:dyDescent="0.2">
      <c r="A116" s="21" t="s">
        <v>387</v>
      </c>
      <c r="B116" s="234"/>
      <c r="C116" s="234"/>
      <c r="D116" s="166"/>
      <c r="E116" s="27"/>
      <c r="F116" s="234"/>
      <c r="G116" s="234"/>
      <c r="H116" s="166"/>
      <c r="I116" s="27"/>
      <c r="J116" s="287"/>
      <c r="K116" s="44"/>
      <c r="L116" s="254"/>
      <c r="M116" s="27"/>
    </row>
    <row r="117" spans="1:14" ht="15.75" x14ac:dyDescent="0.2">
      <c r="A117" s="21" t="s">
        <v>388</v>
      </c>
      <c r="B117" s="234"/>
      <c r="C117" s="234"/>
      <c r="D117" s="166"/>
      <c r="E117" s="27"/>
      <c r="F117" s="234">
        <v>80898.320000000007</v>
      </c>
      <c r="G117" s="234">
        <v>75918.547999999995</v>
      </c>
      <c r="H117" s="166">
        <f t="shared" si="15"/>
        <v>-6.2</v>
      </c>
      <c r="I117" s="27">
        <f>IFERROR(100/'Skjema total MA'!F117*G117,0)</f>
        <v>3.2055453068404751</v>
      </c>
      <c r="J117" s="287">
        <f t="shared" si="19"/>
        <v>80898.320000000007</v>
      </c>
      <c r="K117" s="44">
        <f t="shared" si="19"/>
        <v>75918.547999999995</v>
      </c>
      <c r="L117" s="254">
        <f t="shared" si="17"/>
        <v>-6.2</v>
      </c>
      <c r="M117" s="27">
        <f>IFERROR(100/'Skjema total MA'!I117*K117,0)</f>
        <v>3.2055453068404751</v>
      </c>
    </row>
    <row r="118" spans="1:14" ht="15.75" x14ac:dyDescent="0.2">
      <c r="A118" s="21" t="s">
        <v>386</v>
      </c>
      <c r="B118" s="234"/>
      <c r="C118" s="234"/>
      <c r="D118" s="166"/>
      <c r="E118" s="27"/>
      <c r="F118" s="234"/>
      <c r="G118" s="234"/>
      <c r="H118" s="166"/>
      <c r="I118" s="27"/>
      <c r="J118" s="287"/>
      <c r="K118" s="44"/>
      <c r="L118" s="254"/>
      <c r="M118" s="27"/>
    </row>
    <row r="119" spans="1:14" ht="15.75" x14ac:dyDescent="0.2">
      <c r="A119" s="13" t="s">
        <v>367</v>
      </c>
      <c r="B119" s="308">
        <v>11217.334999999999</v>
      </c>
      <c r="C119" s="159">
        <v>10681.975</v>
      </c>
      <c r="D119" s="171">
        <f t="shared" si="14"/>
        <v>-4.8</v>
      </c>
      <c r="E119" s="11">
        <f>IFERROR(100/'Skjema total MA'!C119*C119,0)</f>
        <v>1.4531006506018138</v>
      </c>
      <c r="F119" s="308">
        <v>501861.16399999999</v>
      </c>
      <c r="G119" s="159">
        <v>474051.74200000003</v>
      </c>
      <c r="H119" s="171">
        <f t="shared" si="15"/>
        <v>-5.5</v>
      </c>
      <c r="I119" s="11">
        <f>IFERROR(100/'Skjema total MA'!F119*G119,0)</f>
        <v>3.2323299461641879</v>
      </c>
      <c r="J119" s="309">
        <f t="shared" si="19"/>
        <v>513078.49900000001</v>
      </c>
      <c r="K119" s="236">
        <f t="shared" si="19"/>
        <v>484733.717</v>
      </c>
      <c r="L119" s="428">
        <f t="shared" si="17"/>
        <v>-5.5</v>
      </c>
      <c r="M119" s="11">
        <f>IFERROR(100/'Skjema total MA'!I119*K119,0)</f>
        <v>3.1474046379187079</v>
      </c>
    </row>
    <row r="120" spans="1:14" x14ac:dyDescent="0.2">
      <c r="A120" s="21" t="s">
        <v>9</v>
      </c>
      <c r="B120" s="234">
        <v>11217.334999999999</v>
      </c>
      <c r="C120" s="145">
        <v>10681.975</v>
      </c>
      <c r="D120" s="166">
        <f t="shared" si="14"/>
        <v>-4.8</v>
      </c>
      <c r="E120" s="27">
        <f>IFERROR(100/'Skjema total MA'!C120*C120,0)</f>
        <v>1.8996819775185787</v>
      </c>
      <c r="F120" s="234"/>
      <c r="G120" s="145"/>
      <c r="H120" s="166"/>
      <c r="I120" s="27"/>
      <c r="J120" s="287">
        <f t="shared" si="19"/>
        <v>11217.334999999999</v>
      </c>
      <c r="K120" s="44">
        <f t="shared" si="19"/>
        <v>10681.975</v>
      </c>
      <c r="L120" s="254">
        <f t="shared" si="17"/>
        <v>-4.8</v>
      </c>
      <c r="M120" s="27">
        <f>IFERROR(100/'Skjema total MA'!I120*K120,0)</f>
        <v>1.8996819775185787</v>
      </c>
    </row>
    <row r="121" spans="1:14" x14ac:dyDescent="0.2">
      <c r="A121" s="21" t="s">
        <v>10</v>
      </c>
      <c r="B121" s="234"/>
      <c r="C121" s="145"/>
      <c r="D121" s="166"/>
      <c r="E121" s="27"/>
      <c r="F121" s="234">
        <v>501861.16399999999</v>
      </c>
      <c r="G121" s="145">
        <v>474051.74200000003</v>
      </c>
      <c r="H121" s="166">
        <f t="shared" si="15"/>
        <v>-5.5</v>
      </c>
      <c r="I121" s="27">
        <f>IFERROR(100/'Skjema total MA'!F121*G121,0)</f>
        <v>3.2323299461641879</v>
      </c>
      <c r="J121" s="287">
        <f t="shared" si="19"/>
        <v>501861.16399999999</v>
      </c>
      <c r="K121" s="44">
        <f t="shared" si="19"/>
        <v>474051.74200000003</v>
      </c>
      <c r="L121" s="254">
        <f t="shared" si="17"/>
        <v>-5.5</v>
      </c>
      <c r="M121" s="27">
        <f>IFERROR(100/'Skjema total MA'!I121*K121,0)</f>
        <v>3.23111687093719</v>
      </c>
    </row>
    <row r="122" spans="1:14" x14ac:dyDescent="0.2">
      <c r="A122" s="21" t="s">
        <v>26</v>
      </c>
      <c r="B122" s="234"/>
      <c r="C122" s="145"/>
      <c r="D122" s="166"/>
      <c r="E122" s="27"/>
      <c r="F122" s="234"/>
      <c r="G122" s="145"/>
      <c r="H122" s="166"/>
      <c r="I122" s="27"/>
      <c r="J122" s="287"/>
      <c r="K122" s="44"/>
      <c r="L122" s="254"/>
      <c r="M122" s="27"/>
    </row>
    <row r="123" spans="1:14" x14ac:dyDescent="0.2">
      <c r="A123" s="296" t="s">
        <v>14</v>
      </c>
      <c r="B123" s="294"/>
      <c r="C123" s="295"/>
      <c r="D123" s="166"/>
      <c r="E123" s="417"/>
      <c r="F123" s="294"/>
      <c r="G123" s="295"/>
      <c r="H123" s="166"/>
      <c r="I123" s="417"/>
      <c r="J123" s="294"/>
      <c r="K123" s="295"/>
      <c r="L123" s="166"/>
      <c r="M123" s="23"/>
    </row>
    <row r="124" spans="1:14" ht="15.75" x14ac:dyDescent="0.2">
      <c r="A124" s="21" t="s">
        <v>393</v>
      </c>
      <c r="B124" s="234">
        <v>18.431000000000001</v>
      </c>
      <c r="C124" s="234">
        <v>0</v>
      </c>
      <c r="D124" s="166">
        <f t="shared" si="14"/>
        <v>-100</v>
      </c>
      <c r="E124" s="27">
        <f>IFERROR(100/'Skjema total MA'!C124*C124,0)</f>
        <v>0</v>
      </c>
      <c r="F124" s="234">
        <v>2354.4630000000002</v>
      </c>
      <c r="G124" s="234">
        <v>0</v>
      </c>
      <c r="H124" s="166">
        <f t="shared" si="15"/>
        <v>-100</v>
      </c>
      <c r="I124" s="27">
        <f>IFERROR(100/'Skjema total MA'!F124*G124,0)</f>
        <v>0</v>
      </c>
      <c r="J124" s="287">
        <f t="shared" si="19"/>
        <v>2372.8940000000002</v>
      </c>
      <c r="K124" s="44">
        <f t="shared" si="19"/>
        <v>0</v>
      </c>
      <c r="L124" s="254">
        <f t="shared" si="17"/>
        <v>-100</v>
      </c>
      <c r="M124" s="27">
        <f>IFERROR(100/'Skjema total MA'!I124*K124,0)</f>
        <v>0</v>
      </c>
    </row>
    <row r="125" spans="1:14" ht="15.75" x14ac:dyDescent="0.2">
      <c r="A125" s="21" t="s">
        <v>385</v>
      </c>
      <c r="B125" s="234"/>
      <c r="C125" s="234"/>
      <c r="D125" s="166"/>
      <c r="E125" s="27"/>
      <c r="F125" s="234">
        <v>140066.58499999999</v>
      </c>
      <c r="G125" s="234">
        <v>156215.59899999999</v>
      </c>
      <c r="H125" s="166">
        <f t="shared" si="15"/>
        <v>11.5</v>
      </c>
      <c r="I125" s="27">
        <f>IFERROR(100/'Skjema total MA'!F125*G125,0)</f>
        <v>5.9599974684767174</v>
      </c>
      <c r="J125" s="287">
        <f t="shared" si="19"/>
        <v>140066.58499999999</v>
      </c>
      <c r="K125" s="44">
        <f t="shared" si="19"/>
        <v>156215.59899999999</v>
      </c>
      <c r="L125" s="254">
        <f t="shared" si="17"/>
        <v>11.5</v>
      </c>
      <c r="M125" s="27">
        <f>IFERROR(100/'Skjema total MA'!I125*K125,0)</f>
        <v>5.9568905882032563</v>
      </c>
    </row>
    <row r="126" spans="1:14" ht="15.75" x14ac:dyDescent="0.2">
      <c r="A126" s="10" t="s">
        <v>386</v>
      </c>
      <c r="B126" s="45"/>
      <c r="C126" s="45"/>
      <c r="D126" s="167"/>
      <c r="E126" s="418"/>
      <c r="F126" s="45"/>
      <c r="G126" s="45"/>
      <c r="H126" s="167"/>
      <c r="I126" s="22"/>
      <c r="J126" s="288"/>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35"/>
      <c r="C130" s="735"/>
      <c r="D130" s="735"/>
      <c r="E130" s="406"/>
      <c r="F130" s="735"/>
      <c r="G130" s="735"/>
      <c r="H130" s="735"/>
      <c r="I130" s="406"/>
      <c r="J130" s="735"/>
      <c r="K130" s="735"/>
      <c r="L130" s="735"/>
      <c r="M130" s="406"/>
    </row>
    <row r="131" spans="1:14" s="3" customFormat="1" x14ac:dyDescent="0.2">
      <c r="A131" s="144"/>
      <c r="B131" s="733" t="s">
        <v>0</v>
      </c>
      <c r="C131" s="734"/>
      <c r="D131" s="734"/>
      <c r="E131" s="405"/>
      <c r="F131" s="733" t="s">
        <v>1</v>
      </c>
      <c r="G131" s="734"/>
      <c r="H131" s="734"/>
      <c r="I131" s="408"/>
      <c r="J131" s="733" t="s">
        <v>2</v>
      </c>
      <c r="K131" s="734"/>
      <c r="L131" s="734"/>
      <c r="M131" s="408"/>
      <c r="N131" s="148"/>
    </row>
    <row r="132" spans="1:14" s="3" customFormat="1" x14ac:dyDescent="0.2">
      <c r="A132" s="140"/>
      <c r="B132" s="152" t="s">
        <v>421</v>
      </c>
      <c r="C132" s="152" t="s">
        <v>422</v>
      </c>
      <c r="D132" s="245" t="s">
        <v>3</v>
      </c>
      <c r="E132" s="305" t="s">
        <v>29</v>
      </c>
      <c r="F132" s="152" t="s">
        <v>421</v>
      </c>
      <c r="G132" s="152" t="s">
        <v>422</v>
      </c>
      <c r="H132" s="206" t="s">
        <v>3</v>
      </c>
      <c r="I132" s="162" t="s">
        <v>29</v>
      </c>
      <c r="J132" s="152" t="s">
        <v>421</v>
      </c>
      <c r="K132" s="152" t="s">
        <v>422</v>
      </c>
      <c r="L132" s="246" t="s">
        <v>3</v>
      </c>
      <c r="M132" s="162" t="s">
        <v>29</v>
      </c>
      <c r="N132" s="148"/>
    </row>
    <row r="133" spans="1:14" s="3" customFormat="1" x14ac:dyDescent="0.2">
      <c r="A133" s="708"/>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389</v>
      </c>
      <c r="B134" s="236"/>
      <c r="C134" s="309"/>
      <c r="D134" s="350"/>
      <c r="E134" s="11"/>
      <c r="F134" s="316"/>
      <c r="G134" s="317"/>
      <c r="H134" s="431"/>
      <c r="I134" s="24"/>
      <c r="J134" s="318"/>
      <c r="K134" s="318"/>
      <c r="L134" s="427"/>
      <c r="M134" s="11"/>
      <c r="N134" s="148"/>
    </row>
    <row r="135" spans="1:14" s="3" customFormat="1" ht="15.75" x14ac:dyDescent="0.2">
      <c r="A135" s="13" t="s">
        <v>394</v>
      </c>
      <c r="B135" s="236"/>
      <c r="C135" s="309"/>
      <c r="D135" s="171"/>
      <c r="E135" s="11"/>
      <c r="F135" s="236"/>
      <c r="G135" s="309"/>
      <c r="H135" s="432"/>
      <c r="I135" s="24"/>
      <c r="J135" s="308"/>
      <c r="K135" s="308"/>
      <c r="L135" s="428"/>
      <c r="M135" s="11"/>
      <c r="N135" s="148"/>
    </row>
    <row r="136" spans="1:14" s="3" customFormat="1" ht="15.75" x14ac:dyDescent="0.2">
      <c r="A136" s="13" t="s">
        <v>391</v>
      </c>
      <c r="B136" s="236"/>
      <c r="C136" s="309"/>
      <c r="D136" s="171"/>
      <c r="E136" s="11"/>
      <c r="F136" s="236"/>
      <c r="G136" s="309"/>
      <c r="H136" s="432"/>
      <c r="I136" s="24"/>
      <c r="J136" s="308"/>
      <c r="K136" s="308"/>
      <c r="L136" s="428"/>
      <c r="M136" s="11"/>
      <c r="N136" s="148"/>
    </row>
    <row r="137" spans="1:14" s="3" customFormat="1" ht="15.75" x14ac:dyDescent="0.2">
      <c r="A137" s="41" t="s">
        <v>392</v>
      </c>
      <c r="B137" s="276"/>
      <c r="C137" s="315"/>
      <c r="D137" s="169"/>
      <c r="E137" s="9"/>
      <c r="F137" s="276"/>
      <c r="G137" s="315"/>
      <c r="H137" s="433"/>
      <c r="I137" s="36"/>
      <c r="J137" s="314"/>
      <c r="K137" s="314"/>
      <c r="L137" s="429"/>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0:D130"/>
    <mergeCell ref="F130:H130"/>
    <mergeCell ref="J130:L130"/>
    <mergeCell ref="B131:D131"/>
    <mergeCell ref="F131:H131"/>
    <mergeCell ref="J131:L131"/>
    <mergeCell ref="B44:D44"/>
    <mergeCell ref="B62:D62"/>
    <mergeCell ref="F62:H62"/>
    <mergeCell ref="J62:L62"/>
    <mergeCell ref="B63:D63"/>
    <mergeCell ref="F63:H63"/>
    <mergeCell ref="J63:L63"/>
    <mergeCell ref="D40:F40"/>
    <mergeCell ref="G40:I40"/>
    <mergeCell ref="J40:L40"/>
    <mergeCell ref="B42:D42"/>
    <mergeCell ref="F42:H42"/>
    <mergeCell ref="J42:L42"/>
    <mergeCell ref="B18:D18"/>
    <mergeCell ref="F18:H18"/>
    <mergeCell ref="J18:L18"/>
    <mergeCell ref="B19:D19"/>
    <mergeCell ref="F19:H19"/>
    <mergeCell ref="J19:L19"/>
    <mergeCell ref="B2:D2"/>
    <mergeCell ref="F2:H2"/>
    <mergeCell ref="J2:L2"/>
    <mergeCell ref="B4:D4"/>
    <mergeCell ref="F4:H4"/>
    <mergeCell ref="J4:L4"/>
  </mergeCells>
  <conditionalFormatting sqref="B50:C52">
    <cfRule type="expression" dxfId="412" priority="82">
      <formula>kvartal &lt; 4</formula>
    </cfRule>
  </conditionalFormatting>
  <conditionalFormatting sqref="A50:A52">
    <cfRule type="expression" dxfId="411" priority="8">
      <formula>kvartal &lt; 4</formula>
    </cfRule>
  </conditionalFormatting>
  <conditionalFormatting sqref="A69:A74">
    <cfRule type="expression" dxfId="410" priority="7">
      <formula>kvartal &lt; 4</formula>
    </cfRule>
  </conditionalFormatting>
  <conditionalFormatting sqref="A80:A85">
    <cfRule type="expression" dxfId="409" priority="6">
      <formula>kvartal &lt; 4</formula>
    </cfRule>
  </conditionalFormatting>
  <conditionalFormatting sqref="A90:A95">
    <cfRule type="expression" dxfId="408" priority="5">
      <formula>kvartal &lt; 4</formula>
    </cfRule>
  </conditionalFormatting>
  <conditionalFormatting sqref="A101:A106">
    <cfRule type="expression" dxfId="407" priority="4">
      <formula>kvartal &lt; 4</formula>
    </cfRule>
  </conditionalFormatting>
  <conditionalFormatting sqref="A115">
    <cfRule type="expression" dxfId="406" priority="3">
      <formula>kvartal &lt; 4</formula>
    </cfRule>
  </conditionalFormatting>
  <conditionalFormatting sqref="A123">
    <cfRule type="expression" dxfId="405" priority="2">
      <formula>kvartal &lt; 4</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21"/>
  <dimension ref="A1:N144"/>
  <sheetViews>
    <sheetView showGridLines="0" zoomScaleNormal="100" workbookViewId="0">
      <selection activeCell="A3" sqref="A3"/>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135</v>
      </c>
      <c r="B1" s="709"/>
      <c r="C1" s="248" t="s">
        <v>417</v>
      </c>
      <c r="D1" s="26"/>
      <c r="E1" s="26"/>
      <c r="F1" s="26"/>
      <c r="G1" s="26"/>
      <c r="H1" s="26"/>
      <c r="I1" s="26"/>
      <c r="J1" s="26"/>
      <c r="K1" s="26"/>
      <c r="L1" s="26"/>
      <c r="M1" s="26"/>
    </row>
    <row r="2" spans="1:14" ht="15.75" x14ac:dyDescent="0.25">
      <c r="A2" s="165" t="s">
        <v>28</v>
      </c>
      <c r="B2" s="732"/>
      <c r="C2" s="732"/>
      <c r="D2" s="732"/>
      <c r="E2" s="299"/>
      <c r="F2" s="732"/>
      <c r="G2" s="732"/>
      <c r="H2" s="732"/>
      <c r="I2" s="299"/>
      <c r="J2" s="732"/>
      <c r="K2" s="732"/>
      <c r="L2" s="732"/>
      <c r="M2" s="299"/>
    </row>
    <row r="3" spans="1:14" ht="15.75" x14ac:dyDescent="0.25">
      <c r="A3" s="163"/>
      <c r="B3" s="299"/>
      <c r="C3" s="299"/>
      <c r="D3" s="299"/>
      <c r="E3" s="299"/>
      <c r="F3" s="299"/>
      <c r="G3" s="299"/>
      <c r="H3" s="299"/>
      <c r="I3" s="299"/>
      <c r="J3" s="299"/>
      <c r="K3" s="299"/>
      <c r="L3" s="299"/>
      <c r="M3" s="299"/>
    </row>
    <row r="4" spans="1:14" x14ac:dyDescent="0.2">
      <c r="A4" s="144"/>
      <c r="B4" s="733" t="s">
        <v>0</v>
      </c>
      <c r="C4" s="734"/>
      <c r="D4" s="734"/>
      <c r="E4" s="301"/>
      <c r="F4" s="733" t="s">
        <v>1</v>
      </c>
      <c r="G4" s="734"/>
      <c r="H4" s="734"/>
      <c r="I4" s="304"/>
      <c r="J4" s="733" t="s">
        <v>2</v>
      </c>
      <c r="K4" s="734"/>
      <c r="L4" s="734"/>
      <c r="M4" s="304"/>
    </row>
    <row r="5" spans="1:14" x14ac:dyDescent="0.2">
      <c r="A5" s="158"/>
      <c r="B5" s="152" t="s">
        <v>421</v>
      </c>
      <c r="C5" s="152" t="s">
        <v>422</v>
      </c>
      <c r="D5" s="245" t="s">
        <v>3</v>
      </c>
      <c r="E5" s="305" t="s">
        <v>29</v>
      </c>
      <c r="F5" s="152" t="s">
        <v>421</v>
      </c>
      <c r="G5" s="152" t="s">
        <v>422</v>
      </c>
      <c r="H5" s="245" t="s">
        <v>3</v>
      </c>
      <c r="I5" s="162" t="s">
        <v>29</v>
      </c>
      <c r="J5" s="152" t="s">
        <v>421</v>
      </c>
      <c r="K5" s="152" t="s">
        <v>422</v>
      </c>
      <c r="L5" s="245" t="s">
        <v>3</v>
      </c>
      <c r="M5" s="162" t="s">
        <v>29</v>
      </c>
    </row>
    <row r="6" spans="1:14" x14ac:dyDescent="0.2">
      <c r="A6" s="707"/>
      <c r="B6" s="156"/>
      <c r="C6" s="156"/>
      <c r="D6" s="246" t="s">
        <v>4</v>
      </c>
      <c r="E6" s="156" t="s">
        <v>30</v>
      </c>
      <c r="F6" s="161"/>
      <c r="G6" s="161"/>
      <c r="H6" s="245" t="s">
        <v>4</v>
      </c>
      <c r="I6" s="156" t="s">
        <v>30</v>
      </c>
      <c r="J6" s="161"/>
      <c r="K6" s="161"/>
      <c r="L6" s="245" t="s">
        <v>4</v>
      </c>
      <c r="M6" s="156" t="s">
        <v>30</v>
      </c>
    </row>
    <row r="7" spans="1:14" ht="15.75" x14ac:dyDescent="0.2">
      <c r="A7" s="14" t="s">
        <v>23</v>
      </c>
      <c r="B7" s="306"/>
      <c r="C7" s="307"/>
      <c r="D7" s="350"/>
      <c r="E7" s="11"/>
      <c r="F7" s="306"/>
      <c r="G7" s="307"/>
      <c r="H7" s="350"/>
      <c r="I7" s="160"/>
      <c r="J7" s="308"/>
      <c r="K7" s="309"/>
      <c r="L7" s="427"/>
      <c r="M7" s="11"/>
    </row>
    <row r="8" spans="1:14" ht="15.75" x14ac:dyDescent="0.2">
      <c r="A8" s="21" t="s">
        <v>25</v>
      </c>
      <c r="B8" s="281"/>
      <c r="C8" s="282"/>
      <c r="D8" s="166"/>
      <c r="E8" s="27"/>
      <c r="F8" s="285"/>
      <c r="G8" s="286"/>
      <c r="H8" s="166"/>
      <c r="I8" s="175"/>
      <c r="J8" s="234"/>
      <c r="K8" s="287"/>
      <c r="L8" s="166"/>
      <c r="M8" s="27"/>
    </row>
    <row r="9" spans="1:14" ht="15.75" x14ac:dyDescent="0.2">
      <c r="A9" s="21" t="s">
        <v>24</v>
      </c>
      <c r="B9" s="281"/>
      <c r="C9" s="282"/>
      <c r="D9" s="166"/>
      <c r="E9" s="27"/>
      <c r="F9" s="285"/>
      <c r="G9" s="286"/>
      <c r="H9" s="166"/>
      <c r="I9" s="175"/>
      <c r="J9" s="234"/>
      <c r="K9" s="287"/>
      <c r="L9" s="166"/>
      <c r="M9" s="27"/>
    </row>
    <row r="10" spans="1:14" ht="15.75" x14ac:dyDescent="0.2">
      <c r="A10" s="13" t="s">
        <v>365</v>
      </c>
      <c r="B10" s="310"/>
      <c r="C10" s="311"/>
      <c r="D10" s="171"/>
      <c r="E10" s="11"/>
      <c r="F10" s="310"/>
      <c r="G10" s="311"/>
      <c r="H10" s="171"/>
      <c r="I10" s="160"/>
      <c r="J10" s="308"/>
      <c r="K10" s="309"/>
      <c r="L10" s="428"/>
      <c r="M10" s="11"/>
    </row>
    <row r="11" spans="1:14" s="43" customFormat="1" ht="15.75" x14ac:dyDescent="0.2">
      <c r="A11" s="13" t="s">
        <v>366</v>
      </c>
      <c r="B11" s="310"/>
      <c r="C11" s="311"/>
      <c r="D11" s="171"/>
      <c r="E11" s="11"/>
      <c r="F11" s="310"/>
      <c r="G11" s="311"/>
      <c r="H11" s="171"/>
      <c r="I11" s="160"/>
      <c r="J11" s="308"/>
      <c r="K11" s="309"/>
      <c r="L11" s="428"/>
      <c r="M11" s="11"/>
      <c r="N11" s="143"/>
    </row>
    <row r="12" spans="1:14" s="43" customFormat="1" ht="15.75" x14ac:dyDescent="0.2">
      <c r="A12" s="41" t="s">
        <v>367</v>
      </c>
      <c r="B12" s="312"/>
      <c r="C12" s="313"/>
      <c r="D12" s="169"/>
      <c r="E12" s="36"/>
      <c r="F12" s="312"/>
      <c r="G12" s="313"/>
      <c r="H12" s="169"/>
      <c r="I12" s="169"/>
      <c r="J12" s="314"/>
      <c r="K12" s="315"/>
      <c r="L12" s="429"/>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275</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272</v>
      </c>
      <c r="B17" s="157"/>
      <c r="C17" s="157"/>
      <c r="D17" s="151"/>
      <c r="E17" s="151"/>
      <c r="F17" s="157"/>
      <c r="G17" s="157"/>
      <c r="H17" s="157"/>
      <c r="I17" s="157"/>
      <c r="J17" s="157"/>
      <c r="K17" s="157"/>
      <c r="L17" s="157"/>
      <c r="M17" s="157"/>
    </row>
    <row r="18" spans="1:14" ht="15.75" x14ac:dyDescent="0.25">
      <c r="B18" s="735"/>
      <c r="C18" s="735"/>
      <c r="D18" s="735"/>
      <c r="E18" s="299"/>
      <c r="F18" s="735"/>
      <c r="G18" s="735"/>
      <c r="H18" s="735"/>
      <c r="I18" s="299"/>
      <c r="J18" s="735"/>
      <c r="K18" s="735"/>
      <c r="L18" s="735"/>
      <c r="M18" s="299"/>
    </row>
    <row r="19" spans="1:14" x14ac:dyDescent="0.2">
      <c r="A19" s="144"/>
      <c r="B19" s="733" t="s">
        <v>0</v>
      </c>
      <c r="C19" s="734"/>
      <c r="D19" s="734"/>
      <c r="E19" s="301"/>
      <c r="F19" s="733" t="s">
        <v>1</v>
      </c>
      <c r="G19" s="734"/>
      <c r="H19" s="734"/>
      <c r="I19" s="304"/>
      <c r="J19" s="733" t="s">
        <v>2</v>
      </c>
      <c r="K19" s="734"/>
      <c r="L19" s="734"/>
      <c r="M19" s="304"/>
    </row>
    <row r="20" spans="1:14" x14ac:dyDescent="0.2">
      <c r="A20" s="140" t="s">
        <v>5</v>
      </c>
      <c r="B20" s="152" t="s">
        <v>421</v>
      </c>
      <c r="C20" s="152" t="s">
        <v>422</v>
      </c>
      <c r="D20" s="162" t="s">
        <v>3</v>
      </c>
      <c r="E20" s="305" t="s">
        <v>29</v>
      </c>
      <c r="F20" s="152" t="s">
        <v>421</v>
      </c>
      <c r="G20" s="152" t="s">
        <v>422</v>
      </c>
      <c r="H20" s="162" t="s">
        <v>3</v>
      </c>
      <c r="I20" s="162" t="s">
        <v>29</v>
      </c>
      <c r="J20" s="152" t="s">
        <v>421</v>
      </c>
      <c r="K20" s="152" t="s">
        <v>422</v>
      </c>
      <c r="L20" s="162" t="s">
        <v>3</v>
      </c>
      <c r="M20" s="162" t="s">
        <v>29</v>
      </c>
    </row>
    <row r="21" spans="1:14" x14ac:dyDescent="0.2">
      <c r="A21" s="708"/>
      <c r="B21" s="156"/>
      <c r="C21" s="156"/>
      <c r="D21" s="246" t="s">
        <v>4</v>
      </c>
      <c r="E21" s="156" t="s">
        <v>30</v>
      </c>
      <c r="F21" s="161"/>
      <c r="G21" s="161"/>
      <c r="H21" s="245" t="s">
        <v>4</v>
      </c>
      <c r="I21" s="156" t="s">
        <v>30</v>
      </c>
      <c r="J21" s="161"/>
      <c r="K21" s="161"/>
      <c r="L21" s="156" t="s">
        <v>4</v>
      </c>
      <c r="M21" s="156" t="s">
        <v>30</v>
      </c>
    </row>
    <row r="22" spans="1:14" ht="15.75" x14ac:dyDescent="0.2">
      <c r="A22" s="14" t="s">
        <v>23</v>
      </c>
      <c r="B22" s="310"/>
      <c r="C22" s="310"/>
      <c r="D22" s="350"/>
      <c r="E22" s="11"/>
      <c r="F22" s="318"/>
      <c r="G22" s="318"/>
      <c r="H22" s="350"/>
      <c r="I22" s="11"/>
      <c r="J22" s="316"/>
      <c r="K22" s="316"/>
      <c r="L22" s="427"/>
      <c r="M22" s="24"/>
    </row>
    <row r="23" spans="1:14" ht="15.75" x14ac:dyDescent="0.2">
      <c r="A23" s="584" t="s">
        <v>368</v>
      </c>
      <c r="B23" s="281"/>
      <c r="C23" s="281"/>
      <c r="D23" s="166"/>
      <c r="E23" s="11"/>
      <c r="F23" s="290"/>
      <c r="G23" s="290"/>
      <c r="H23" s="166"/>
      <c r="I23" s="417"/>
      <c r="J23" s="290"/>
      <c r="K23" s="290"/>
      <c r="L23" s="166"/>
      <c r="M23" s="23"/>
    </row>
    <row r="24" spans="1:14" ht="15.75" x14ac:dyDescent="0.2">
      <c r="A24" s="584" t="s">
        <v>369</v>
      </c>
      <c r="B24" s="281"/>
      <c r="C24" s="281"/>
      <c r="D24" s="166"/>
      <c r="E24" s="11"/>
      <c r="F24" s="290"/>
      <c r="G24" s="290"/>
      <c r="H24" s="166"/>
      <c r="I24" s="417"/>
      <c r="J24" s="290"/>
      <c r="K24" s="290"/>
      <c r="L24" s="166"/>
      <c r="M24" s="23"/>
    </row>
    <row r="25" spans="1:14" ht="15.75" x14ac:dyDescent="0.2">
      <c r="A25" s="584" t="s">
        <v>370</v>
      </c>
      <c r="B25" s="281"/>
      <c r="C25" s="281"/>
      <c r="D25" s="166"/>
      <c r="E25" s="11"/>
      <c r="F25" s="290"/>
      <c r="G25" s="290"/>
      <c r="H25" s="166"/>
      <c r="I25" s="417"/>
      <c r="J25" s="290"/>
      <c r="K25" s="290"/>
      <c r="L25" s="166"/>
      <c r="M25" s="23"/>
    </row>
    <row r="26" spans="1:14" ht="15.75" x14ac:dyDescent="0.2">
      <c r="A26" s="584" t="s">
        <v>371</v>
      </c>
      <c r="B26" s="281"/>
      <c r="C26" s="281"/>
      <c r="D26" s="166"/>
      <c r="E26" s="11"/>
      <c r="F26" s="290"/>
      <c r="G26" s="290"/>
      <c r="H26" s="166"/>
      <c r="I26" s="417"/>
      <c r="J26" s="290"/>
      <c r="K26" s="290"/>
      <c r="L26" s="166"/>
      <c r="M26" s="23"/>
    </row>
    <row r="27" spans="1:14" x14ac:dyDescent="0.2">
      <c r="A27" s="584" t="s">
        <v>11</v>
      </c>
      <c r="B27" s="281"/>
      <c r="C27" s="281"/>
      <c r="D27" s="166"/>
      <c r="E27" s="11"/>
      <c r="F27" s="290"/>
      <c r="G27" s="290"/>
      <c r="H27" s="166"/>
      <c r="I27" s="417"/>
      <c r="J27" s="290"/>
      <c r="K27" s="290"/>
      <c r="L27" s="166"/>
      <c r="M27" s="23"/>
    </row>
    <row r="28" spans="1:14" ht="15.75" x14ac:dyDescent="0.2">
      <c r="A28" s="49" t="s">
        <v>276</v>
      </c>
      <c r="B28" s="44"/>
      <c r="C28" s="287"/>
      <c r="D28" s="166"/>
      <c r="E28" s="11"/>
      <c r="F28" s="234"/>
      <c r="G28" s="287"/>
      <c r="H28" s="166"/>
      <c r="I28" s="27"/>
      <c r="J28" s="44"/>
      <c r="K28" s="44"/>
      <c r="L28" s="254"/>
      <c r="M28" s="23"/>
    </row>
    <row r="29" spans="1:14" s="3" customFormat="1" ht="15.75" x14ac:dyDescent="0.2">
      <c r="A29" s="13" t="s">
        <v>365</v>
      </c>
      <c r="B29" s="236"/>
      <c r="C29" s="236"/>
      <c r="D29" s="171"/>
      <c r="E29" s="11"/>
      <c r="F29" s="308"/>
      <c r="G29" s="308"/>
      <c r="H29" s="171"/>
      <c r="I29" s="11"/>
      <c r="J29" s="236"/>
      <c r="K29" s="236"/>
      <c r="L29" s="428"/>
      <c r="M29" s="24"/>
      <c r="N29" s="148"/>
    </row>
    <row r="30" spans="1:14" s="3" customFormat="1" ht="15.75" x14ac:dyDescent="0.2">
      <c r="A30" s="584" t="s">
        <v>368</v>
      </c>
      <c r="B30" s="281"/>
      <c r="C30" s="281"/>
      <c r="D30" s="166"/>
      <c r="E30" s="11"/>
      <c r="F30" s="290"/>
      <c r="G30" s="290"/>
      <c r="H30" s="166"/>
      <c r="I30" s="417"/>
      <c r="J30" s="290"/>
      <c r="K30" s="290"/>
      <c r="L30" s="166"/>
      <c r="M30" s="23"/>
      <c r="N30" s="148"/>
    </row>
    <row r="31" spans="1:14" s="3" customFormat="1" ht="15.75" x14ac:dyDescent="0.2">
      <c r="A31" s="584" t="s">
        <v>369</v>
      </c>
      <c r="B31" s="281"/>
      <c r="C31" s="281"/>
      <c r="D31" s="166"/>
      <c r="E31" s="11"/>
      <c r="F31" s="290"/>
      <c r="G31" s="290"/>
      <c r="H31" s="166"/>
      <c r="I31" s="417"/>
      <c r="J31" s="290"/>
      <c r="K31" s="290"/>
      <c r="L31" s="166"/>
      <c r="M31" s="23"/>
      <c r="N31" s="148"/>
    </row>
    <row r="32" spans="1:14" ht="15.75" x14ac:dyDescent="0.2">
      <c r="A32" s="584" t="s">
        <v>370</v>
      </c>
      <c r="B32" s="281"/>
      <c r="C32" s="281"/>
      <c r="D32" s="166"/>
      <c r="E32" s="11"/>
      <c r="F32" s="290"/>
      <c r="G32" s="290"/>
      <c r="H32" s="166"/>
      <c r="I32" s="417"/>
      <c r="J32" s="290"/>
      <c r="K32" s="290"/>
      <c r="L32" s="166"/>
      <c r="M32" s="23"/>
    </row>
    <row r="33" spans="1:14" ht="15.75" x14ac:dyDescent="0.2">
      <c r="A33" s="584" t="s">
        <v>371</v>
      </c>
      <c r="B33" s="281"/>
      <c r="C33" s="281"/>
      <c r="D33" s="166"/>
      <c r="E33" s="11"/>
      <c r="F33" s="290"/>
      <c r="G33" s="290"/>
      <c r="H33" s="166"/>
      <c r="I33" s="417"/>
      <c r="J33" s="290"/>
      <c r="K33" s="290"/>
      <c r="L33" s="166"/>
      <c r="M33" s="23"/>
    </row>
    <row r="34" spans="1:14" ht="15.75" x14ac:dyDescent="0.2">
      <c r="A34" s="13" t="s">
        <v>366</v>
      </c>
      <c r="B34" s="236"/>
      <c r="C34" s="309"/>
      <c r="D34" s="171"/>
      <c r="E34" s="11"/>
      <c r="F34" s="308"/>
      <c r="G34" s="309"/>
      <c r="H34" s="171"/>
      <c r="I34" s="11"/>
      <c r="J34" s="236"/>
      <c r="K34" s="236"/>
      <c r="L34" s="428"/>
      <c r="M34" s="24"/>
    </row>
    <row r="35" spans="1:14" ht="15.75" x14ac:dyDescent="0.2">
      <c r="A35" s="13" t="s">
        <v>367</v>
      </c>
      <c r="B35" s="236"/>
      <c r="C35" s="309"/>
      <c r="D35" s="171"/>
      <c r="E35" s="11"/>
      <c r="F35" s="308"/>
      <c r="G35" s="309"/>
      <c r="H35" s="171"/>
      <c r="I35" s="11"/>
      <c r="J35" s="236"/>
      <c r="K35" s="236"/>
      <c r="L35" s="428"/>
      <c r="M35" s="24"/>
    </row>
    <row r="36" spans="1:14" ht="15.75" x14ac:dyDescent="0.2">
      <c r="A36" s="12" t="s">
        <v>284</v>
      </c>
      <c r="B36" s="236"/>
      <c r="C36" s="309"/>
      <c r="D36" s="171"/>
      <c r="E36" s="11"/>
      <c r="F36" s="319"/>
      <c r="G36" s="320"/>
      <c r="H36" s="171"/>
      <c r="I36" s="434"/>
      <c r="J36" s="236"/>
      <c r="K36" s="236"/>
      <c r="L36" s="428"/>
      <c r="M36" s="24"/>
    </row>
    <row r="37" spans="1:14" ht="15.75" x14ac:dyDescent="0.2">
      <c r="A37" s="12" t="s">
        <v>373</v>
      </c>
      <c r="B37" s="236"/>
      <c r="C37" s="309"/>
      <c r="D37" s="171"/>
      <c r="E37" s="11"/>
      <c r="F37" s="319"/>
      <c r="G37" s="321"/>
      <c r="H37" s="171"/>
      <c r="I37" s="434"/>
      <c r="J37" s="236"/>
      <c r="K37" s="236"/>
      <c r="L37" s="428"/>
      <c r="M37" s="24"/>
    </row>
    <row r="38" spans="1:14" ht="15.75" x14ac:dyDescent="0.2">
      <c r="A38" s="12" t="s">
        <v>374</v>
      </c>
      <c r="B38" s="236"/>
      <c r="C38" s="309"/>
      <c r="D38" s="171"/>
      <c r="E38" s="24"/>
      <c r="F38" s="319"/>
      <c r="G38" s="320"/>
      <c r="H38" s="171"/>
      <c r="I38" s="434"/>
      <c r="J38" s="236"/>
      <c r="K38" s="236"/>
      <c r="L38" s="428"/>
      <c r="M38" s="24"/>
    </row>
    <row r="39" spans="1:14" ht="15.75" x14ac:dyDescent="0.2">
      <c r="A39" s="18" t="s">
        <v>375</v>
      </c>
      <c r="B39" s="276"/>
      <c r="C39" s="315"/>
      <c r="D39" s="169"/>
      <c r="E39" s="36"/>
      <c r="F39" s="322"/>
      <c r="G39" s="323"/>
      <c r="H39" s="169"/>
      <c r="I39" s="36"/>
      <c r="J39" s="236"/>
      <c r="K39" s="236"/>
      <c r="L39" s="429"/>
      <c r="M39" s="36"/>
    </row>
    <row r="40" spans="1:14" ht="15.75" x14ac:dyDescent="0.25">
      <c r="A40" s="47"/>
      <c r="B40" s="253"/>
      <c r="C40" s="253"/>
      <c r="D40" s="736"/>
      <c r="E40" s="736"/>
      <c r="F40" s="736"/>
      <c r="G40" s="736"/>
      <c r="H40" s="736"/>
      <c r="I40" s="736"/>
      <c r="J40" s="736"/>
      <c r="K40" s="736"/>
      <c r="L40" s="736"/>
      <c r="M40" s="302"/>
    </row>
    <row r="41" spans="1:14" x14ac:dyDescent="0.2">
      <c r="A41" s="155"/>
    </row>
    <row r="42" spans="1:14" ht="15.75" x14ac:dyDescent="0.25">
      <c r="A42" s="147" t="s">
        <v>273</v>
      </c>
      <c r="B42" s="732"/>
      <c r="C42" s="732"/>
      <c r="D42" s="732"/>
      <c r="E42" s="299"/>
      <c r="F42" s="737"/>
      <c r="G42" s="737"/>
      <c r="H42" s="737"/>
      <c r="I42" s="302"/>
      <c r="J42" s="737"/>
      <c r="K42" s="737"/>
      <c r="L42" s="737"/>
      <c r="M42" s="302"/>
    </row>
    <row r="43" spans="1:14" ht="15.75" x14ac:dyDescent="0.25">
      <c r="A43" s="163"/>
      <c r="B43" s="303"/>
      <c r="C43" s="303"/>
      <c r="D43" s="303"/>
      <c r="E43" s="303"/>
      <c r="F43" s="302"/>
      <c r="G43" s="302"/>
      <c r="H43" s="302"/>
      <c r="I43" s="302"/>
      <c r="J43" s="302"/>
      <c r="K43" s="302"/>
      <c r="L43" s="302"/>
      <c r="M43" s="302"/>
    </row>
    <row r="44" spans="1:14" ht="15.75" x14ac:dyDescent="0.25">
      <c r="A44" s="247"/>
      <c r="B44" s="733" t="s">
        <v>0</v>
      </c>
      <c r="C44" s="734"/>
      <c r="D44" s="734"/>
      <c r="E44" s="243"/>
      <c r="F44" s="302"/>
      <c r="G44" s="302"/>
      <c r="H44" s="302"/>
      <c r="I44" s="302"/>
      <c r="J44" s="302"/>
      <c r="K44" s="302"/>
      <c r="L44" s="302"/>
      <c r="M44" s="302"/>
    </row>
    <row r="45" spans="1:14" s="3" customFormat="1" x14ac:dyDescent="0.2">
      <c r="A45" s="140"/>
      <c r="B45" s="152" t="s">
        <v>421</v>
      </c>
      <c r="C45" s="152" t="s">
        <v>422</v>
      </c>
      <c r="D45" s="162" t="s">
        <v>3</v>
      </c>
      <c r="E45" s="162" t="s">
        <v>29</v>
      </c>
      <c r="F45" s="174"/>
      <c r="G45" s="174"/>
      <c r="H45" s="173"/>
      <c r="I45" s="173"/>
      <c r="J45" s="174"/>
      <c r="K45" s="174"/>
      <c r="L45" s="173"/>
      <c r="M45" s="173"/>
      <c r="N45" s="148"/>
    </row>
    <row r="46" spans="1:14" s="3" customFormat="1" x14ac:dyDescent="0.2">
      <c r="A46" s="708"/>
      <c r="B46" s="244"/>
      <c r="C46" s="244"/>
      <c r="D46" s="245" t="s">
        <v>4</v>
      </c>
      <c r="E46" s="156" t="s">
        <v>30</v>
      </c>
      <c r="F46" s="173"/>
      <c r="G46" s="173"/>
      <c r="H46" s="173"/>
      <c r="I46" s="173"/>
      <c r="J46" s="173"/>
      <c r="K46" s="173"/>
      <c r="L46" s="173"/>
      <c r="M46" s="173"/>
      <c r="N46" s="148"/>
    </row>
    <row r="47" spans="1:14" s="3" customFormat="1" ht="15.75" x14ac:dyDescent="0.2">
      <c r="A47" s="14" t="s">
        <v>23</v>
      </c>
      <c r="B47" s="310"/>
      <c r="C47" s="311"/>
      <c r="D47" s="427"/>
      <c r="E47" s="11"/>
      <c r="F47" s="145"/>
      <c r="G47" s="33"/>
      <c r="H47" s="159"/>
      <c r="I47" s="159"/>
      <c r="J47" s="37"/>
      <c r="K47" s="37"/>
      <c r="L47" s="159"/>
      <c r="M47" s="159"/>
      <c r="N47" s="148"/>
    </row>
    <row r="48" spans="1:14" s="3" customFormat="1" ht="15.75" x14ac:dyDescent="0.2">
      <c r="A48" s="38" t="s">
        <v>376</v>
      </c>
      <c r="B48" s="281"/>
      <c r="C48" s="282"/>
      <c r="D48" s="254"/>
      <c r="E48" s="27"/>
      <c r="F48" s="145"/>
      <c r="G48" s="33"/>
      <c r="H48" s="145"/>
      <c r="I48" s="145"/>
      <c r="J48" s="33"/>
      <c r="K48" s="33"/>
      <c r="L48" s="159"/>
      <c r="M48" s="159"/>
      <c r="N48" s="148"/>
    </row>
    <row r="49" spans="1:14" s="3" customFormat="1" ht="15.75" x14ac:dyDescent="0.2">
      <c r="A49" s="38" t="s">
        <v>377</v>
      </c>
      <c r="B49" s="44"/>
      <c r="C49" s="287"/>
      <c r="D49" s="254"/>
      <c r="E49" s="27"/>
      <c r="F49" s="145"/>
      <c r="G49" s="33"/>
      <c r="H49" s="145"/>
      <c r="I49" s="145"/>
      <c r="J49" s="37"/>
      <c r="K49" s="37"/>
      <c r="L49" s="159"/>
      <c r="M49" s="159"/>
      <c r="N49" s="148"/>
    </row>
    <row r="50" spans="1:14" s="3" customFormat="1" x14ac:dyDescent="0.2">
      <c r="A50" s="296" t="s">
        <v>6</v>
      </c>
      <c r="B50" s="290"/>
      <c r="C50" s="291"/>
      <c r="D50" s="254"/>
      <c r="E50" s="23"/>
      <c r="F50" s="145"/>
      <c r="G50" s="33"/>
      <c r="H50" s="145"/>
      <c r="I50" s="145"/>
      <c r="J50" s="33"/>
      <c r="K50" s="33"/>
      <c r="L50" s="159"/>
      <c r="M50" s="159"/>
      <c r="N50" s="148"/>
    </row>
    <row r="51" spans="1:14" s="3" customFormat="1" x14ac:dyDescent="0.2">
      <c r="A51" s="296" t="s">
        <v>7</v>
      </c>
      <c r="B51" s="290"/>
      <c r="C51" s="291"/>
      <c r="D51" s="254"/>
      <c r="E51" s="23"/>
      <c r="F51" s="145"/>
      <c r="G51" s="33"/>
      <c r="H51" s="145"/>
      <c r="I51" s="145"/>
      <c r="J51" s="33"/>
      <c r="K51" s="33"/>
      <c r="L51" s="159"/>
      <c r="M51" s="159"/>
      <c r="N51" s="148"/>
    </row>
    <row r="52" spans="1:14" s="3" customFormat="1" x14ac:dyDescent="0.2">
      <c r="A52" s="296" t="s">
        <v>8</v>
      </c>
      <c r="B52" s="290"/>
      <c r="C52" s="291"/>
      <c r="D52" s="254"/>
      <c r="E52" s="23"/>
      <c r="F52" s="145"/>
      <c r="G52" s="33"/>
      <c r="H52" s="145"/>
      <c r="I52" s="145"/>
      <c r="J52" s="33"/>
      <c r="K52" s="33"/>
      <c r="L52" s="159"/>
      <c r="M52" s="159"/>
      <c r="N52" s="148"/>
    </row>
    <row r="53" spans="1:14" s="3" customFormat="1" ht="15.75" x14ac:dyDescent="0.2">
      <c r="A53" s="39" t="s">
        <v>378</v>
      </c>
      <c r="B53" s="310"/>
      <c r="C53" s="311"/>
      <c r="D53" s="428"/>
      <c r="E53" s="11"/>
      <c r="F53" s="145"/>
      <c r="G53" s="33"/>
      <c r="H53" s="145"/>
      <c r="I53" s="145"/>
      <c r="J53" s="33"/>
      <c r="K53" s="33"/>
      <c r="L53" s="159"/>
      <c r="M53" s="159"/>
      <c r="N53" s="148"/>
    </row>
    <row r="54" spans="1:14" s="3" customFormat="1" ht="15.75" x14ac:dyDescent="0.2">
      <c r="A54" s="38" t="s">
        <v>376</v>
      </c>
      <c r="B54" s="281"/>
      <c r="C54" s="282"/>
      <c r="D54" s="254"/>
      <c r="E54" s="27"/>
      <c r="F54" s="145"/>
      <c r="G54" s="33"/>
      <c r="H54" s="145"/>
      <c r="I54" s="145"/>
      <c r="J54" s="33"/>
      <c r="K54" s="33"/>
      <c r="L54" s="159"/>
      <c r="M54" s="159"/>
      <c r="N54" s="148"/>
    </row>
    <row r="55" spans="1:14" s="3" customFormat="1" ht="15.75" x14ac:dyDescent="0.2">
      <c r="A55" s="38" t="s">
        <v>377</v>
      </c>
      <c r="B55" s="281"/>
      <c r="C55" s="282"/>
      <c r="D55" s="254"/>
      <c r="E55" s="27"/>
      <c r="F55" s="145"/>
      <c r="G55" s="33"/>
      <c r="H55" s="145"/>
      <c r="I55" s="145"/>
      <c r="J55" s="33"/>
      <c r="K55" s="33"/>
      <c r="L55" s="159"/>
      <c r="M55" s="159"/>
      <c r="N55" s="148"/>
    </row>
    <row r="56" spans="1:14" s="3" customFormat="1" ht="15.75" x14ac:dyDescent="0.2">
      <c r="A56" s="39" t="s">
        <v>379</v>
      </c>
      <c r="B56" s="310"/>
      <c r="C56" s="311"/>
      <c r="D56" s="428"/>
      <c r="E56" s="11"/>
      <c r="F56" s="145"/>
      <c r="G56" s="33"/>
      <c r="H56" s="145"/>
      <c r="I56" s="145"/>
      <c r="J56" s="33"/>
      <c r="K56" s="33"/>
      <c r="L56" s="159"/>
      <c r="M56" s="159"/>
      <c r="N56" s="148"/>
    </row>
    <row r="57" spans="1:14" s="3" customFormat="1" ht="15.75" x14ac:dyDescent="0.2">
      <c r="A57" s="38" t="s">
        <v>376</v>
      </c>
      <c r="B57" s="281"/>
      <c r="C57" s="282"/>
      <c r="D57" s="254"/>
      <c r="E57" s="27"/>
      <c r="F57" s="145"/>
      <c r="G57" s="33"/>
      <c r="H57" s="145"/>
      <c r="I57" s="145"/>
      <c r="J57" s="33"/>
      <c r="K57" s="33"/>
      <c r="L57" s="159"/>
      <c r="M57" s="159"/>
      <c r="N57" s="148"/>
    </row>
    <row r="58" spans="1:14" s="3" customFormat="1" ht="15.75" x14ac:dyDescent="0.2">
      <c r="A58" s="46" t="s">
        <v>377</v>
      </c>
      <c r="B58" s="283"/>
      <c r="C58" s="284"/>
      <c r="D58" s="255"/>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274</v>
      </c>
      <c r="C61" s="26"/>
      <c r="D61" s="26"/>
      <c r="E61" s="26"/>
      <c r="F61" s="26"/>
      <c r="G61" s="26"/>
      <c r="H61" s="26"/>
      <c r="I61" s="26"/>
      <c r="J61" s="26"/>
      <c r="K61" s="26"/>
      <c r="L61" s="26"/>
      <c r="M61" s="26"/>
    </row>
    <row r="62" spans="1:14" ht="15.75" x14ac:dyDescent="0.25">
      <c r="B62" s="735"/>
      <c r="C62" s="735"/>
      <c r="D62" s="735"/>
      <c r="E62" s="299"/>
      <c r="F62" s="735"/>
      <c r="G62" s="735"/>
      <c r="H62" s="735"/>
      <c r="I62" s="299"/>
      <c r="J62" s="735"/>
      <c r="K62" s="735"/>
      <c r="L62" s="735"/>
      <c r="M62" s="299"/>
    </row>
    <row r="63" spans="1:14" x14ac:dyDescent="0.2">
      <c r="A63" s="144"/>
      <c r="B63" s="733" t="s">
        <v>0</v>
      </c>
      <c r="C63" s="734"/>
      <c r="D63" s="738"/>
      <c r="E63" s="300"/>
      <c r="F63" s="734" t="s">
        <v>1</v>
      </c>
      <c r="G63" s="734"/>
      <c r="H63" s="734"/>
      <c r="I63" s="304"/>
      <c r="J63" s="733" t="s">
        <v>2</v>
      </c>
      <c r="K63" s="734"/>
      <c r="L63" s="734"/>
      <c r="M63" s="304"/>
    </row>
    <row r="64" spans="1:14" x14ac:dyDescent="0.2">
      <c r="A64" s="140"/>
      <c r="B64" s="152" t="s">
        <v>421</v>
      </c>
      <c r="C64" s="152" t="s">
        <v>422</v>
      </c>
      <c r="D64" s="245" t="s">
        <v>3</v>
      </c>
      <c r="E64" s="305" t="s">
        <v>29</v>
      </c>
      <c r="F64" s="152" t="s">
        <v>421</v>
      </c>
      <c r="G64" s="152" t="s">
        <v>422</v>
      </c>
      <c r="H64" s="245" t="s">
        <v>3</v>
      </c>
      <c r="I64" s="305" t="s">
        <v>29</v>
      </c>
      <c r="J64" s="152" t="s">
        <v>421</v>
      </c>
      <c r="K64" s="152" t="s">
        <v>422</v>
      </c>
      <c r="L64" s="245" t="s">
        <v>3</v>
      </c>
      <c r="M64" s="162" t="s">
        <v>29</v>
      </c>
    </row>
    <row r="65" spans="1:14" x14ac:dyDescent="0.2">
      <c r="A65" s="708"/>
      <c r="B65" s="156"/>
      <c r="C65" s="156"/>
      <c r="D65" s="246" t="s">
        <v>4</v>
      </c>
      <c r="E65" s="156" t="s">
        <v>30</v>
      </c>
      <c r="F65" s="161"/>
      <c r="G65" s="161"/>
      <c r="H65" s="245" t="s">
        <v>4</v>
      </c>
      <c r="I65" s="156" t="s">
        <v>30</v>
      </c>
      <c r="J65" s="161"/>
      <c r="K65" s="206"/>
      <c r="L65" s="156" t="s">
        <v>4</v>
      </c>
      <c r="M65" s="156" t="s">
        <v>30</v>
      </c>
    </row>
    <row r="66" spans="1:14" ht="15.75" x14ac:dyDescent="0.2">
      <c r="A66" s="14" t="s">
        <v>23</v>
      </c>
      <c r="B66" s="353">
        <v>74207</v>
      </c>
      <c r="C66" s="353">
        <v>74436</v>
      </c>
      <c r="D66" s="350">
        <f t="shared" ref="D66:D111" si="0">IF(B66=0, "    ---- ", IF(ABS(ROUND(100/B66*C66-100,1))&lt;999,ROUND(100/B66*C66-100,1),IF(ROUND(100/B66*C66-100,1)&gt;999,999,-999)))</f>
        <v>0.3</v>
      </c>
      <c r="E66" s="11">
        <f>IFERROR(100/'Skjema total MA'!C66*C66,0)</f>
        <v>1.2563777275748751</v>
      </c>
      <c r="F66" s="352">
        <v>401210</v>
      </c>
      <c r="G66" s="352">
        <v>471105</v>
      </c>
      <c r="H66" s="350">
        <f t="shared" ref="H66:H111" si="1">IF(F66=0, "    ---- ", IF(ABS(ROUND(100/F66*G66-100,1))&lt;999,ROUND(100/F66*G66-100,1),IF(ROUND(100/F66*G66-100,1)&gt;999,999,-999)))</f>
        <v>17.399999999999999</v>
      </c>
      <c r="I66" s="11">
        <f>IFERROR(100/'Skjema total MA'!F66*G66,0)</f>
        <v>1.8107977893453677</v>
      </c>
      <c r="J66" s="309">
        <f t="shared" ref="J66:K79" si="2">SUM(B66,F66)</f>
        <v>475417</v>
      </c>
      <c r="K66" s="316">
        <f t="shared" si="2"/>
        <v>545541</v>
      </c>
      <c r="L66" s="428">
        <f t="shared" ref="L66:L111" si="3">IF(J66=0, "    ---- ", IF(ABS(ROUND(100/J66*K66-100,1))&lt;999,ROUND(100/J66*K66-100,1),IF(ROUND(100/J66*K66-100,1)&gt;999,999,-999)))</f>
        <v>14.7</v>
      </c>
      <c r="M66" s="11">
        <f>IFERROR(100/'Skjema total MA'!I66*K66,0)</f>
        <v>1.7079601556775155</v>
      </c>
    </row>
    <row r="67" spans="1:14" x14ac:dyDescent="0.2">
      <c r="A67" s="419" t="s">
        <v>9</v>
      </c>
      <c r="B67" s="44">
        <v>74207</v>
      </c>
      <c r="C67" s="145">
        <v>74436</v>
      </c>
      <c r="D67" s="166">
        <f t="shared" si="0"/>
        <v>0.3</v>
      </c>
      <c r="E67" s="27">
        <f>IFERROR(100/'Skjema total MA'!C67*C67,0)</f>
        <v>1.7867991472932179</v>
      </c>
      <c r="F67" s="234"/>
      <c r="G67" s="145"/>
      <c r="H67" s="166"/>
      <c r="I67" s="27"/>
      <c r="J67" s="287">
        <f t="shared" si="2"/>
        <v>74207</v>
      </c>
      <c r="K67" s="44">
        <f t="shared" si="2"/>
        <v>74436</v>
      </c>
      <c r="L67" s="254">
        <f t="shared" si="3"/>
        <v>0.3</v>
      </c>
      <c r="M67" s="27">
        <f>IFERROR(100/'Skjema total MA'!I67*K67,0)</f>
        <v>1.7867991472932179</v>
      </c>
    </row>
    <row r="68" spans="1:14" x14ac:dyDescent="0.2">
      <c r="A68" s="21" t="s">
        <v>10</v>
      </c>
      <c r="B68" s="292"/>
      <c r="C68" s="293"/>
      <c r="D68" s="166"/>
      <c r="E68" s="27"/>
      <c r="F68" s="292">
        <v>401210</v>
      </c>
      <c r="G68" s="293">
        <v>471105</v>
      </c>
      <c r="H68" s="166">
        <f t="shared" si="1"/>
        <v>17.399999999999999</v>
      </c>
      <c r="I68" s="27">
        <f>IFERROR(100/'Skjema total MA'!F68*G68,0)</f>
        <v>1.885368911378223</v>
      </c>
      <c r="J68" s="287">
        <f t="shared" si="2"/>
        <v>401210</v>
      </c>
      <c r="K68" s="44">
        <f t="shared" si="2"/>
        <v>471105</v>
      </c>
      <c r="L68" s="254">
        <f t="shared" si="3"/>
        <v>17.399999999999999</v>
      </c>
      <c r="M68" s="27">
        <f>IFERROR(100/'Skjema total MA'!I68*K68,0)</f>
        <v>1.8764770066364782</v>
      </c>
    </row>
    <row r="69" spans="1:14" ht="15.75" x14ac:dyDescent="0.2">
      <c r="A69" s="296" t="s">
        <v>380</v>
      </c>
      <c r="B69" s="294"/>
      <c r="C69" s="295"/>
      <c r="D69" s="166"/>
      <c r="E69" s="417"/>
      <c r="F69" s="294"/>
      <c r="G69" s="295"/>
      <c r="H69" s="166"/>
      <c r="I69" s="417"/>
      <c r="J69" s="294"/>
      <c r="K69" s="295"/>
      <c r="L69" s="166"/>
      <c r="M69" s="23"/>
    </row>
    <row r="70" spans="1:14" x14ac:dyDescent="0.2">
      <c r="A70" s="296" t="s">
        <v>12</v>
      </c>
      <c r="B70" s="294"/>
      <c r="C70" s="295"/>
      <c r="D70" s="166"/>
      <c r="E70" s="417"/>
      <c r="F70" s="294"/>
      <c r="G70" s="295"/>
      <c r="H70" s="166"/>
      <c r="I70" s="417"/>
      <c r="J70" s="294"/>
      <c r="K70" s="295"/>
      <c r="L70" s="166"/>
      <c r="M70" s="23"/>
    </row>
    <row r="71" spans="1:14" x14ac:dyDescent="0.2">
      <c r="A71" s="296" t="s">
        <v>13</v>
      </c>
      <c r="B71" s="235"/>
      <c r="C71" s="289"/>
      <c r="D71" s="166"/>
      <c r="E71" s="417"/>
      <c r="F71" s="294"/>
      <c r="G71" s="295"/>
      <c r="H71" s="166"/>
      <c r="I71" s="417"/>
      <c r="J71" s="294"/>
      <c r="K71" s="295"/>
      <c r="L71" s="166"/>
      <c r="M71" s="23"/>
    </row>
    <row r="72" spans="1:14" ht="15.75" x14ac:dyDescent="0.2">
      <c r="A72" s="296" t="s">
        <v>381</v>
      </c>
      <c r="B72" s="294"/>
      <c r="C72" s="295"/>
      <c r="D72" s="166"/>
      <c r="E72" s="417"/>
      <c r="F72" s="294"/>
      <c r="G72" s="295"/>
      <c r="H72" s="166"/>
      <c r="I72" s="417"/>
      <c r="J72" s="294"/>
      <c r="K72" s="295"/>
      <c r="L72" s="166"/>
      <c r="M72" s="23"/>
    </row>
    <row r="73" spans="1:14" x14ac:dyDescent="0.2">
      <c r="A73" s="296" t="s">
        <v>12</v>
      </c>
      <c r="B73" s="235"/>
      <c r="C73" s="289"/>
      <c r="D73" s="166"/>
      <c r="E73" s="417"/>
      <c r="F73" s="294"/>
      <c r="G73" s="295"/>
      <c r="H73" s="166"/>
      <c r="I73" s="417"/>
      <c r="J73" s="294"/>
      <c r="K73" s="295"/>
      <c r="L73" s="166"/>
      <c r="M73" s="23"/>
    </row>
    <row r="74" spans="1:14" s="3" customFormat="1" x14ac:dyDescent="0.2">
      <c r="A74" s="296" t="s">
        <v>13</v>
      </c>
      <c r="B74" s="235"/>
      <c r="C74" s="289"/>
      <c r="D74" s="166"/>
      <c r="E74" s="417"/>
      <c r="F74" s="294"/>
      <c r="G74" s="295"/>
      <c r="H74" s="166"/>
      <c r="I74" s="417"/>
      <c r="J74" s="294"/>
      <c r="K74" s="295"/>
      <c r="L74" s="166"/>
      <c r="M74" s="23"/>
      <c r="N74" s="148"/>
    </row>
    <row r="75" spans="1:14" s="3" customFormat="1" x14ac:dyDescent="0.2">
      <c r="A75" s="21" t="s">
        <v>350</v>
      </c>
      <c r="B75" s="234"/>
      <c r="C75" s="145"/>
      <c r="D75" s="166"/>
      <c r="E75" s="27"/>
      <c r="F75" s="234"/>
      <c r="G75" s="145"/>
      <c r="H75" s="166"/>
      <c r="I75" s="27"/>
      <c r="J75" s="287"/>
      <c r="K75" s="44"/>
      <c r="L75" s="254"/>
      <c r="M75" s="27"/>
      <c r="N75" s="148"/>
    </row>
    <row r="76" spans="1:14" s="3" customFormat="1" x14ac:dyDescent="0.2">
      <c r="A76" s="21" t="s">
        <v>349</v>
      </c>
      <c r="B76" s="234"/>
      <c r="C76" s="145"/>
      <c r="D76" s="166"/>
      <c r="E76" s="27"/>
      <c r="F76" s="234"/>
      <c r="G76" s="145"/>
      <c r="H76" s="166"/>
      <c r="I76" s="27"/>
      <c r="J76" s="287"/>
      <c r="K76" s="44"/>
      <c r="L76" s="254"/>
      <c r="M76" s="27"/>
      <c r="N76" s="148"/>
    </row>
    <row r="77" spans="1:14" ht="15.75" x14ac:dyDescent="0.2">
      <c r="A77" s="21" t="s">
        <v>382</v>
      </c>
      <c r="B77" s="234">
        <v>74207</v>
      </c>
      <c r="C77" s="234">
        <v>74436</v>
      </c>
      <c r="D77" s="166">
        <f t="shared" si="0"/>
        <v>0.3</v>
      </c>
      <c r="E77" s="27">
        <f>IFERROR(100/'Skjema total MA'!C77*C77,0)</f>
        <v>1.7952609529680208</v>
      </c>
      <c r="F77" s="234">
        <v>401210</v>
      </c>
      <c r="G77" s="145">
        <v>471105</v>
      </c>
      <c r="H77" s="166">
        <f t="shared" si="1"/>
        <v>17.399999999999999</v>
      </c>
      <c r="I77" s="27">
        <f>IFERROR(100/'Skjema total MA'!F77*G77,0)</f>
        <v>1.8862290122695893</v>
      </c>
      <c r="J77" s="287">
        <f t="shared" si="2"/>
        <v>475417</v>
      </c>
      <c r="K77" s="44">
        <f t="shared" si="2"/>
        <v>545541</v>
      </c>
      <c r="L77" s="254">
        <f t="shared" si="3"/>
        <v>14.7</v>
      </c>
      <c r="M77" s="27">
        <f>IFERROR(100/'Skjema total MA'!I77*K77,0)</f>
        <v>1.8732775411127001</v>
      </c>
    </row>
    <row r="78" spans="1:14" x14ac:dyDescent="0.2">
      <c r="A78" s="21" t="s">
        <v>9</v>
      </c>
      <c r="B78" s="234">
        <v>74207</v>
      </c>
      <c r="C78" s="145">
        <v>74436</v>
      </c>
      <c r="D78" s="166">
        <f t="shared" si="0"/>
        <v>0.3</v>
      </c>
      <c r="E78" s="27">
        <f>IFERROR(100/'Skjema total MA'!C78*C78,0)</f>
        <v>1.847165743098133</v>
      </c>
      <c r="F78" s="234"/>
      <c r="G78" s="145"/>
      <c r="H78" s="166"/>
      <c r="I78" s="27"/>
      <c r="J78" s="287">
        <f t="shared" si="2"/>
        <v>74207</v>
      </c>
      <c r="K78" s="44">
        <f t="shared" si="2"/>
        <v>74436</v>
      </c>
      <c r="L78" s="254">
        <f t="shared" si="3"/>
        <v>0.3</v>
      </c>
      <c r="M78" s="27">
        <f>IFERROR(100/'Skjema total MA'!I78*K78,0)</f>
        <v>1.847165743098133</v>
      </c>
    </row>
    <row r="79" spans="1:14" x14ac:dyDescent="0.2">
      <c r="A79" s="21" t="s">
        <v>10</v>
      </c>
      <c r="B79" s="292"/>
      <c r="C79" s="293"/>
      <c r="D79" s="166"/>
      <c r="E79" s="27"/>
      <c r="F79" s="292">
        <v>401210</v>
      </c>
      <c r="G79" s="293">
        <v>471105</v>
      </c>
      <c r="H79" s="166">
        <f t="shared" si="1"/>
        <v>17.399999999999999</v>
      </c>
      <c r="I79" s="27">
        <f>IFERROR(100/'Skjema total MA'!F79*G79,0)</f>
        <v>1.8862290122695893</v>
      </c>
      <c r="J79" s="287">
        <f t="shared" si="2"/>
        <v>401210</v>
      </c>
      <c r="K79" s="44">
        <f t="shared" si="2"/>
        <v>471105</v>
      </c>
      <c r="L79" s="254">
        <f t="shared" si="3"/>
        <v>17.399999999999999</v>
      </c>
      <c r="M79" s="27">
        <f>IFERROR(100/'Skjema total MA'!I79*K79,0)</f>
        <v>1.8774709716791427</v>
      </c>
    </row>
    <row r="80" spans="1:14" ht="15.75" x14ac:dyDescent="0.2">
      <c r="A80" s="296" t="s">
        <v>380</v>
      </c>
      <c r="B80" s="294"/>
      <c r="C80" s="295"/>
      <c r="D80" s="166"/>
      <c r="E80" s="417"/>
      <c r="F80" s="294"/>
      <c r="G80" s="295"/>
      <c r="H80" s="166"/>
      <c r="I80" s="417"/>
      <c r="J80" s="294"/>
      <c r="K80" s="295"/>
      <c r="L80" s="166"/>
      <c r="M80" s="23"/>
    </row>
    <row r="81" spans="1:13" x14ac:dyDescent="0.2">
      <c r="A81" s="296" t="s">
        <v>12</v>
      </c>
      <c r="B81" s="294"/>
      <c r="C81" s="295"/>
      <c r="D81" s="166"/>
      <c r="E81" s="417"/>
      <c r="F81" s="294"/>
      <c r="G81" s="295"/>
      <c r="H81" s="166"/>
      <c r="I81" s="417"/>
      <c r="J81" s="294"/>
      <c r="K81" s="295"/>
      <c r="L81" s="166"/>
      <c r="M81" s="23"/>
    </row>
    <row r="82" spans="1:13" x14ac:dyDescent="0.2">
      <c r="A82" s="296" t="s">
        <v>13</v>
      </c>
      <c r="B82" s="294"/>
      <c r="C82" s="295"/>
      <c r="D82" s="166"/>
      <c r="E82" s="417"/>
      <c r="F82" s="294"/>
      <c r="G82" s="295"/>
      <c r="H82" s="166"/>
      <c r="I82" s="417"/>
      <c r="J82" s="294"/>
      <c r="K82" s="295"/>
      <c r="L82" s="166"/>
      <c r="M82" s="23"/>
    </row>
    <row r="83" spans="1:13" ht="15.75" x14ac:dyDescent="0.2">
      <c r="A83" s="296" t="s">
        <v>381</v>
      </c>
      <c r="B83" s="294"/>
      <c r="C83" s="295"/>
      <c r="D83" s="166"/>
      <c r="E83" s="417"/>
      <c r="F83" s="294"/>
      <c r="G83" s="295"/>
      <c r="H83" s="166"/>
      <c r="I83" s="417"/>
      <c r="J83" s="294"/>
      <c r="K83" s="295"/>
      <c r="L83" s="166"/>
      <c r="M83" s="23"/>
    </row>
    <row r="84" spans="1:13" x14ac:dyDescent="0.2">
      <c r="A84" s="296" t="s">
        <v>12</v>
      </c>
      <c r="B84" s="294"/>
      <c r="C84" s="295"/>
      <c r="D84" s="166"/>
      <c r="E84" s="417"/>
      <c r="F84" s="294"/>
      <c r="G84" s="295"/>
      <c r="H84" s="166"/>
      <c r="I84" s="417"/>
      <c r="J84" s="294"/>
      <c r="K84" s="295"/>
      <c r="L84" s="166"/>
      <c r="M84" s="23"/>
    </row>
    <row r="85" spans="1:13" x14ac:dyDescent="0.2">
      <c r="A85" s="296" t="s">
        <v>13</v>
      </c>
      <c r="B85" s="294"/>
      <c r="C85" s="295"/>
      <c r="D85" s="166"/>
      <c r="E85" s="417"/>
      <c r="F85" s="294"/>
      <c r="G85" s="295"/>
      <c r="H85" s="166"/>
      <c r="I85" s="417"/>
      <c r="J85" s="294"/>
      <c r="K85" s="295"/>
      <c r="L85" s="166"/>
      <c r="M85" s="23"/>
    </row>
    <row r="86" spans="1:13" ht="15.75" x14ac:dyDescent="0.2">
      <c r="A86" s="21" t="s">
        <v>383</v>
      </c>
      <c r="B86" s="234"/>
      <c r="C86" s="145"/>
      <c r="D86" s="166"/>
      <c r="E86" s="27"/>
      <c r="F86" s="234"/>
      <c r="G86" s="145"/>
      <c r="H86" s="166"/>
      <c r="I86" s="27"/>
      <c r="J86" s="287"/>
      <c r="K86" s="44"/>
      <c r="L86" s="254"/>
      <c r="M86" s="27"/>
    </row>
    <row r="87" spans="1:13" ht="15.75" x14ac:dyDescent="0.2">
      <c r="A87" s="13" t="s">
        <v>365</v>
      </c>
      <c r="B87" s="353">
        <v>1726673</v>
      </c>
      <c r="C87" s="353">
        <v>1789003</v>
      </c>
      <c r="D87" s="171">
        <f t="shared" si="0"/>
        <v>3.6</v>
      </c>
      <c r="E87" s="11">
        <f>IFERROR(100/'Skjema total MA'!C87*C87,0)</f>
        <v>0.45472091395459596</v>
      </c>
      <c r="F87" s="352">
        <v>4520776</v>
      </c>
      <c r="G87" s="352">
        <v>5573307</v>
      </c>
      <c r="H87" s="171">
        <f t="shared" si="1"/>
        <v>23.3</v>
      </c>
      <c r="I87" s="11">
        <f>IFERROR(100/'Skjema total MA'!F87*G87,0)</f>
        <v>1.6475632662687412</v>
      </c>
      <c r="J87" s="309">
        <f t="shared" ref="J87:K111" si="4">SUM(B87,F87)</f>
        <v>6247449</v>
      </c>
      <c r="K87" s="236">
        <f t="shared" si="4"/>
        <v>7362310</v>
      </c>
      <c r="L87" s="428">
        <f t="shared" si="3"/>
        <v>17.8</v>
      </c>
      <c r="M87" s="11">
        <f>IFERROR(100/'Skjema total MA'!I87*K87,0)</f>
        <v>1.0061861819889235</v>
      </c>
    </row>
    <row r="88" spans="1:13" x14ac:dyDescent="0.2">
      <c r="A88" s="21" t="s">
        <v>9</v>
      </c>
      <c r="B88" s="234">
        <v>1726673</v>
      </c>
      <c r="C88" s="145">
        <v>1789003</v>
      </c>
      <c r="D88" s="166">
        <f t="shared" si="0"/>
        <v>3.6</v>
      </c>
      <c r="E88" s="27">
        <f>IFERROR(100/'Skjema total MA'!C88*C88,0)</f>
        <v>0.46848328463638378</v>
      </c>
      <c r="F88" s="234"/>
      <c r="G88" s="145"/>
      <c r="H88" s="166"/>
      <c r="I88" s="27"/>
      <c r="J88" s="287">
        <f t="shared" si="4"/>
        <v>1726673</v>
      </c>
      <c r="K88" s="44">
        <f t="shared" si="4"/>
        <v>1789003</v>
      </c>
      <c r="L88" s="254">
        <f t="shared" si="3"/>
        <v>3.6</v>
      </c>
      <c r="M88" s="27">
        <f>IFERROR(100/'Skjema total MA'!I88*K88,0)</f>
        <v>0.46848328463638378</v>
      </c>
    </row>
    <row r="89" spans="1:13" x14ac:dyDescent="0.2">
      <c r="A89" s="21" t="s">
        <v>10</v>
      </c>
      <c r="B89" s="234"/>
      <c r="C89" s="145"/>
      <c r="D89" s="166"/>
      <c r="E89" s="27"/>
      <c r="F89" s="234">
        <v>4520776</v>
      </c>
      <c r="G89" s="145">
        <v>5573307</v>
      </c>
      <c r="H89" s="166">
        <f t="shared" si="1"/>
        <v>23.3</v>
      </c>
      <c r="I89" s="27">
        <f>IFERROR(100/'Skjema total MA'!F89*G89,0)</f>
        <v>1.6601875788788769</v>
      </c>
      <c r="J89" s="287">
        <f t="shared" si="4"/>
        <v>4520776</v>
      </c>
      <c r="K89" s="44">
        <f t="shared" si="4"/>
        <v>5573307</v>
      </c>
      <c r="L89" s="254">
        <f t="shared" si="3"/>
        <v>23.3</v>
      </c>
      <c r="M89" s="27">
        <f>IFERROR(100/'Skjema total MA'!I89*K89,0)</f>
        <v>1.6446667111818425</v>
      </c>
    </row>
    <row r="90" spans="1:13" ht="15.75" x14ac:dyDescent="0.2">
      <c r="A90" s="296" t="s">
        <v>380</v>
      </c>
      <c r="B90" s="294"/>
      <c r="C90" s="295"/>
      <c r="D90" s="166"/>
      <c r="E90" s="417"/>
      <c r="F90" s="294"/>
      <c r="G90" s="295"/>
      <c r="H90" s="166"/>
      <c r="I90" s="417"/>
      <c r="J90" s="294"/>
      <c r="K90" s="295"/>
      <c r="L90" s="166"/>
      <c r="M90" s="23"/>
    </row>
    <row r="91" spans="1:13" x14ac:dyDescent="0.2">
      <c r="A91" s="296" t="s">
        <v>12</v>
      </c>
      <c r="B91" s="294"/>
      <c r="C91" s="295"/>
      <c r="D91" s="166"/>
      <c r="E91" s="417"/>
      <c r="F91" s="294"/>
      <c r="G91" s="295"/>
      <c r="H91" s="166"/>
      <c r="I91" s="417"/>
      <c r="J91" s="294"/>
      <c r="K91" s="295"/>
      <c r="L91" s="166"/>
      <c r="M91" s="23"/>
    </row>
    <row r="92" spans="1:13" x14ac:dyDescent="0.2">
      <c r="A92" s="296" t="s">
        <v>13</v>
      </c>
      <c r="B92" s="294"/>
      <c r="C92" s="295"/>
      <c r="D92" s="166"/>
      <c r="E92" s="417"/>
      <c r="F92" s="294"/>
      <c r="G92" s="295"/>
      <c r="H92" s="166"/>
      <c r="I92" s="417"/>
      <c r="J92" s="294"/>
      <c r="K92" s="295"/>
      <c r="L92" s="166"/>
      <c r="M92" s="23"/>
    </row>
    <row r="93" spans="1:13" ht="15.75" x14ac:dyDescent="0.2">
      <c r="A93" s="296" t="s">
        <v>381</v>
      </c>
      <c r="B93" s="294"/>
      <c r="C93" s="295"/>
      <c r="D93" s="166"/>
      <c r="E93" s="417"/>
      <c r="F93" s="294"/>
      <c r="G93" s="295"/>
      <c r="H93" s="166"/>
      <c r="I93" s="417"/>
      <c r="J93" s="294"/>
      <c r="K93" s="295"/>
      <c r="L93" s="166"/>
      <c r="M93" s="23"/>
    </row>
    <row r="94" spans="1:13" x14ac:dyDescent="0.2">
      <c r="A94" s="296" t="s">
        <v>12</v>
      </c>
      <c r="B94" s="294"/>
      <c r="C94" s="295"/>
      <c r="D94" s="166"/>
      <c r="E94" s="417"/>
      <c r="F94" s="294"/>
      <c r="G94" s="295"/>
      <c r="H94" s="166"/>
      <c r="I94" s="417"/>
      <c r="J94" s="294"/>
      <c r="K94" s="295"/>
      <c r="L94" s="166"/>
      <c r="M94" s="23"/>
    </row>
    <row r="95" spans="1:13" x14ac:dyDescent="0.2">
      <c r="A95" s="296" t="s">
        <v>13</v>
      </c>
      <c r="B95" s="294"/>
      <c r="C95" s="295"/>
      <c r="D95" s="166"/>
      <c r="E95" s="417"/>
      <c r="F95" s="294"/>
      <c r="G95" s="295"/>
      <c r="H95" s="166"/>
      <c r="I95" s="417"/>
      <c r="J95" s="294"/>
      <c r="K95" s="295"/>
      <c r="L95" s="166"/>
      <c r="M95" s="23"/>
    </row>
    <row r="96" spans="1:13" x14ac:dyDescent="0.2">
      <c r="A96" s="21" t="s">
        <v>348</v>
      </c>
      <c r="B96" s="234"/>
      <c r="C96" s="145"/>
      <c r="D96" s="166"/>
      <c r="E96" s="27"/>
      <c r="F96" s="234"/>
      <c r="G96" s="145"/>
      <c r="H96" s="166"/>
      <c r="I96" s="27"/>
      <c r="J96" s="287"/>
      <c r="K96" s="44"/>
      <c r="L96" s="254"/>
      <c r="M96" s="27"/>
    </row>
    <row r="97" spans="1:13" x14ac:dyDescent="0.2">
      <c r="A97" s="21" t="s">
        <v>347</v>
      </c>
      <c r="B97" s="234"/>
      <c r="C97" s="145"/>
      <c r="D97" s="166"/>
      <c r="E97" s="27"/>
      <c r="F97" s="234"/>
      <c r="G97" s="145"/>
      <c r="H97" s="166"/>
      <c r="I97" s="27"/>
      <c r="J97" s="287"/>
      <c r="K97" s="44"/>
      <c r="L97" s="254"/>
      <c r="M97" s="27"/>
    </row>
    <row r="98" spans="1:13" ht="15.75" x14ac:dyDescent="0.2">
      <c r="A98" s="21" t="s">
        <v>382</v>
      </c>
      <c r="B98" s="234">
        <v>1726673</v>
      </c>
      <c r="C98" s="234">
        <v>1789003</v>
      </c>
      <c r="D98" s="166">
        <f t="shared" si="0"/>
        <v>3.6</v>
      </c>
      <c r="E98" s="27">
        <f>IFERROR(100/'Skjema total MA'!C98*C98,0)</f>
        <v>0.47001677442856415</v>
      </c>
      <c r="F98" s="292">
        <v>4520776</v>
      </c>
      <c r="G98" s="292">
        <v>5573307</v>
      </c>
      <c r="H98" s="166">
        <f t="shared" si="1"/>
        <v>23.3</v>
      </c>
      <c r="I98" s="27">
        <f>IFERROR(100/'Skjema total MA'!F98*G98,0)</f>
        <v>1.6648636068026046</v>
      </c>
      <c r="J98" s="287">
        <f t="shared" si="4"/>
        <v>6247449</v>
      </c>
      <c r="K98" s="44">
        <f t="shared" si="4"/>
        <v>7362310</v>
      </c>
      <c r="L98" s="254">
        <f t="shared" si="3"/>
        <v>17.8</v>
      </c>
      <c r="M98" s="27">
        <f>IFERROR(100/'Skjema total MA'!I98*K98,0)</f>
        <v>1.0291382198536034</v>
      </c>
    </row>
    <row r="99" spans="1:13" x14ac:dyDescent="0.2">
      <c r="A99" s="21" t="s">
        <v>9</v>
      </c>
      <c r="B99" s="292">
        <v>1726673</v>
      </c>
      <c r="C99" s="293">
        <v>1789003</v>
      </c>
      <c r="D99" s="166">
        <f t="shared" si="0"/>
        <v>3.6</v>
      </c>
      <c r="E99" s="27">
        <f>IFERROR(100/'Skjema total MA'!C99*C99,0)</f>
        <v>0.47396170572004015</v>
      </c>
      <c r="F99" s="234"/>
      <c r="G99" s="145"/>
      <c r="H99" s="166"/>
      <c r="I99" s="27"/>
      <c r="J99" s="287">
        <f t="shared" si="4"/>
        <v>1726673</v>
      </c>
      <c r="K99" s="44">
        <f t="shared" si="4"/>
        <v>1789003</v>
      </c>
      <c r="L99" s="254">
        <f t="shared" si="3"/>
        <v>3.6</v>
      </c>
      <c r="M99" s="27">
        <f>IFERROR(100/'Skjema total MA'!I99*K99,0)</f>
        <v>0.47396170572004015</v>
      </c>
    </row>
    <row r="100" spans="1:13" x14ac:dyDescent="0.2">
      <c r="A100" s="21" t="s">
        <v>10</v>
      </c>
      <c r="B100" s="292"/>
      <c r="C100" s="293"/>
      <c r="D100" s="166"/>
      <c r="E100" s="27"/>
      <c r="F100" s="234">
        <v>4520776</v>
      </c>
      <c r="G100" s="234">
        <v>5573307</v>
      </c>
      <c r="H100" s="166">
        <f t="shared" si="1"/>
        <v>23.3</v>
      </c>
      <c r="I100" s="27">
        <f>IFERROR(100/'Skjema total MA'!F100*G100,0)</f>
        <v>1.6648636068026046</v>
      </c>
      <c r="J100" s="287">
        <f t="shared" si="4"/>
        <v>4520776</v>
      </c>
      <c r="K100" s="44">
        <f t="shared" si="4"/>
        <v>5573307</v>
      </c>
      <c r="L100" s="254">
        <f t="shared" si="3"/>
        <v>23.3</v>
      </c>
      <c r="M100" s="27">
        <f>IFERROR(100/'Skjema total MA'!I100*K100,0)</f>
        <v>1.6492555958660287</v>
      </c>
    </row>
    <row r="101" spans="1:13" ht="15.75" x14ac:dyDescent="0.2">
      <c r="A101" s="296" t="s">
        <v>380</v>
      </c>
      <c r="B101" s="294"/>
      <c r="C101" s="295"/>
      <c r="D101" s="166"/>
      <c r="E101" s="417"/>
      <c r="F101" s="294"/>
      <c r="G101" s="295"/>
      <c r="H101" s="166"/>
      <c r="I101" s="417"/>
      <c r="J101" s="294"/>
      <c r="K101" s="295"/>
      <c r="L101" s="166"/>
      <c r="M101" s="23"/>
    </row>
    <row r="102" spans="1:13" x14ac:dyDescent="0.2">
      <c r="A102" s="296" t="s">
        <v>12</v>
      </c>
      <c r="B102" s="294"/>
      <c r="C102" s="295"/>
      <c r="D102" s="166"/>
      <c r="E102" s="417"/>
      <c r="F102" s="294"/>
      <c r="G102" s="295"/>
      <c r="H102" s="166"/>
      <c r="I102" s="417"/>
      <c r="J102" s="294"/>
      <c r="K102" s="295"/>
      <c r="L102" s="166"/>
      <c r="M102" s="23"/>
    </row>
    <row r="103" spans="1:13" x14ac:dyDescent="0.2">
      <c r="A103" s="296" t="s">
        <v>13</v>
      </c>
      <c r="B103" s="294"/>
      <c r="C103" s="295"/>
      <c r="D103" s="166"/>
      <c r="E103" s="417"/>
      <c r="F103" s="294"/>
      <c r="G103" s="295"/>
      <c r="H103" s="166"/>
      <c r="I103" s="417"/>
      <c r="J103" s="294"/>
      <c r="K103" s="295"/>
      <c r="L103" s="166"/>
      <c r="M103" s="23"/>
    </row>
    <row r="104" spans="1:13" ht="15.75" x14ac:dyDescent="0.2">
      <c r="A104" s="296" t="s">
        <v>381</v>
      </c>
      <c r="B104" s="294"/>
      <c r="C104" s="295"/>
      <c r="D104" s="166"/>
      <c r="E104" s="417"/>
      <c r="F104" s="294"/>
      <c r="G104" s="295"/>
      <c r="H104" s="166"/>
      <c r="I104" s="417"/>
      <c r="J104" s="294"/>
      <c r="K104" s="295"/>
      <c r="L104" s="166"/>
      <c r="M104" s="23"/>
    </row>
    <row r="105" spans="1:13" x14ac:dyDescent="0.2">
      <c r="A105" s="296" t="s">
        <v>12</v>
      </c>
      <c r="B105" s="294"/>
      <c r="C105" s="295"/>
      <c r="D105" s="166"/>
      <c r="E105" s="417"/>
      <c r="F105" s="294"/>
      <c r="G105" s="295"/>
      <c r="H105" s="166"/>
      <c r="I105" s="417"/>
      <c r="J105" s="294"/>
      <c r="K105" s="295"/>
      <c r="L105" s="166"/>
      <c r="M105" s="23"/>
    </row>
    <row r="106" spans="1:13" x14ac:dyDescent="0.2">
      <c r="A106" s="296" t="s">
        <v>13</v>
      </c>
      <c r="B106" s="294"/>
      <c r="C106" s="295"/>
      <c r="D106" s="166"/>
      <c r="E106" s="417"/>
      <c r="F106" s="294"/>
      <c r="G106" s="295"/>
      <c r="H106" s="166"/>
      <c r="I106" s="417"/>
      <c r="J106" s="294"/>
      <c r="K106" s="295"/>
      <c r="L106" s="166"/>
      <c r="M106" s="23"/>
    </row>
    <row r="107" spans="1:13" ht="15.75" x14ac:dyDescent="0.2">
      <c r="A107" s="21" t="s">
        <v>383</v>
      </c>
      <c r="B107" s="234"/>
      <c r="C107" s="145"/>
      <c r="D107" s="166"/>
      <c r="E107" s="27"/>
      <c r="F107" s="234"/>
      <c r="G107" s="145"/>
      <c r="H107" s="166"/>
      <c r="I107" s="27"/>
      <c r="J107" s="287"/>
      <c r="K107" s="44"/>
      <c r="L107" s="254"/>
      <c r="M107" s="27"/>
    </row>
    <row r="108" spans="1:13" ht="15.75" x14ac:dyDescent="0.2">
      <c r="A108" s="21" t="s">
        <v>384</v>
      </c>
      <c r="B108" s="234">
        <v>1029107</v>
      </c>
      <c r="C108" s="234">
        <v>1043152</v>
      </c>
      <c r="D108" s="166">
        <f t="shared" si="0"/>
        <v>1.4</v>
      </c>
      <c r="E108" s="27">
        <f>IFERROR(100/'Skjema total MA'!C108*C108,0)</f>
        <v>0.32061988530400992</v>
      </c>
      <c r="F108" s="234"/>
      <c r="G108" s="234"/>
      <c r="H108" s="166"/>
      <c r="I108" s="27"/>
      <c r="J108" s="287">
        <f t="shared" si="4"/>
        <v>1029107</v>
      </c>
      <c r="K108" s="44">
        <f t="shared" si="4"/>
        <v>1043152</v>
      </c>
      <c r="L108" s="254">
        <f t="shared" si="3"/>
        <v>1.4</v>
      </c>
      <c r="M108" s="27">
        <f>IFERROR(100/'Skjema total MA'!I108*K108,0)</f>
        <v>0.30439378500390019</v>
      </c>
    </row>
    <row r="109" spans="1:13" ht="15.75" x14ac:dyDescent="0.2">
      <c r="A109" s="21" t="s">
        <v>385</v>
      </c>
      <c r="B109" s="234"/>
      <c r="C109" s="234"/>
      <c r="D109" s="166"/>
      <c r="E109" s="27"/>
      <c r="F109" s="234">
        <v>1966773</v>
      </c>
      <c r="G109" s="234">
        <v>2390148</v>
      </c>
      <c r="H109" s="166">
        <f t="shared" si="1"/>
        <v>21.5</v>
      </c>
      <c r="I109" s="27">
        <f>IFERROR(100/'Skjema total MA'!F109*G109,0)</f>
        <v>2.0218452657698678</v>
      </c>
      <c r="J109" s="287">
        <f t="shared" si="4"/>
        <v>1966773</v>
      </c>
      <c r="K109" s="44">
        <f t="shared" si="4"/>
        <v>2390148</v>
      </c>
      <c r="L109" s="254">
        <f t="shared" si="3"/>
        <v>21.5</v>
      </c>
      <c r="M109" s="27">
        <f>IFERROR(100/'Skjema total MA'!I109*K109,0)</f>
        <v>2.0040971882623975</v>
      </c>
    </row>
    <row r="110" spans="1:13" ht="15.75" x14ac:dyDescent="0.2">
      <c r="A110" s="21" t="s">
        <v>386</v>
      </c>
      <c r="B110" s="234"/>
      <c r="C110" s="234"/>
      <c r="D110" s="166"/>
      <c r="E110" s="27"/>
      <c r="F110" s="234"/>
      <c r="G110" s="234"/>
      <c r="H110" s="166"/>
      <c r="I110" s="27"/>
      <c r="J110" s="287"/>
      <c r="K110" s="44"/>
      <c r="L110" s="254"/>
      <c r="M110" s="27"/>
    </row>
    <row r="111" spans="1:13" ht="15.75" x14ac:dyDescent="0.2">
      <c r="A111" s="13" t="s">
        <v>366</v>
      </c>
      <c r="B111" s="308">
        <v>2283</v>
      </c>
      <c r="C111" s="159">
        <v>7508</v>
      </c>
      <c r="D111" s="171">
        <f t="shared" si="0"/>
        <v>228.9</v>
      </c>
      <c r="E111" s="11">
        <f>IFERROR(100/'Skjema total MA'!C111*C111,0)</f>
        <v>1.1297808621456611</v>
      </c>
      <c r="F111" s="308">
        <v>392318</v>
      </c>
      <c r="G111" s="159">
        <v>312501</v>
      </c>
      <c r="H111" s="171">
        <f t="shared" si="1"/>
        <v>-20.3</v>
      </c>
      <c r="I111" s="11">
        <f>IFERROR(100/'Skjema total MA'!F111*G111,0)</f>
        <v>2.1193584487439208</v>
      </c>
      <c r="J111" s="309">
        <f t="shared" si="4"/>
        <v>394601</v>
      </c>
      <c r="K111" s="236">
        <f t="shared" si="4"/>
        <v>320009</v>
      </c>
      <c r="L111" s="428">
        <f t="shared" si="3"/>
        <v>-18.899999999999999</v>
      </c>
      <c r="M111" s="11">
        <f>IFERROR(100/'Skjema total MA'!I111*K111,0)</f>
        <v>2.0766820545752069</v>
      </c>
    </row>
    <row r="112" spans="1:13" x14ac:dyDescent="0.2">
      <c r="A112" s="21" t="s">
        <v>9</v>
      </c>
      <c r="B112" s="234">
        <v>2283</v>
      </c>
      <c r="C112" s="145">
        <v>7508</v>
      </c>
      <c r="D112" s="166">
        <f t="shared" ref="D112:D120" si="5">IF(B112=0, "    ---- ", IF(ABS(ROUND(100/B112*C112-100,1))&lt;999,ROUND(100/B112*C112-100,1),IF(ROUND(100/B112*C112-100,1)&gt;999,999,-999)))</f>
        <v>228.9</v>
      </c>
      <c r="E112" s="27">
        <f>IFERROR(100/'Skjema total MA'!C112*C112,0)</f>
        <v>2.8484744940954254</v>
      </c>
      <c r="F112" s="234"/>
      <c r="G112" s="145"/>
      <c r="H112" s="166"/>
      <c r="I112" s="27"/>
      <c r="J112" s="287">
        <f t="shared" ref="J112:K125" si="6">SUM(B112,F112)</f>
        <v>2283</v>
      </c>
      <c r="K112" s="44">
        <f t="shared" si="6"/>
        <v>7508</v>
      </c>
      <c r="L112" s="254">
        <f t="shared" ref="L112:L125" si="7">IF(J112=0, "    ---- ", IF(ABS(ROUND(100/J112*K112-100,1))&lt;999,ROUND(100/J112*K112-100,1),IF(ROUND(100/J112*K112-100,1)&gt;999,999,-999)))</f>
        <v>228.9</v>
      </c>
      <c r="M112" s="27">
        <f>IFERROR(100/'Skjema total MA'!I112*K112,0)</f>
        <v>2.8039411256686506</v>
      </c>
    </row>
    <row r="113" spans="1:14" x14ac:dyDescent="0.2">
      <c r="A113" s="21" t="s">
        <v>10</v>
      </c>
      <c r="B113" s="234"/>
      <c r="C113" s="145"/>
      <c r="D113" s="166"/>
      <c r="E113" s="27"/>
      <c r="F113" s="234">
        <v>392318</v>
      </c>
      <c r="G113" s="145">
        <v>312501</v>
      </c>
      <c r="H113" s="166">
        <f t="shared" ref="H113:H125" si="8">IF(F113=0, "    ---- ", IF(ABS(ROUND(100/F113*G113-100,1))&lt;999,ROUND(100/F113*G113-100,1),IF(ROUND(100/F113*G113-100,1)&gt;999,999,-999)))</f>
        <v>-20.3</v>
      </c>
      <c r="I113" s="27">
        <f>IFERROR(100/'Skjema total MA'!F113*G113,0)</f>
        <v>2.1299225607680672</v>
      </c>
      <c r="J113" s="287">
        <f t="shared" si="6"/>
        <v>392318</v>
      </c>
      <c r="K113" s="44">
        <f t="shared" si="6"/>
        <v>312501</v>
      </c>
      <c r="L113" s="254">
        <f t="shared" si="7"/>
        <v>-20.3</v>
      </c>
      <c r="M113" s="27">
        <f>IFERROR(100/'Skjema total MA'!I113*K113,0)</f>
        <v>2.129183089406649</v>
      </c>
    </row>
    <row r="114" spans="1:14" x14ac:dyDescent="0.2">
      <c r="A114" s="21" t="s">
        <v>26</v>
      </c>
      <c r="B114" s="234"/>
      <c r="C114" s="145"/>
      <c r="D114" s="166"/>
      <c r="E114" s="27"/>
      <c r="F114" s="234"/>
      <c r="G114" s="145"/>
      <c r="H114" s="166"/>
      <c r="I114" s="27"/>
      <c r="J114" s="287"/>
      <c r="K114" s="44"/>
      <c r="L114" s="254"/>
      <c r="M114" s="27"/>
    </row>
    <row r="115" spans="1:14" x14ac:dyDescent="0.2">
      <c r="A115" s="296" t="s">
        <v>15</v>
      </c>
      <c r="B115" s="294"/>
      <c r="C115" s="295"/>
      <c r="D115" s="166"/>
      <c r="E115" s="417"/>
      <c r="F115" s="294"/>
      <c r="G115" s="295"/>
      <c r="H115" s="166"/>
      <c r="I115" s="417"/>
      <c r="J115" s="294"/>
      <c r="K115" s="295"/>
      <c r="L115" s="166"/>
      <c r="M115" s="23"/>
    </row>
    <row r="116" spans="1:14" ht="15.75" x14ac:dyDescent="0.2">
      <c r="A116" s="21" t="s">
        <v>387</v>
      </c>
      <c r="B116" s="234"/>
      <c r="C116" s="234"/>
      <c r="D116" s="166"/>
      <c r="E116" s="27"/>
      <c r="F116" s="234"/>
      <c r="G116" s="234"/>
      <c r="H116" s="166"/>
      <c r="I116" s="27"/>
      <c r="J116" s="287"/>
      <c r="K116" s="44"/>
      <c r="L116" s="254"/>
      <c r="M116" s="27"/>
    </row>
    <row r="117" spans="1:14" ht="15.75" x14ac:dyDescent="0.2">
      <c r="A117" s="21" t="s">
        <v>388</v>
      </c>
      <c r="B117" s="234"/>
      <c r="C117" s="234"/>
      <c r="D117" s="166"/>
      <c r="E117" s="27"/>
      <c r="F117" s="234">
        <v>255877</v>
      </c>
      <c r="G117" s="234">
        <v>222480</v>
      </c>
      <c r="H117" s="166">
        <f t="shared" si="8"/>
        <v>-13.1</v>
      </c>
      <c r="I117" s="27">
        <f>IFERROR(100/'Skjema total MA'!F117*G117,0)</f>
        <v>9.3938798706459572</v>
      </c>
      <c r="J117" s="287">
        <f t="shared" si="6"/>
        <v>255877</v>
      </c>
      <c r="K117" s="44">
        <f t="shared" si="6"/>
        <v>222480</v>
      </c>
      <c r="L117" s="254">
        <f t="shared" si="7"/>
        <v>-13.1</v>
      </c>
      <c r="M117" s="27">
        <f>IFERROR(100/'Skjema total MA'!I117*K117,0)</f>
        <v>9.3938798706459572</v>
      </c>
    </row>
    <row r="118" spans="1:14" ht="15.75" x14ac:dyDescent="0.2">
      <c r="A118" s="21" t="s">
        <v>386</v>
      </c>
      <c r="B118" s="234"/>
      <c r="C118" s="234"/>
      <c r="D118" s="166"/>
      <c r="E118" s="27"/>
      <c r="F118" s="234"/>
      <c r="G118" s="234"/>
      <c r="H118" s="166"/>
      <c r="I118" s="27"/>
      <c r="J118" s="287"/>
      <c r="K118" s="44"/>
      <c r="L118" s="254"/>
      <c r="M118" s="27"/>
    </row>
    <row r="119" spans="1:14" ht="15.75" x14ac:dyDescent="0.2">
      <c r="A119" s="13" t="s">
        <v>367</v>
      </c>
      <c r="B119" s="308">
        <v>1512</v>
      </c>
      <c r="C119" s="159">
        <v>0</v>
      </c>
      <c r="D119" s="171">
        <f t="shared" si="5"/>
        <v>-100</v>
      </c>
      <c r="E119" s="11">
        <f>IFERROR(100/'Skjema total MA'!C119*C119,0)</f>
        <v>0</v>
      </c>
      <c r="F119" s="308">
        <v>90294</v>
      </c>
      <c r="G119" s="159">
        <v>97862</v>
      </c>
      <c r="H119" s="171">
        <f t="shared" si="8"/>
        <v>8.4</v>
      </c>
      <c r="I119" s="11">
        <f>IFERROR(100/'Skjema total MA'!F119*G119,0)</f>
        <v>0.66727372808920038</v>
      </c>
      <c r="J119" s="309">
        <f t="shared" si="6"/>
        <v>91806</v>
      </c>
      <c r="K119" s="236">
        <f t="shared" si="6"/>
        <v>97862</v>
      </c>
      <c r="L119" s="428">
        <f t="shared" si="7"/>
        <v>6.6</v>
      </c>
      <c r="M119" s="11">
        <f>IFERROR(100/'Skjema total MA'!I119*K119,0)</f>
        <v>0.6354237427143955</v>
      </c>
    </row>
    <row r="120" spans="1:14" x14ac:dyDescent="0.2">
      <c r="A120" s="21" t="s">
        <v>9</v>
      </c>
      <c r="B120" s="234">
        <v>1512</v>
      </c>
      <c r="C120" s="145">
        <v>0</v>
      </c>
      <c r="D120" s="166">
        <f t="shared" si="5"/>
        <v>-100</v>
      </c>
      <c r="E120" s="27">
        <f>IFERROR(100/'Skjema total MA'!C120*C120,0)</f>
        <v>0</v>
      </c>
      <c r="F120" s="234"/>
      <c r="G120" s="145"/>
      <c r="H120" s="166"/>
      <c r="I120" s="27"/>
      <c r="J120" s="287">
        <f t="shared" si="6"/>
        <v>1512</v>
      </c>
      <c r="K120" s="44">
        <f t="shared" si="6"/>
        <v>0</v>
      </c>
      <c r="L120" s="254">
        <f t="shared" si="7"/>
        <v>-100</v>
      </c>
      <c r="M120" s="27">
        <f>IFERROR(100/'Skjema total MA'!I120*K120,0)</f>
        <v>0</v>
      </c>
    </row>
    <row r="121" spans="1:14" x14ac:dyDescent="0.2">
      <c r="A121" s="21" t="s">
        <v>10</v>
      </c>
      <c r="B121" s="234"/>
      <c r="C121" s="145"/>
      <c r="D121" s="166"/>
      <c r="E121" s="27"/>
      <c r="F121" s="234">
        <v>90294</v>
      </c>
      <c r="G121" s="145">
        <v>97862</v>
      </c>
      <c r="H121" s="166">
        <f t="shared" si="8"/>
        <v>8.4</v>
      </c>
      <c r="I121" s="27">
        <f>IFERROR(100/'Skjema total MA'!F121*G121,0)</f>
        <v>0.66727372808920038</v>
      </c>
      <c r="J121" s="287">
        <f t="shared" si="6"/>
        <v>90294</v>
      </c>
      <c r="K121" s="44">
        <f t="shared" si="6"/>
        <v>97862</v>
      </c>
      <c r="L121" s="254">
        <f t="shared" si="7"/>
        <v>8.4</v>
      </c>
      <c r="M121" s="27">
        <f>IFERROR(100/'Skjema total MA'!I121*K121,0)</f>
        <v>0.66702330401657983</v>
      </c>
    </row>
    <row r="122" spans="1:14" x14ac:dyDescent="0.2">
      <c r="A122" s="21" t="s">
        <v>26</v>
      </c>
      <c r="B122" s="234"/>
      <c r="C122" s="145"/>
      <c r="D122" s="166"/>
      <c r="E122" s="27"/>
      <c r="F122" s="234"/>
      <c r="G122" s="145"/>
      <c r="H122" s="166"/>
      <c r="I122" s="27"/>
      <c r="J122" s="287"/>
      <c r="K122" s="44"/>
      <c r="L122" s="254"/>
      <c r="M122" s="27"/>
    </row>
    <row r="123" spans="1:14" x14ac:dyDescent="0.2">
      <c r="A123" s="296" t="s">
        <v>14</v>
      </c>
      <c r="B123" s="294"/>
      <c r="C123" s="295"/>
      <c r="D123" s="166"/>
      <c r="E123" s="417"/>
      <c r="F123" s="294"/>
      <c r="G123" s="295"/>
      <c r="H123" s="166"/>
      <c r="I123" s="417"/>
      <c r="J123" s="294"/>
      <c r="K123" s="295"/>
      <c r="L123" s="166"/>
      <c r="M123" s="23"/>
    </row>
    <row r="124" spans="1:14" ht="15.75" x14ac:dyDescent="0.2">
      <c r="A124" s="21" t="s">
        <v>393</v>
      </c>
      <c r="B124" s="234"/>
      <c r="C124" s="234"/>
      <c r="D124" s="166"/>
      <c r="E124" s="27"/>
      <c r="F124" s="234"/>
      <c r="G124" s="234"/>
      <c r="H124" s="166"/>
      <c r="I124" s="27"/>
      <c r="J124" s="287"/>
      <c r="K124" s="44"/>
      <c r="L124" s="254"/>
      <c r="M124" s="27"/>
    </row>
    <row r="125" spans="1:14" ht="15.75" x14ac:dyDescent="0.2">
      <c r="A125" s="21" t="s">
        <v>385</v>
      </c>
      <c r="B125" s="234"/>
      <c r="C125" s="234"/>
      <c r="D125" s="166"/>
      <c r="E125" s="27"/>
      <c r="F125" s="234">
        <v>26049</v>
      </c>
      <c r="G125" s="234">
        <v>64739</v>
      </c>
      <c r="H125" s="166">
        <f t="shared" si="8"/>
        <v>148.5</v>
      </c>
      <c r="I125" s="27">
        <f>IFERROR(100/'Skjema total MA'!F125*G125,0)</f>
        <v>2.4699471664908077</v>
      </c>
      <c r="J125" s="287">
        <f t="shared" si="6"/>
        <v>26049</v>
      </c>
      <c r="K125" s="44">
        <f t="shared" si="6"/>
        <v>64739</v>
      </c>
      <c r="L125" s="254">
        <f t="shared" si="7"/>
        <v>148.5</v>
      </c>
      <c r="M125" s="27">
        <f>IFERROR(100/'Skjema total MA'!I125*K125,0)</f>
        <v>2.468659610553301</v>
      </c>
    </row>
    <row r="126" spans="1:14" ht="15.75" x14ac:dyDescent="0.2">
      <c r="A126" s="10" t="s">
        <v>386</v>
      </c>
      <c r="B126" s="45"/>
      <c r="C126" s="45"/>
      <c r="D126" s="167"/>
      <c r="E126" s="418"/>
      <c r="F126" s="45"/>
      <c r="G126" s="45"/>
      <c r="H126" s="167"/>
      <c r="I126" s="22"/>
      <c r="J126" s="288"/>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35"/>
      <c r="C130" s="735"/>
      <c r="D130" s="735"/>
      <c r="E130" s="299"/>
      <c r="F130" s="735"/>
      <c r="G130" s="735"/>
      <c r="H130" s="735"/>
      <c r="I130" s="299"/>
      <c r="J130" s="735"/>
      <c r="K130" s="735"/>
      <c r="L130" s="735"/>
      <c r="M130" s="299"/>
    </row>
    <row r="131" spans="1:14" s="3" customFormat="1" x14ac:dyDescent="0.2">
      <c r="A131" s="144"/>
      <c r="B131" s="733" t="s">
        <v>0</v>
      </c>
      <c r="C131" s="734"/>
      <c r="D131" s="734"/>
      <c r="E131" s="301"/>
      <c r="F131" s="733" t="s">
        <v>1</v>
      </c>
      <c r="G131" s="734"/>
      <c r="H131" s="734"/>
      <c r="I131" s="304"/>
      <c r="J131" s="733" t="s">
        <v>2</v>
      </c>
      <c r="K131" s="734"/>
      <c r="L131" s="734"/>
      <c r="M131" s="304"/>
      <c r="N131" s="148"/>
    </row>
    <row r="132" spans="1:14" s="3" customFormat="1" x14ac:dyDescent="0.2">
      <c r="A132" s="140"/>
      <c r="B132" s="152" t="s">
        <v>421</v>
      </c>
      <c r="C132" s="152" t="s">
        <v>422</v>
      </c>
      <c r="D132" s="245" t="s">
        <v>3</v>
      </c>
      <c r="E132" s="305" t="s">
        <v>29</v>
      </c>
      <c r="F132" s="152" t="s">
        <v>421</v>
      </c>
      <c r="G132" s="152" t="s">
        <v>422</v>
      </c>
      <c r="H132" s="206" t="s">
        <v>3</v>
      </c>
      <c r="I132" s="162" t="s">
        <v>29</v>
      </c>
      <c r="J132" s="152" t="s">
        <v>421</v>
      </c>
      <c r="K132" s="152" t="s">
        <v>422</v>
      </c>
      <c r="L132" s="246" t="s">
        <v>3</v>
      </c>
      <c r="M132" s="162" t="s">
        <v>29</v>
      </c>
      <c r="N132" s="148"/>
    </row>
    <row r="133" spans="1:14" s="3" customFormat="1" x14ac:dyDescent="0.2">
      <c r="A133" s="708"/>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389</v>
      </c>
      <c r="B134" s="236"/>
      <c r="C134" s="309"/>
      <c r="D134" s="350"/>
      <c r="E134" s="11"/>
      <c r="F134" s="316"/>
      <c r="G134" s="317"/>
      <c r="H134" s="431"/>
      <c r="I134" s="24"/>
      <c r="J134" s="318"/>
      <c r="K134" s="318"/>
      <c r="L134" s="427"/>
      <c r="M134" s="11"/>
      <c r="N134" s="148"/>
    </row>
    <row r="135" spans="1:14" s="3" customFormat="1" ht="15.75" x14ac:dyDescent="0.2">
      <c r="A135" s="13" t="s">
        <v>394</v>
      </c>
      <c r="B135" s="236"/>
      <c r="C135" s="309"/>
      <c r="D135" s="171"/>
      <c r="E135" s="11"/>
      <c r="F135" s="236"/>
      <c r="G135" s="309"/>
      <c r="H135" s="432"/>
      <c r="I135" s="24"/>
      <c r="J135" s="308"/>
      <c r="K135" s="308"/>
      <c r="L135" s="428"/>
      <c r="M135" s="11"/>
      <c r="N135" s="148"/>
    </row>
    <row r="136" spans="1:14" s="3" customFormat="1" ht="15.75" x14ac:dyDescent="0.2">
      <c r="A136" s="13" t="s">
        <v>391</v>
      </c>
      <c r="B136" s="236"/>
      <c r="C136" s="309"/>
      <c r="D136" s="171"/>
      <c r="E136" s="11"/>
      <c r="F136" s="236"/>
      <c r="G136" s="309"/>
      <c r="H136" s="432"/>
      <c r="I136" s="24"/>
      <c r="J136" s="308"/>
      <c r="K136" s="308"/>
      <c r="L136" s="428"/>
      <c r="M136" s="11"/>
      <c r="N136" s="148"/>
    </row>
    <row r="137" spans="1:14" s="3" customFormat="1" ht="15.75" x14ac:dyDescent="0.2">
      <c r="A137" s="41" t="s">
        <v>392</v>
      </c>
      <c r="B137" s="276"/>
      <c r="C137" s="315"/>
      <c r="D137" s="169"/>
      <c r="E137" s="9"/>
      <c r="F137" s="276"/>
      <c r="G137" s="315"/>
      <c r="H137" s="433"/>
      <c r="I137" s="36"/>
      <c r="J137" s="314"/>
      <c r="K137" s="314"/>
      <c r="L137" s="429"/>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404" priority="132">
      <formula>kvartal &lt; 4</formula>
    </cfRule>
  </conditionalFormatting>
  <conditionalFormatting sqref="A50:A52">
    <cfRule type="expression" dxfId="403" priority="12">
      <formula>kvartal &lt; 4</formula>
    </cfRule>
  </conditionalFormatting>
  <conditionalFormatting sqref="A69:A74">
    <cfRule type="expression" dxfId="402" priority="10">
      <formula>kvartal &lt; 4</formula>
    </cfRule>
  </conditionalFormatting>
  <conditionalFormatting sqref="A80:A85">
    <cfRule type="expression" dxfId="401" priority="9">
      <formula>kvartal &lt; 4</formula>
    </cfRule>
  </conditionalFormatting>
  <conditionalFormatting sqref="A90:A95">
    <cfRule type="expression" dxfId="400" priority="6">
      <formula>kvartal &lt; 4</formula>
    </cfRule>
  </conditionalFormatting>
  <conditionalFormatting sqref="A101:A106">
    <cfRule type="expression" dxfId="399" priority="5">
      <formula>kvartal &lt; 4</formula>
    </cfRule>
  </conditionalFormatting>
  <conditionalFormatting sqref="A115">
    <cfRule type="expression" dxfId="398" priority="4">
      <formula>kvartal &lt; 4</formula>
    </cfRule>
  </conditionalFormatting>
  <conditionalFormatting sqref="A123">
    <cfRule type="expression" dxfId="397" priority="3">
      <formula>kvartal &lt; 4</formula>
    </cfRule>
  </conditionalFormatting>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s q m i d = " 8 f 6 9 7 3 f 7 - 0 8 c 0 - 4 5 7 9 - b f 5 c - 6 c 7 f a d 0 9 0 d 4 1 "   x m l n s = " h t t p : / / s c h e m a s . m i c r o s o f t . c o m / D a t a M a s h u p " > A A A A A A g E A A B Q S w M E F A A C A A g A U a B r U d v V b l W o A A A A + A A A A B I A H A B D b 2 5 m a W c v U G F j a 2 F n Z S 5 4 b W w g o h g A K K A U A A A A A A A A A A A A A A A A A A A A A A A A A A A A h Y 9 B D o I w F E S v Q r q n L Y i B k E 9 Z u B U 1 M T F u a 6 3 Q C M X Q Y r m b C 4 / k F S R R 1 J 3 L m b x J 3 j x u d 8 i H p v a u s j O q 1 R k K M E W e 1 K I 9 K l 1 m q L c n P 0 E 5 g w 0 X Z 1 5 K b 4 S 1 S Q e j M l R Z e 0 k J c c 5 h N 8 N t V 5 K Q 0 o D s i + V W V L L h v t L G c i 0 k + q y O / 1 e I w e 4 l w 0 I c J 3 g e R x R H S Q B k q q F Q + o u E o z G m Q H 5 K W P S 1 7 T v J 9 M F f r Y F M E c j 7 B X s C U E s D B B Q A A g A I A F G g a 1 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R o G t R B v r 5 6 f 4 A A A B i A Q A A E w A c A E Z v c m 1 1 b G F z L 1 N l Y 3 R p b 2 4 x L m 0 g o h g A K K A U A A A A A A A A A A A A A A A A A A A A A A A A A A A A f Y / B S s N A E I b P D f Q d h j 2 U B t I Q P Q k h I K R B p F C U B C 2 s S 9 g 0 A 8 Z s s n W y K Z X S o 4 / i k / T F u r F F 8 e J c Z m D + b / 7 5 O 1 y b S r e Q n v t V O H b G T v c q C U u Y S y M h A o X G A V s P k m S D B u k J q a z s I t m t U f l x T 4 S t e d Z U F 1 r X U 3 f P l 1 Y X s R 8 9 M n H g s W 6 N l Q k P v o 8 t K l W i v Z G + K 3 / w K W S H U 5 b d z d L V / C a Z B c H 1 y 7 0 F q J W K e c B U t c 0 b a S f + 2 C N 9 R C x Z J T H w s t D C 5 5 s c h 0 / y D W F n L W T 3 p l v h j E a 3 x y + y F g w m s O y b A s n P d I Y 7 M / 2 b h B 8 / S e y D g w s T 5 g 1 Y v Z V k p L q g / 7 O L s / b C A w u Z c J 2 q / c 0 Y n g B Q S w E C L Q A U A A I A C A B R o G t R 2 9 V u V a g A A A D 4 A A A A E g A A A A A A A A A A A A A A A A A A A A A A Q 2 9 u Z m l n L 1 B h Y 2 t h Z 2 U u e G 1 s U E s B A i 0 A F A A C A A g A U a B r U Q / K 6 a u k A A A A 6 Q A A A B M A A A A A A A A A A A A A A A A A 9 A A A A F t D b 2 5 0 Z W 5 0 X 1 R 5 c G V z X S 5 4 b W x Q S w E C L Q A U A A I A C A B R o G t R B v r 5 6 f 4 A A A B i A Q A A E w A A A A A A A A A A A A A A A A D l A Q A A R m 9 y b X V s Y X M v U 2 V j d G l v b j E u b V B L B Q Y A A A A A A w A D A M I A A A A w A w A A A A A 9 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P l B 1 Y m x p Y z w v V 2 9 y a 2 J v b 2 t H c m 9 1 c F R 5 c G U + P C 9 Q Z X J t a X N z a W 9 u T G l z d D 7 H C w A A A A A A A K U L 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E Y X R h P C 9 J d G V t U G F 0 a D 4 8 L 0 l 0 Z W 1 M b 2 N h d G l v b j 4 8 U 3 R h Y m x l R W 5 0 c m l l c z 4 8 R W 5 0 c n k g V H l w Z T 0 i S X N Q c m l 2 Y X R l I i B W Y W x 1 Z T 0 i b D A i I C 8 + P E V u d H J 5 I F R 5 c G U 9 I k 5 h d m l n Y X R p b 2 5 T d G V w T m F t Z S I g V m F s d W U 9 I n N O Y X Z p Z 2 F 0 a W 9 u I i A v P j x F b n R y e S B U e X B l P S J G a W x s R W 5 h Y m x l Z C I g V m F s d W U 9 I m w w I i A v P j x F b n R y e S B U e X B l P S J G a W x s V G 9 E Y X R h T W 9 k Z W x F b m F i b G V k I i B W Y W x 1 Z T 0 i b D A i I C 8 + P E V u d H J 5 I F R 5 c G U 9 I k 5 h b W V V c G R h d G V k Q W Z 0 Z X J G a W x s I i B W Y W x 1 Z T 0 i b D A i I C 8 + P E V u d H J 5 I F R 5 c G U 9 I l J l c 3 V s d F R 5 c G U i I F Z h b H V l P S J z R X h j Z X B 0 a W 9 u I i A v P j x F b n R y e S B U e X B l P S J G a W x s Z W R D b 2 1 w b G V 0 Z V J l c 3 V s d F R v V 2 9 y a 3 N o Z W V 0 I i B W Y W x 1 Z T 0 i b D E i I C 8 + P E V u d H J 5 I F R 5 c G U 9 I l J l Y 2 9 2 Z X J 5 V G F y Z 2 V 0 U 2 h l Z X Q i I F Z h b H V l P S J z Q X J r M i I g L z 4 8 R W 5 0 c n k g V H l w Z T 0 i U m V j b 3 Z l c n l U Y X J n Z X R D b 2 x 1 b W 4 i I F Z h b H V l P S J s M S I g L z 4 8 R W 5 0 c n k g V H l w Z T 0 i U m V j b 3 Z l c n l U Y X J n Z X R S b 3 c i I F Z h b H V l P S J s M S I g L z 4 8 R W 5 0 c n k g V H l w Z T 0 i U X V l c n l J R C I g V m F s d W U 9 I n M 0 Z T g z Y W R k O S 1 l Y 2 N i L T R l Z j Y t O W N m O C 0 2 Y j I 5 O G R m M D Q 0 Y z k i I C 8 + P E V u d H J 5 I F R 5 c G U 9 I k J 1 Z m Z l c k 5 l e H R S Z W Z y Z X N o I i B W Y W x 1 Z T 0 i b D E i I C 8 + P E V u d H J 5 I F R 5 c G U 9 I k Z p b G x F c n J v c k N v d W 5 0 I i B W Y W x 1 Z T 0 i b D A i I C 8 + P E V u d H J 5 I F R 5 c G U 9 I k Z p b G x F c n J v c k N v Z G U i I F Z h b H V l P S J z V W 5 r b m 9 3 b i I g L z 4 8 R W 5 0 c n k g V H l w Z T 0 i R m l s b E x h c 3 R V c G R h d G V k I i B W Y W x 1 Z T 0 i Z D I w M j A t M T E t M T F U M T g 6 M z M 6 N T E u M j A 5 O D Q z M l o i I C 8 + P E V u d H J 5 I F R 5 c G U 9 I k Z p b G x D b 2 x 1 b W 5 U e X B l c y I g V m F s d W U 9 I n N C Z 0 l D Q W d J Q 0 F n V T 0 i I C 8 + P E V u d H J 5 I F R 5 c G U 9 I k Z p b G x D b 3 V u d C I g V m F s d W U 9 I m w 3 M T c 2 I i A v P j x F b n R y e S B U e X B l P S J G a W x s Q 2 9 s d W 1 u T m F t Z X M i I F Z h b H V l P S J z W y Z x d W 9 0 O 3 P D u G t l b s O 4 a 2 t l b C Z x d W 9 0 O y w m c X V v d D t z Z W x z a 2 F w X 2 l k J n F 1 b 3 Q 7 L C Z x d W 9 0 O 8 O l c i Z x d W 9 0 O y w m c X V v d D t r d m F y d G F s J n F 1 b 3 Q 7 L C Z x d W 9 0 O 3 R h Y m V s b F 9 p Z C Z x d W 9 0 O y w m c X V v d D t y Y W R f a W Q m c X V v d D s s J n F 1 b 3 Q 7 a 2 F 0 Z W d v c m l f a W Q m c X V v d D s s J n F 1 b 3 Q 7 d m V y Z G k m c X V v d D t d I i A v P j x F b n R y e S B U e X B l P S J B Z G R l Z F R v R G F 0 Y U 1 v Z G V s I i B W Y W x 1 Z T 0 i b D A i I C 8 + P E V u d H J 5 I F R 5 c G U 9 I k Z p b G x T d G F 0 d X M i I F Z h b H V l P S J z Q 2 9 t c G x l d G U i I C 8 + P E V u d H J 5 I F R 5 c G U 9 I l J l b G F 0 a W 9 u c 2 h p c E l u Z m 9 D b 2 5 0 Y W l u Z X I i I F Z h b H V l P S J z e y Z x d W 9 0 O 2 N v b H V t b k N v d W 5 0 J n F 1 b 3 Q 7 O j g s J n F 1 b 3 Q 7 a 2 V 5 Q 2 9 s d W 1 u T m F t Z X M m c X V v d D s 6 W 1 0 s J n F 1 b 3 Q 7 c X V l c n l S Z W x h d G l v b n N o a X B z J n F 1 b 3 Q 7 O l t d L C Z x d W 9 0 O 2 N v b H V t b k l k Z W 5 0 a X R p Z X M m c X V v d D s 6 W y Z x d W 9 0 O 1 N l Y 3 R p b 2 4 x L 0 R h d G E v S 2 l s Z G U u e 3 P D u G t l b s O 4 a 2 t l b C w w f S Z x d W 9 0 O y w m c X V v d D t T Z W N 0 a W 9 u M S 9 E Y X R h L 0 t p b G R l L n t z Z W x z a 2 F w X 2 l k L D F 9 J n F 1 b 3 Q 7 L C Z x d W 9 0 O 1 N l Y 3 R p b 2 4 x L 0 R h d G E v S 2 l s Z G U u e 8 O l c i w y f S Z x d W 9 0 O y w m c X V v d D t T Z W N 0 a W 9 u M S 9 E Y X R h L 0 t p b G R l L n t r d m F y d G F s L D N 9 J n F 1 b 3 Q 7 L C Z x d W 9 0 O 1 N l Y 3 R p b 2 4 x L 0 R h d G E v S 2 l s Z G U u e 3 R h Y m V s b F 9 p Z C w 0 f S Z x d W 9 0 O y w m c X V v d D t T Z W N 0 a W 9 u M S 9 E Y X R h L 0 t p b G R l L n t y Y W R f a W Q s N X 0 m c X V v d D s s J n F 1 b 3 Q 7 U 2 V j d G l v b j E v R G F 0 Y S 9 L a W x k Z S 5 7 a 2 F 0 Z W d v c m l f a W Q s N n 0 m c X V v d D s s J n F 1 b 3 Q 7 U 2 V j d G l v b j E v R G F 0 Y S 9 L a W x k Z S 5 7 d m V y Z G k s N 3 0 m c X V v d D t d L C Z x d W 9 0 O 0 N v b H V t b k N v d W 5 0 J n F 1 b 3 Q 7 O j g s J n F 1 b 3 Q 7 S 2 V 5 Q 2 9 s d W 1 u T m F t Z X M m c X V v d D s 6 W 1 0 s J n F 1 b 3 Q 7 Q 2 9 s d W 1 u S W R l b n R p d G l l c y Z x d W 9 0 O z p b J n F 1 b 3 Q 7 U 2 V j d G l v b j E v R G F 0 Y S 9 L a W x k Z S 5 7 c 8 O 4 a 2 V u w 7 h r a 2 V s L D B 9 J n F 1 b 3 Q 7 L C Z x d W 9 0 O 1 N l Y 3 R p b 2 4 x L 0 R h d G E v S 2 l s Z G U u e 3 N l b H N r Y X B f a W Q s M X 0 m c X V v d D s s J n F 1 b 3 Q 7 U 2 V j d G l v b j E v R G F 0 Y S 9 L a W x k Z S 5 7 w 6 V y L D J 9 J n F 1 b 3 Q 7 L C Z x d W 9 0 O 1 N l Y 3 R p b 2 4 x L 0 R h d G E v S 2 l s Z G U u e 2 t 2 Y X J 0 Y W w s M 3 0 m c X V v d D s s J n F 1 b 3 Q 7 U 2 V j d G l v b j E v R G F 0 Y S 9 L a W x k Z S 5 7 d G F i Z W x s X 2 l k L D R 9 J n F 1 b 3 Q 7 L C Z x d W 9 0 O 1 N l Y 3 R p b 2 4 x L 0 R h d G E v S 2 l s Z G U u e 3 J h Z F 9 p Z C w 1 f S Z x d W 9 0 O y w m c X V v d D t T Z W N 0 a W 9 u M S 9 E Y X R h L 0 t p b G R l L n t r Y X R l Z 2 9 y a V 9 p Z C w 2 f S Z x d W 9 0 O y w m c X V v d D t T Z W N 0 a W 9 u M S 9 E Y X R h L 0 t p b G R l L n t 2 Z X J k a S w 3 f S Z x d W 9 0 O 1 0 s J n F 1 b 3 Q 7 U m V s Y X R p b 2 5 z a G l w S W 5 m b y Z x d W 9 0 O z p b X X 0 i I C 8 + P E V u d H J 5 I F R 5 c G U 9 I k Z p b G x P Y m p l Y 3 R U e X B l I i B W Y W x 1 Z T 0 i c 0 N v b m 5 l Y 3 R p b 2 5 P b m x 5 I i A v P j w v U 3 R h Y m x l R W 5 0 c m l l c z 4 8 L 0 l 0 Z W 0 + P E l 0 Z W 0 + P E l 0 Z W 1 M b 2 N h d G l v b j 4 8 S X R l b V R 5 c G U + R m 9 y b X V s Y T w v S X R l b V R 5 c G U + P E l 0 Z W 1 Q Y X R o P l N l Y 3 R p b 2 4 x L 0 R h d G E v S 2 l s Z G U 8 L 0 l 0 Z W 1 Q Y X R o P j w v S X R l b U x v Y 2 F 0 a W 9 u P j x T d G F i b G V F b n R y a W V z I C 8 + P C 9 J d G V t P j x J d G V t P j x J d G V t T G 9 j Y X R p b 2 4 + P E l 0 Z W 1 U e X B l P k Z v c m 1 1 b G E 8 L 0 l 0 Z W 1 U e X B l P j x J d G V t U G F 0 a D 5 T Z W N 0 a W 9 u M S 9 E Y X R h L 1 B h c m F t Z X R l c l Z l c m R p P C 9 J d G V t U G F 0 a D 4 8 L 0 l 0 Z W 1 M b 2 N h d G l v b j 4 8 U 3 R h Y m x l R W 5 0 c m l l c y A v P j w v S X R l b T 4 8 L 0 l 0 Z W 1 z P j w v T G 9 j Y W x Q Y W N r Y W d l T W V 0 Y W R h d G F G a W x l P h Y A A A B Q S w U G A A A A A A A A A A A A A A A A A A A A A A A A 2 g A A A A E A A A D Q j J 3 f A R X R E Y x 6 A M B P w p f r A Q A A A I N W A 6 r r l c F E s 7 X d r U A V 2 0 w A A A A A A g A A A A A A A 2 Y A A M A A A A A Q A A A A i / 2 8 f 7 U v F M a j G 3 b / E t l K B w A A A A A E g A A A o A A A A B A A A A C d t 3 g 0 l P O b w Q X m Q 7 H 0 J 0 Q d U A A A A O r A W f d z 0 8 u 6 H n 5 C w 5 J w g g o k Q D m 9 w d 1 4 n u t F C U a P k F 5 Z 1 O U j b k k + Q B g J R j V + k / d 1 X h V 0 e a n 5 g f X f O P 1 9 l p r h 6 o 6 O x J j E 8 Q t K O Z v m b / r A 1 o Q i F A A A A J s U w V b 0 I l z w u T j f r A Z t H X O V D P V T < / D a t a M a s h u p > 
</file>

<file path=customXml/item2.xml><?xml version="1.0" encoding="utf-8"?>
<ct:contentTypeSchema xmlns:ct="http://schemas.microsoft.com/office/2006/metadata/contentType" xmlns:ma="http://schemas.microsoft.com/office/2006/metadata/properties/metaAttributes" ct:_="" ma:_="" ma:contentTypeName="Statistikk" ma:contentTypeID="0x0101000C511E5DF31BAD48807550FE88829D9D0038FF55C83469DE4F9B7DCA1B89E318DA" ma:contentTypeVersion="4" ma:contentTypeDescription="" ma:contentTypeScope="" ma:versionID="ca25aed54c960d52022b61f452b943cb">
  <xsd:schema xmlns:xsd="http://www.w3.org/2001/XMLSchema" xmlns:xs="http://www.w3.org/2001/XMLSchema" xmlns:p="http://schemas.microsoft.com/office/2006/metadata/properties" xmlns:ns2="6edf9311-6556-4af2-85ff-d57844cfe120" xmlns:ns3="d35b3e2b-d440-44dd-b9dd-e54a3943adc2" targetNamespace="http://schemas.microsoft.com/office/2006/metadata/properties" ma:root="true" ma:fieldsID="6aaeb2f404abc7033daa625e0dd95337" ns2:_="" ns3:_="">
    <xsd:import namespace="6edf9311-6556-4af2-85ff-d57844cfe120"/>
    <xsd:import namespace="d35b3e2b-d440-44dd-b9dd-e54a3943adc2"/>
    <xsd:element name="properties">
      <xsd:complexType>
        <xsd:sequence>
          <xsd:element name="documentManagement">
            <xsd:complexType>
              <xsd:all>
                <xsd:element ref="ns2:a0e180d50ff4423da66c611fe0af74a4" minOccurs="0"/>
                <xsd:element ref="ns2:TaxCatchAll" minOccurs="0"/>
                <xsd:element ref="ns2:TaxCatchAllLabel" minOccurs="0"/>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df9311-6556-4af2-85ff-d57844cfe120" elementFormDefault="qualified">
    <xsd:import namespace="http://schemas.microsoft.com/office/2006/documentManagement/types"/>
    <xsd:import namespace="http://schemas.microsoft.com/office/infopath/2007/PartnerControls"/>
    <xsd:element name="a0e180d50ff4423da66c611fe0af74a4" ma:index="8" ma:taxonomy="true" ma:internalName="a0e180d50ff4423da66c611fe0af74a4" ma:taxonomyFieldName="Statistikk" ma:displayName="Statistikk" ma:indexed="true" ma:default="" ma:fieldId="{a0e180d5-0ff4-423d-a66c-611fe0af74a4}" ma:sspId="dab2b8ef-c951-45bf-a0d0-9b3f2fbb5ccb" ma:termSetId="11bf6401-ff6f-43ab-90c7-9959af6e7799"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550ebe59-b68a-4ac7-afab-48fa3cf54c5c}" ma:internalName="TaxCatchAll" ma:showField="CatchAllData"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50ebe59-b68a-4ac7-afab-48fa3cf54c5c}" ma:internalName="TaxCatchAllLabel" ma:readOnly="true" ma:showField="CatchAllDataLabel"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_dlc_DocId" ma:index="12" nillable="true" ma:displayName="Dokument-ID-verdi" ma:description="Verdien for dokument-IDen som er tilordnet elementet." ma:internalName="_dlc_DocId" ma:readOnly="true">
      <xsd:simpleType>
        <xsd:restriction base="dms:Text"/>
      </xsd:simpleType>
    </xsd:element>
    <xsd:element name="_dlc_DocIdUrl" ma:index="13" nillable="true" ma:displayName="Dokument-ID" ma:description="Fast kobling til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35b3e2b-d440-44dd-b9dd-e54a3943adc2"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a0e180d50ff4423da66c611fe0af74a4 xmlns="6edf9311-6556-4af2-85ff-d57844cfe120">
      <Terms xmlns="http://schemas.microsoft.com/office/infopath/2007/PartnerControls"/>
    </a0e180d50ff4423da66c611fe0af74a4>
    <TaxCatchAll xmlns="6edf9311-6556-4af2-85ff-d57844cfe120" xsi:nil="true"/>
    <_dlc_DocId xmlns="6edf9311-6556-4af2-85ff-d57844cfe120">2020-123998358-365</_dlc_DocId>
    <_dlc_DocIdUrl xmlns="6edf9311-6556-4af2-85ff-d57844cfe120">
      <Url>https://finansnorge.sharepoint.com/sites/intranett/arkiv/_layouts/15/DocIdRedir.aspx?ID=2020-123998358-365</Url>
      <Description>2020-123998358-365</Description>
    </_dlc_DocIdUrl>
  </documentManagement>
</p:properties>
</file>

<file path=customXml/itemProps1.xml><?xml version="1.0" encoding="utf-8"?>
<ds:datastoreItem xmlns:ds="http://schemas.openxmlformats.org/officeDocument/2006/customXml" ds:itemID="{90A5026E-7503-4E4B-BD83-E9801AFFB720}">
  <ds:schemaRefs>
    <ds:schemaRef ds:uri="http://schemas.microsoft.com/DataMashup"/>
  </ds:schemaRefs>
</ds:datastoreItem>
</file>

<file path=customXml/itemProps2.xml><?xml version="1.0" encoding="utf-8"?>
<ds:datastoreItem xmlns:ds="http://schemas.openxmlformats.org/officeDocument/2006/customXml" ds:itemID="{DEB90386-C7F8-4F22-8D82-A919946BB008}"/>
</file>

<file path=customXml/itemProps3.xml><?xml version="1.0" encoding="utf-8"?>
<ds:datastoreItem xmlns:ds="http://schemas.openxmlformats.org/officeDocument/2006/customXml" ds:itemID="{CD933920-75C6-4ADD-AB3C-4F99BB59B80D}"/>
</file>

<file path=customXml/itemProps4.xml><?xml version="1.0" encoding="utf-8"?>
<ds:datastoreItem xmlns:ds="http://schemas.openxmlformats.org/officeDocument/2006/customXml" ds:itemID="{E41A277B-012A-46B8-8FB5-2EE38EC4BCE0}"/>
</file>

<file path=customXml/itemProps5.xml><?xml version="1.0" encoding="utf-8"?>
<ds:datastoreItem xmlns:ds="http://schemas.openxmlformats.org/officeDocument/2006/customXml" ds:itemID="{7001B09E-D621-411C-9FD4-115A050D351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35</vt:i4>
      </vt:variant>
      <vt:variant>
        <vt:lpstr>Navngitte områder</vt:lpstr>
      </vt:variant>
      <vt:variant>
        <vt:i4>4</vt:i4>
      </vt:variant>
    </vt:vector>
  </HeadingPairs>
  <TitlesOfParts>
    <vt:vector size="39" baseType="lpstr">
      <vt:lpstr>Forside</vt:lpstr>
      <vt:lpstr>Innhold</vt:lpstr>
      <vt:lpstr>Figurer</vt:lpstr>
      <vt:lpstr>Tabel 1.1</vt:lpstr>
      <vt:lpstr>Tabell 1.2</vt:lpstr>
      <vt:lpstr>Tabell 1.3</vt:lpstr>
      <vt:lpstr>Skjema total MA</vt:lpstr>
      <vt:lpstr>Danica Pensjonsforsikring</vt:lpstr>
      <vt:lpstr>DNB Bedriftspensjon</vt:lpstr>
      <vt:lpstr>DNB Livsforsikring</vt:lpstr>
      <vt:lpstr>Eika Forsikring AS</vt:lpstr>
      <vt:lpstr>Fremtind Livsforsikring</vt:lpstr>
      <vt:lpstr>Frende Livsforsikring</vt:lpstr>
      <vt:lpstr>Frende Skadeforsikring</vt:lpstr>
      <vt:lpstr>Gjensidige Forsikring</vt:lpstr>
      <vt:lpstr>Gjensidige Pensjon</vt:lpstr>
      <vt:lpstr>Handelsbanken Liv</vt:lpstr>
      <vt:lpstr>If Skadeforsikring NUF</vt:lpstr>
      <vt:lpstr>Insr</vt:lpstr>
      <vt:lpstr>KLP</vt:lpstr>
      <vt:lpstr>KLP Skadeforsikring AS</vt:lpstr>
      <vt:lpstr>Landkreditt Forsikring</vt:lpstr>
      <vt:lpstr>Nordea Liv </vt:lpstr>
      <vt:lpstr>Oslo Pensjonsforsikring</vt:lpstr>
      <vt:lpstr>Protector Forsikring</vt:lpstr>
      <vt:lpstr>SHB Liv</vt:lpstr>
      <vt:lpstr>Sparebank 1</vt:lpstr>
      <vt:lpstr>Storebrand Livsforsikring</vt:lpstr>
      <vt:lpstr>Telenor Forsikring</vt:lpstr>
      <vt:lpstr>Tryg Forsikring</vt:lpstr>
      <vt:lpstr>WaterCircle F</vt:lpstr>
      <vt:lpstr>Tabell 4</vt:lpstr>
      <vt:lpstr>Tabell 6</vt:lpstr>
      <vt:lpstr>Tabell 8 </vt:lpstr>
      <vt:lpstr>Noter og kommentarer</vt:lpstr>
      <vt:lpstr>'Fremtind Livsforsikring'!Utskriftsområde</vt:lpstr>
      <vt:lpstr>Insr!Utskriftsområde</vt:lpstr>
      <vt:lpstr>'Noter og kommentarer'!Utskriftsområde</vt:lpstr>
      <vt:lpstr>'Skjema total MA'!Utskriftsområde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Anne-Kathrine Johansen</dc:creator>
  <cp:lastModifiedBy>Randi Mørk</cp:lastModifiedBy>
  <cp:lastPrinted>2016-06-01T05:37:12Z</cp:lastPrinted>
  <dcterms:created xsi:type="dcterms:W3CDTF">2010-12-15T10:21:26Z</dcterms:created>
  <dcterms:modified xsi:type="dcterms:W3CDTF">2020-11-13T14:46:13Z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0x0101000C511E5DF31BAD48807550FE88829D9D0038FF55C83469DE4F9B7DCA1B89E318DA</vt:lpwstr>
  </property>
  <property fmtid="{D5CDD505-2E9C-101B-9397-08002B2CF9AE}" pid="3" name="_dlc_DocIdItemGuid">
    <vt:lpwstr>2761f03d-f0b2-4589-bf94-1574a8c44244</vt:lpwstr>
  </property>
  <property fmtid="{D5CDD505-2E9C-101B-9397-08002B2CF9AE}" pid="4" name="Avtale">
    <vt:lpwstr/>
  </property>
  <property fmtid="{D5CDD505-2E9C-101B-9397-08002B2CF9AE}" pid="5" name="n5dc56bd60b9453d8a2d716a3ace2936">
    <vt:lpwstr/>
  </property>
  <property fmtid="{D5CDD505-2E9C-101B-9397-08002B2CF9AE}" pid="6" name="Korrespondanse_x002d_fnf">
    <vt:lpwstr/>
  </property>
  <property fmtid="{D5CDD505-2E9C-101B-9397-08002B2CF9AE}" pid="7" name="pb5e3c85e100497daa11dd5a916fed68">
    <vt:lpwstr/>
  </property>
  <property fmtid="{D5CDD505-2E9C-101B-9397-08002B2CF9AE}" pid="8" name="Korrespondanse">
    <vt:lpwstr/>
  </property>
  <property fmtid="{D5CDD505-2E9C-101B-9397-08002B2CF9AE}" pid="9" name="b42cd6bccb18471bb7f8fb6f2b7f8ea5">
    <vt:lpwstr/>
  </property>
  <property fmtid="{D5CDD505-2E9C-101B-9397-08002B2CF9AE}" pid="10" name="Statistikk">
    <vt:lpwstr/>
  </property>
  <property fmtid="{D5CDD505-2E9C-101B-9397-08002B2CF9AE}" pid="11" name="Korrespondanse-fnf">
    <vt:lpwstr/>
  </property>
</Properties>
</file>