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2.xml" ContentType="application/vnd.openxmlformats-officedocument.spreadsheetml.worksheet+xml"/>
  <Override PartName="/xl/drawings/drawing3.xml" ContentType="application/vnd.openxmlformats-officedocument.drawing+xml"/>
  <Override PartName="/xl/charts/chart6.xml" ContentType="application/vnd.openxmlformats-officedocument.drawingml.chart+xml"/>
  <Override PartName="/xl/externalLinks/externalLink1.xml" ContentType="application/vnd.openxmlformats-officedocument.spreadsheetml.externalLink+xml"/>
  <Override PartName="/xl/connections.xml" ContentType="application/vnd.openxmlformats-officedocument.spreadsheetml.connections+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19\Q3-2019\Publisert\"/>
    </mc:Choice>
  </mc:AlternateContent>
  <xr:revisionPtr revIDLastSave="0" documentId="13_ncr:1_{AB8B90D9-6C5E-4D15-A40E-337C8F362393}" xr6:coauthVersionLast="41" xr6:coauthVersionMax="41" xr10:uidLastSave="{00000000-0000-0000-0000-000000000000}"/>
  <bookViews>
    <workbookView xWindow="-120" yWindow="-120" windowWidth="29040" windowHeight="158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Danica Pensjonsforsikring" sheetId="18" r:id="rId8"/>
    <sheet name="DNB Livsforsikring" sheetId="13" r:id="rId9"/>
    <sheet name="Eika Forsikring AS" sheetId="19" r:id="rId10"/>
    <sheet name="Frende Livsforsikring" sheetId="20" r:id="rId11"/>
    <sheet name="Frende Skadeforsikring" sheetId="21" r:id="rId12"/>
    <sheet name="Gjensidige Forsikring" sheetId="22" r:id="rId13"/>
    <sheet name="Gjensidige Pensjon" sheetId="23" r:id="rId14"/>
    <sheet name="Handelsbanken Liv" sheetId="24" r:id="rId15"/>
    <sheet name="If Skadeforsikring NUF" sheetId="25" r:id="rId16"/>
    <sheet name="KLP" sheetId="26" r:id="rId17"/>
    <sheet name="KLP Bedriftspensjon AS" sheetId="27" r:id="rId18"/>
    <sheet name="KLP Skadeforsikring AS" sheetId="51" r:id="rId19"/>
    <sheet name="Landkreditt Forsikring" sheetId="40" r:id="rId20"/>
    <sheet name="Insr" sheetId="41" r:id="rId21"/>
    <sheet name="Nordea Liv " sheetId="29" r:id="rId22"/>
    <sheet name="Oslo Pensjonsforsikring" sheetId="34" r:id="rId23"/>
    <sheet name="Protector Forsikring" sheetId="72" r:id="rId24"/>
    <sheet name="SHB Liv" sheetId="35" r:id="rId25"/>
    <sheet name="Sparebank 1" sheetId="33" r:id="rId26"/>
    <sheet name="Storebrand Livsforsikring" sheetId="37" r:id="rId27"/>
    <sheet name="Telenor Forsikring" sheetId="38" r:id="rId28"/>
    <sheet name="Tryg Forsikring" sheetId="39" r:id="rId29"/>
    <sheet name="Tabell 4" sheetId="65" r:id="rId30"/>
    <sheet name="Tabell 6" sheetId="62" r:id="rId31"/>
    <sheet name="Tabell 8" sheetId="73" r:id="rId32"/>
    <sheet name="Noter og kommentarer" sheetId="3" r:id="rId33"/>
  </sheets>
  <externalReferences>
    <externalReference r:id="rId34"/>
    <externalReference r:id="rId35"/>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20">Insr!$A$1:$M$137</definedName>
    <definedName name="_xlnm.Print_Area" localSheetId="32">'Noter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 i="35" l="1"/>
  <c r="L31" i="24"/>
  <c r="L24" i="24"/>
  <c r="D31" i="24"/>
  <c r="D24" i="24"/>
  <c r="AP89" i="62" l="1"/>
  <c r="AP88" i="62"/>
  <c r="AP87" i="62"/>
  <c r="AP84" i="62"/>
  <c r="AP83" i="62"/>
  <c r="AP82" i="62"/>
  <c r="AP81" i="62"/>
  <c r="AP78" i="62"/>
  <c r="AP76" i="62"/>
  <c r="AP75" i="62"/>
  <c r="AP74" i="62"/>
  <c r="AP73" i="62"/>
  <c r="AP71" i="62"/>
  <c r="AP70" i="62"/>
  <c r="AP68" i="62"/>
  <c r="AP61" i="62"/>
  <c r="AP58" i="62"/>
  <c r="AP57" i="62"/>
  <c r="AP56" i="62"/>
  <c r="AP53" i="62"/>
  <c r="AP52" i="62"/>
  <c r="AP51" i="62"/>
  <c r="AP49" i="62"/>
  <c r="AP48" i="62"/>
  <c r="AP46" i="62"/>
  <c r="AP43" i="62"/>
  <c r="AP42" i="62"/>
  <c r="AP41"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8" i="62"/>
  <c r="AO57" i="62"/>
  <c r="AO56" i="62"/>
  <c r="AO53" i="62"/>
  <c r="AO52" i="62"/>
  <c r="AO51" i="62"/>
  <c r="AO49" i="62"/>
  <c r="AO48" i="62"/>
  <c r="AO46" i="62"/>
  <c r="AO44" i="62"/>
  <c r="AO43" i="62"/>
  <c r="AO42" i="62"/>
  <c r="AO41" i="62"/>
  <c r="AO40" i="62"/>
  <c r="AO37" i="62"/>
  <c r="AO36" i="62"/>
  <c r="AO33" i="62"/>
  <c r="AO26" i="62"/>
  <c r="AO25" i="62"/>
  <c r="AO24" i="62"/>
  <c r="AO23" i="62"/>
  <c r="AO22" i="62"/>
  <c r="AO21" i="62"/>
  <c r="AO18" i="62"/>
  <c r="AO17" i="62"/>
  <c r="AO15" i="62"/>
  <c r="AO14" i="62"/>
  <c r="AM89" i="62"/>
  <c r="AM88" i="62"/>
  <c r="AM87" i="62"/>
  <c r="AM84" i="62"/>
  <c r="AM83" i="62"/>
  <c r="AM82" i="62"/>
  <c r="AM81" i="62"/>
  <c r="AM78" i="62"/>
  <c r="AM76" i="62"/>
  <c r="AM75" i="62"/>
  <c r="AM74" i="62"/>
  <c r="AM73" i="62"/>
  <c r="AM71" i="62"/>
  <c r="AM70" i="62"/>
  <c r="AM68" i="62"/>
  <c r="AM61" i="62"/>
  <c r="AM58" i="62"/>
  <c r="AM57" i="62"/>
  <c r="AM56" i="62"/>
  <c r="AM53" i="62"/>
  <c r="AM52" i="62"/>
  <c r="AM51" i="62"/>
  <c r="AM49" i="62"/>
  <c r="AM48" i="62"/>
  <c r="AM46" i="62"/>
  <c r="AM43" i="62"/>
  <c r="AM42" i="62"/>
  <c r="AM41" i="62"/>
  <c r="AM40" i="62"/>
  <c r="AM37" i="62"/>
  <c r="AM36" i="62"/>
  <c r="AM34" i="62"/>
  <c r="AM33" i="62"/>
  <c r="AM26" i="62"/>
  <c r="AM25" i="62"/>
  <c r="AM24" i="62"/>
  <c r="AM23" i="62"/>
  <c r="AM22" i="62"/>
  <c r="AM21" i="62"/>
  <c r="AM18" i="62"/>
  <c r="AM17" i="62"/>
  <c r="AM15" i="62"/>
  <c r="AM14" i="62"/>
  <c r="AL89" i="62"/>
  <c r="AL88" i="62"/>
  <c r="AL87" i="62"/>
  <c r="AL86" i="62"/>
  <c r="AL84" i="62"/>
  <c r="AL83" i="62"/>
  <c r="AL82" i="62"/>
  <c r="AL81" i="62"/>
  <c r="AL78" i="62"/>
  <c r="AL77" i="62"/>
  <c r="AL76" i="62"/>
  <c r="AL75" i="62"/>
  <c r="AL74" i="62"/>
  <c r="AL73" i="62"/>
  <c r="AL71" i="62"/>
  <c r="AL70" i="62"/>
  <c r="AL69" i="62"/>
  <c r="AL68" i="62"/>
  <c r="AL61" i="62"/>
  <c r="AL58" i="62"/>
  <c r="AL57" i="62"/>
  <c r="AL56" i="62"/>
  <c r="AL53" i="62"/>
  <c r="AL52" i="62"/>
  <c r="AL51" i="62"/>
  <c r="AL49" i="62"/>
  <c r="AL48" i="62"/>
  <c r="AL46" i="62"/>
  <c r="AL44" i="62"/>
  <c r="AL43" i="62"/>
  <c r="AL42" i="62"/>
  <c r="AL41" i="62"/>
  <c r="AL40" i="62"/>
  <c r="AL37" i="62"/>
  <c r="AL36" i="62"/>
  <c r="AL33" i="62"/>
  <c r="AL26" i="62"/>
  <c r="AL25" i="62"/>
  <c r="AL24" i="62"/>
  <c r="AL23" i="62"/>
  <c r="AL22" i="62"/>
  <c r="AL21" i="62"/>
  <c r="AL18" i="62"/>
  <c r="AL17" i="62"/>
  <c r="AL15" i="62"/>
  <c r="AL14" i="62"/>
  <c r="D70" i="62"/>
  <c r="G78" i="62"/>
  <c r="G46" i="62"/>
  <c r="G38" i="62"/>
  <c r="G19" i="62"/>
  <c r="G18" i="62"/>
  <c r="G17" i="62"/>
  <c r="J88" i="62"/>
  <c r="J75" i="62"/>
  <c r="J37" i="62"/>
  <c r="J36" i="62"/>
  <c r="J18" i="62"/>
  <c r="J17" i="62"/>
  <c r="M14" i="62"/>
  <c r="M16" i="62"/>
  <c r="M19" i="62"/>
  <c r="M34" i="62"/>
  <c r="M46" i="62"/>
  <c r="M49" i="62"/>
  <c r="M71" i="62"/>
  <c r="M78" i="62"/>
  <c r="P28" i="62"/>
  <c r="S52" i="62"/>
  <c r="S77" i="62"/>
  <c r="S72" i="62"/>
  <c r="S78" i="62"/>
  <c r="S82" i="62"/>
  <c r="S84" i="62"/>
  <c r="S87" i="62"/>
  <c r="V44" i="62"/>
  <c r="Y87" i="62"/>
  <c r="Y42" i="62"/>
  <c r="Y33" i="62"/>
  <c r="AB21" i="62"/>
  <c r="AB78" i="62"/>
  <c r="AB76" i="62"/>
  <c r="AE89" i="62"/>
  <c r="AH57" i="62"/>
  <c r="AH58" i="62"/>
  <c r="AH24" i="62"/>
  <c r="AK44" i="62"/>
  <c r="AK46" i="62"/>
  <c r="AK53" i="62"/>
  <c r="AP20" i="65"/>
  <c r="AP17" i="65"/>
  <c r="AP16" i="65"/>
  <c r="AP15" i="65"/>
  <c r="AP13" i="65"/>
  <c r="AP12" i="65"/>
  <c r="AO20" i="65"/>
  <c r="AO17" i="65"/>
  <c r="AO16" i="65"/>
  <c r="AO15" i="65"/>
  <c r="AO13" i="65"/>
  <c r="AO12" i="65"/>
  <c r="AM44" i="65"/>
  <c r="AM42" i="65"/>
  <c r="AM39" i="65"/>
  <c r="AM38" i="65"/>
  <c r="AM37" i="65"/>
  <c r="AM33" i="65"/>
  <c r="AM32" i="65"/>
  <c r="AM31" i="65"/>
  <c r="AM30" i="65"/>
  <c r="AM28" i="65"/>
  <c r="AM27" i="65"/>
  <c r="AM26" i="65"/>
  <c r="AM25" i="65"/>
  <c r="AM24" i="65"/>
  <c r="AM20" i="65"/>
  <c r="AM17" i="65"/>
  <c r="AM16" i="65"/>
  <c r="AM15" i="65"/>
  <c r="AM13" i="65"/>
  <c r="AM12" i="65"/>
  <c r="AL44" i="65"/>
  <c r="AL42" i="65"/>
  <c r="AL39" i="65"/>
  <c r="AL38" i="65"/>
  <c r="AL37" i="65"/>
  <c r="AL33" i="65"/>
  <c r="AL32" i="65"/>
  <c r="AL31" i="65"/>
  <c r="AL30" i="65"/>
  <c r="AL28" i="65"/>
  <c r="AL27" i="65"/>
  <c r="AL26" i="65"/>
  <c r="AL25" i="65"/>
  <c r="AL24" i="65"/>
  <c r="AL20" i="65"/>
  <c r="AL17" i="65"/>
  <c r="AL16" i="65"/>
  <c r="AL15" i="65"/>
  <c r="AL13" i="65"/>
  <c r="AL12" i="65"/>
  <c r="AA14" i="73" l="1"/>
  <c r="X14" i="73" l="1"/>
  <c r="W14" i="73"/>
  <c r="AG18" i="73" l="1"/>
  <c r="AF18" i="73"/>
  <c r="AE18" i="73"/>
  <c r="AB18" i="73"/>
  <c r="Y18" i="73"/>
  <c r="V18" i="73"/>
  <c r="S18" i="73"/>
  <c r="P18" i="73"/>
  <c r="G18" i="73"/>
  <c r="AG16" i="73"/>
  <c r="AF16" i="73"/>
  <c r="AE16" i="73"/>
  <c r="AB16" i="73"/>
  <c r="Y16" i="73"/>
  <c r="V16" i="73"/>
  <c r="S16" i="73"/>
  <c r="P16" i="73"/>
  <c r="M16" i="73"/>
  <c r="G16" i="73"/>
  <c r="D16" i="73"/>
  <c r="AH14" i="73"/>
  <c r="AE14" i="73"/>
  <c r="AB14" i="73"/>
  <c r="Y14" i="73"/>
  <c r="V14" i="73"/>
  <c r="S14" i="73"/>
  <c r="P14" i="73"/>
  <c r="M14" i="73"/>
  <c r="J14" i="73"/>
  <c r="G14" i="73"/>
  <c r="AH12" i="73"/>
  <c r="AE12" i="73"/>
  <c r="AB12" i="73"/>
  <c r="Y12" i="73"/>
  <c r="V12" i="73"/>
  <c r="S12" i="73"/>
  <c r="P12" i="73"/>
  <c r="M12" i="73"/>
  <c r="G12" i="73"/>
  <c r="D12" i="73"/>
  <c r="AH11" i="73"/>
  <c r="AE11" i="73"/>
  <c r="AB11" i="73"/>
  <c r="Y11" i="73"/>
  <c r="V11" i="73"/>
  <c r="S11" i="73"/>
  <c r="P11" i="73"/>
  <c r="M11" i="73"/>
  <c r="G11" i="73"/>
  <c r="D11" i="73"/>
  <c r="AH18" i="73" l="1"/>
  <c r="AH16" i="73"/>
  <c r="J109" i="20"/>
  <c r="H109" i="20" l="1"/>
  <c r="H109" i="13"/>
  <c r="H109" i="18"/>
  <c r="H33" i="37"/>
  <c r="H32" i="37"/>
  <c r="H31" i="37"/>
  <c r="H30" i="37"/>
  <c r="D31" i="37"/>
  <c r="D30" i="37"/>
  <c r="H26" i="37"/>
  <c r="H25" i="37"/>
  <c r="H24" i="37"/>
  <c r="H23" i="37"/>
  <c r="D24" i="37"/>
  <c r="D23" i="37"/>
  <c r="D31" i="33"/>
  <c r="D30" i="33"/>
  <c r="H33" i="33"/>
  <c r="H32" i="33"/>
  <c r="H31" i="33"/>
  <c r="H30" i="33"/>
  <c r="H26" i="33"/>
  <c r="H25" i="33"/>
  <c r="H24" i="33"/>
  <c r="H23" i="33"/>
  <c r="D24" i="33"/>
  <c r="D23" i="33"/>
  <c r="H33" i="35"/>
  <c r="H31" i="35"/>
  <c r="H30" i="35"/>
  <c r="H23" i="35"/>
  <c r="D32" i="29"/>
  <c r="D31" i="29"/>
  <c r="D30" i="29"/>
  <c r="H33" i="29"/>
  <c r="H32" i="29"/>
  <c r="H31" i="29"/>
  <c r="H30" i="29"/>
  <c r="H26" i="29"/>
  <c r="H25" i="29"/>
  <c r="H23" i="29"/>
  <c r="D24" i="29"/>
  <c r="D23" i="29"/>
  <c r="H33" i="23"/>
  <c r="H32" i="23"/>
  <c r="H31" i="23"/>
  <c r="H30" i="23"/>
  <c r="H25" i="23"/>
  <c r="H26" i="23"/>
  <c r="H23" i="23"/>
  <c r="D30" i="20"/>
  <c r="H33" i="20"/>
  <c r="H32" i="20"/>
  <c r="D32" i="20"/>
  <c r="H26" i="20"/>
  <c r="H25" i="20"/>
  <c r="D25" i="20"/>
  <c r="D23" i="20"/>
  <c r="H32" i="13" l="1"/>
  <c r="H31" i="13"/>
  <c r="H30" i="13"/>
  <c r="D32" i="13"/>
  <c r="D31" i="13"/>
  <c r="D30" i="13"/>
  <c r="H25" i="13"/>
  <c r="H24" i="13"/>
  <c r="H23" i="13"/>
  <c r="D25" i="13"/>
  <c r="D24" i="13"/>
  <c r="D23" i="13"/>
  <c r="H33" i="18"/>
  <c r="H32" i="18"/>
  <c r="H31" i="18"/>
  <c r="H30" i="18"/>
  <c r="H26" i="18"/>
  <c r="H25" i="18"/>
  <c r="H23" i="18"/>
  <c r="C85" i="62" l="1"/>
  <c r="B85" i="62"/>
  <c r="C79" i="62"/>
  <c r="B79" i="62"/>
  <c r="C59" i="62"/>
  <c r="B59" i="62"/>
  <c r="C39" i="62"/>
  <c r="B39" i="62"/>
  <c r="C28" i="62"/>
  <c r="B28" i="62"/>
  <c r="C20" i="62"/>
  <c r="B20" i="62"/>
  <c r="C40" i="65"/>
  <c r="B40" i="65"/>
  <c r="C23" i="65"/>
  <c r="B23" i="65"/>
  <c r="C19" i="65"/>
  <c r="B19" i="65"/>
  <c r="C11" i="65"/>
  <c r="B11" i="65"/>
  <c r="C27" i="62" l="1"/>
  <c r="C29" i="62" s="1"/>
  <c r="C45" i="62"/>
  <c r="C54" i="62"/>
  <c r="C60" i="62" s="1"/>
  <c r="AP59" i="62"/>
  <c r="AM59" i="62"/>
  <c r="C91" i="62"/>
  <c r="B45" i="62"/>
  <c r="B54" i="62"/>
  <c r="AL59" i="62"/>
  <c r="AO59" i="62"/>
  <c r="B27" i="62"/>
  <c r="B29" i="62" s="1"/>
  <c r="B91" i="62"/>
  <c r="C14" i="65"/>
  <c r="AM11" i="65"/>
  <c r="AP11" i="65"/>
  <c r="B29" i="65"/>
  <c r="AL23" i="65"/>
  <c r="B14" i="65"/>
  <c r="AO11" i="65"/>
  <c r="AL11" i="65"/>
  <c r="B21" i="65"/>
  <c r="C21" i="65"/>
  <c r="C29" i="65"/>
  <c r="AM23" i="65"/>
  <c r="Q85" i="62"/>
  <c r="Q79" i="62"/>
  <c r="Q54" i="62"/>
  <c r="Q50" i="62"/>
  <c r="Q39" i="62"/>
  <c r="Q35" i="62"/>
  <c r="Q20" i="62"/>
  <c r="Q16" i="62"/>
  <c r="Q27" i="62" s="1"/>
  <c r="Q29" i="62" s="1"/>
  <c r="Q40" i="65"/>
  <c r="Q29" i="65"/>
  <c r="Q21" i="65"/>
  <c r="Q14" i="65"/>
  <c r="B60" i="62" l="1"/>
  <c r="C62" i="62"/>
  <c r="C64" i="62" s="1"/>
  <c r="C34" i="65"/>
  <c r="B34" i="65"/>
  <c r="Q45" i="62"/>
  <c r="Q34" i="65"/>
  <c r="Q41" i="65" s="1"/>
  <c r="Q43" i="65" s="1"/>
  <c r="Q45" i="65" s="1"/>
  <c r="Q60" i="62"/>
  <c r="Q91" i="62"/>
  <c r="AA86" i="62"/>
  <c r="Z79" i="62"/>
  <c r="Z91" i="62" s="1"/>
  <c r="AA77" i="62"/>
  <c r="AA39" i="62"/>
  <c r="Z39" i="62"/>
  <c r="AA35" i="62"/>
  <c r="Z35" i="62"/>
  <c r="Z34" i="62"/>
  <c r="AA28" i="62"/>
  <c r="Z28" i="62"/>
  <c r="AA20" i="62"/>
  <c r="Z20" i="62"/>
  <c r="AA16" i="62"/>
  <c r="Z16" i="62"/>
  <c r="AA40" i="65"/>
  <c r="Z40" i="65"/>
  <c r="AA29" i="65"/>
  <c r="Z29" i="65"/>
  <c r="AA21" i="65"/>
  <c r="Z21" i="65"/>
  <c r="AA14" i="65"/>
  <c r="Z14" i="65"/>
  <c r="Z27" i="62" l="1"/>
  <c r="B62" i="62"/>
  <c r="AM77" i="62"/>
  <c r="AP77" i="62"/>
  <c r="AM86" i="62"/>
  <c r="AP86" i="62"/>
  <c r="AL34" i="62"/>
  <c r="AO34" i="62"/>
  <c r="AA79" i="62"/>
  <c r="AA91" i="62" s="1"/>
  <c r="AB77" i="62"/>
  <c r="B41" i="65"/>
  <c r="C41" i="65"/>
  <c r="Q62" i="62"/>
  <c r="Q64" i="62" s="1"/>
  <c r="AA34" i="65"/>
  <c r="AA41" i="65" s="1"/>
  <c r="AA43" i="65" s="1"/>
  <c r="AA45" i="65" s="1"/>
  <c r="Z34" i="65"/>
  <c r="Z41" i="65" s="1"/>
  <c r="Z43" i="65" s="1"/>
  <c r="Z45" i="65" s="1"/>
  <c r="Z45" i="62"/>
  <c r="Z62" i="62" s="1"/>
  <c r="Z29" i="62"/>
  <c r="AA27" i="62"/>
  <c r="AA29" i="62" s="1"/>
  <c r="AA45" i="62"/>
  <c r="I85" i="62"/>
  <c r="H85" i="62"/>
  <c r="I79" i="62"/>
  <c r="I91" i="62" s="1"/>
  <c r="H79" i="62"/>
  <c r="I55" i="62"/>
  <c r="H55" i="62"/>
  <c r="I39" i="62"/>
  <c r="H39" i="62"/>
  <c r="I35" i="62"/>
  <c r="H35" i="62"/>
  <c r="I20" i="62"/>
  <c r="H20" i="62"/>
  <c r="I16" i="62"/>
  <c r="H16" i="62"/>
  <c r="I40" i="65"/>
  <c r="H40" i="65"/>
  <c r="I29" i="65"/>
  <c r="H29" i="65"/>
  <c r="I21" i="65"/>
  <c r="H21" i="65"/>
  <c r="I14" i="65"/>
  <c r="H14" i="65"/>
  <c r="J16" i="62" l="1"/>
  <c r="I54" i="62"/>
  <c r="I60" i="62" s="1"/>
  <c r="AP55" i="62"/>
  <c r="AM55" i="62"/>
  <c r="B64" i="62"/>
  <c r="H54" i="62"/>
  <c r="H60" i="62" s="1"/>
  <c r="AO55" i="62"/>
  <c r="AL55" i="62"/>
  <c r="J35" i="62"/>
  <c r="Z64" i="62"/>
  <c r="AA62" i="62"/>
  <c r="AA64" i="62" s="1"/>
  <c r="C43" i="65"/>
  <c r="B43" i="65"/>
  <c r="I27" i="62"/>
  <c r="I29" i="62" s="1"/>
  <c r="H34" i="65"/>
  <c r="H41" i="65" s="1"/>
  <c r="H43" i="65" s="1"/>
  <c r="H45" i="65" s="1"/>
  <c r="H27" i="62"/>
  <c r="H29" i="62" s="1"/>
  <c r="H45" i="62"/>
  <c r="H91" i="62"/>
  <c r="I45" i="62"/>
  <c r="I34" i="65"/>
  <c r="I41" i="65" s="1"/>
  <c r="I43" i="65" s="1"/>
  <c r="I45" i="65" s="1"/>
  <c r="H62" i="62" l="1"/>
  <c r="B45" i="65"/>
  <c r="C45" i="65"/>
  <c r="H64" i="62"/>
  <c r="I62" i="62"/>
  <c r="I64" i="62" s="1"/>
  <c r="AJ85" i="62"/>
  <c r="AI85" i="62"/>
  <c r="AJ79" i="62"/>
  <c r="AI79" i="62"/>
  <c r="AJ54" i="62"/>
  <c r="AI54" i="62"/>
  <c r="AJ50" i="62"/>
  <c r="AI50" i="62"/>
  <c r="AJ39" i="62"/>
  <c r="AI39" i="62"/>
  <c r="AJ38" i="62"/>
  <c r="AI38" i="62"/>
  <c r="AJ28" i="62"/>
  <c r="AI28" i="62"/>
  <c r="AJ20" i="62"/>
  <c r="AI20" i="62"/>
  <c r="AJ19" i="62"/>
  <c r="AI19" i="62"/>
  <c r="AI16" i="62"/>
  <c r="AJ40" i="65"/>
  <c r="AI40" i="65"/>
  <c r="AJ29" i="65"/>
  <c r="AI29" i="65"/>
  <c r="AJ19" i="65"/>
  <c r="AI19" i="65"/>
  <c r="AI21" i="65" s="1"/>
  <c r="AJ14" i="65"/>
  <c r="AI14" i="65"/>
  <c r="AI91" i="62" l="1"/>
  <c r="AM50" i="62"/>
  <c r="AP50" i="62"/>
  <c r="AJ16" i="62"/>
  <c r="AJ27" i="62" s="1"/>
  <c r="AJ29" i="62" s="1"/>
  <c r="AP19" i="62"/>
  <c r="AM19" i="62"/>
  <c r="AJ91" i="62"/>
  <c r="AK50" i="62"/>
  <c r="AL50" i="62"/>
  <c r="AO50" i="62"/>
  <c r="AL28" i="62"/>
  <c r="AO28" i="62"/>
  <c r="AI35" i="62"/>
  <c r="AI45" i="62" s="1"/>
  <c r="AO38" i="62"/>
  <c r="AL38" i="62"/>
  <c r="AJ35" i="62"/>
  <c r="AJ45" i="62" s="1"/>
  <c r="AP38" i="62"/>
  <c r="AM38" i="62"/>
  <c r="AO19" i="62"/>
  <c r="AL19" i="62"/>
  <c r="AJ21" i="65"/>
  <c r="AM19" i="65"/>
  <c r="AP19" i="65"/>
  <c r="AJ60" i="62"/>
  <c r="AI27" i="62"/>
  <c r="AI29" i="62" s="1"/>
  <c r="AI34" i="65"/>
  <c r="AI41" i="65" s="1"/>
  <c r="AI43" i="65" s="1"/>
  <c r="AI45" i="65" s="1"/>
  <c r="AJ34" i="65"/>
  <c r="AJ41" i="65" s="1"/>
  <c r="AJ43" i="65" s="1"/>
  <c r="AJ45" i="65" s="1"/>
  <c r="AI60" i="62"/>
  <c r="X85" i="62"/>
  <c r="W85" i="62"/>
  <c r="X79" i="62"/>
  <c r="X91" i="62" s="1"/>
  <c r="W79" i="62"/>
  <c r="X54" i="62"/>
  <c r="W54" i="62"/>
  <c r="W60" i="62" s="1"/>
  <c r="X39" i="62"/>
  <c r="W39" i="62"/>
  <c r="X35" i="62"/>
  <c r="W35" i="62"/>
  <c r="X20" i="62"/>
  <c r="X27" i="62" s="1"/>
  <c r="X29" i="62" s="1"/>
  <c r="W20" i="62"/>
  <c r="X40" i="65"/>
  <c r="W40" i="65"/>
  <c r="X29" i="65"/>
  <c r="W29" i="65"/>
  <c r="X21" i="65"/>
  <c r="W21" i="65"/>
  <c r="X14" i="65"/>
  <c r="W14" i="65"/>
  <c r="AJ62" i="62" l="1"/>
  <c r="AI62" i="62"/>
  <c r="AJ64" i="62"/>
  <c r="W27" i="62"/>
  <c r="W29" i="62" s="1"/>
  <c r="X60" i="62"/>
  <c r="AI64" i="62"/>
  <c r="W45" i="62"/>
  <c r="W62" i="62" s="1"/>
  <c r="W34" i="65"/>
  <c r="W41" i="65" s="1"/>
  <c r="W43" i="65" s="1"/>
  <c r="W45" i="65" s="1"/>
  <c r="X45" i="62"/>
  <c r="X34" i="65"/>
  <c r="X41" i="65" s="1"/>
  <c r="X43" i="65" s="1"/>
  <c r="X45" i="65" s="1"/>
  <c r="W91" i="62"/>
  <c r="X62" i="62" l="1"/>
  <c r="X64" i="62" s="1"/>
  <c r="W64" i="62"/>
  <c r="AG85" i="62"/>
  <c r="AF85" i="62"/>
  <c r="AG79" i="62"/>
  <c r="AF79" i="62"/>
  <c r="AF91" i="62" s="1"/>
  <c r="AG54" i="62"/>
  <c r="AG60" i="62" s="1"/>
  <c r="AF54" i="62"/>
  <c r="AF60" i="62" s="1"/>
  <c r="AG39" i="62"/>
  <c r="AF39" i="62"/>
  <c r="AG35" i="62"/>
  <c r="AF35" i="62"/>
  <c r="AG20" i="62"/>
  <c r="AF20" i="62"/>
  <c r="AG16" i="62"/>
  <c r="AG27" i="62" s="1"/>
  <c r="AG29" i="62" s="1"/>
  <c r="AF16" i="62"/>
  <c r="AG40" i="65"/>
  <c r="AF40" i="65"/>
  <c r="AG29" i="65"/>
  <c r="AF29" i="65"/>
  <c r="AG21" i="65"/>
  <c r="AF21" i="65"/>
  <c r="AG14" i="65"/>
  <c r="AG34" i="65" s="1"/>
  <c r="AF14" i="65"/>
  <c r="AG91" i="62" l="1"/>
  <c r="AF27" i="62"/>
  <c r="AF29" i="62" s="1"/>
  <c r="AF34" i="65"/>
  <c r="AF41" i="65" s="1"/>
  <c r="AF43" i="65" s="1"/>
  <c r="AF45" i="65" s="1"/>
  <c r="AG45" i="62"/>
  <c r="AG41" i="65"/>
  <c r="AG43" i="65" s="1"/>
  <c r="AG45" i="65" s="1"/>
  <c r="AF45" i="62"/>
  <c r="AF62" i="62" s="1"/>
  <c r="AF64" i="62" s="1"/>
  <c r="AG62" i="62"/>
  <c r="AG64" i="62" s="1"/>
  <c r="AD85" i="62"/>
  <c r="AC85" i="62"/>
  <c r="AC91" i="62" s="1"/>
  <c r="AD54" i="62"/>
  <c r="AC54" i="62"/>
  <c r="AC60" i="62" s="1"/>
  <c r="AC62" i="62" s="1"/>
  <c r="AC29" i="62"/>
  <c r="AD40" i="65"/>
  <c r="AC40" i="65"/>
  <c r="AD29" i="65"/>
  <c r="AC29" i="65"/>
  <c r="AD21" i="65"/>
  <c r="AC21" i="65"/>
  <c r="AD14" i="65"/>
  <c r="AC14" i="65"/>
  <c r="O79" i="62"/>
  <c r="N79" i="62"/>
  <c r="N29" i="62"/>
  <c r="N64" i="62" s="1"/>
  <c r="O40" i="65"/>
  <c r="N40" i="65"/>
  <c r="O29" i="65"/>
  <c r="N29" i="65"/>
  <c r="O21" i="65"/>
  <c r="N21" i="65"/>
  <c r="O14" i="65"/>
  <c r="N14" i="65"/>
  <c r="AD34" i="65" l="1"/>
  <c r="AD41" i="65" s="1"/>
  <c r="AD43" i="65" s="1"/>
  <c r="AD45" i="65" s="1"/>
  <c r="AD60" i="62"/>
  <c r="N91" i="62"/>
  <c r="O34" i="65"/>
  <c r="O41" i="65" s="1"/>
  <c r="O43" i="65" s="1"/>
  <c r="O45" i="65" s="1"/>
  <c r="AD91" i="62"/>
  <c r="O29" i="62"/>
  <c r="AC34" i="65"/>
  <c r="AC41" i="65" s="1"/>
  <c r="AC43" i="65" s="1"/>
  <c r="AC45" i="65" s="1"/>
  <c r="AD29" i="62"/>
  <c r="N34" i="65"/>
  <c r="N41" i="65" s="1"/>
  <c r="N43" i="65" s="1"/>
  <c r="N45" i="65" s="1"/>
  <c r="O91" i="62"/>
  <c r="AC64" i="62"/>
  <c r="AD62" i="62" l="1"/>
  <c r="AD64" i="62" s="1"/>
  <c r="O64" i="62"/>
  <c r="F85" i="62"/>
  <c r="E85" i="62"/>
  <c r="F79" i="62"/>
  <c r="E79" i="62"/>
  <c r="F69" i="62"/>
  <c r="F54" i="62"/>
  <c r="E54" i="62"/>
  <c r="F39" i="62"/>
  <c r="E39" i="62"/>
  <c r="F35" i="62"/>
  <c r="E35" i="62"/>
  <c r="F20" i="62"/>
  <c r="E20" i="62"/>
  <c r="F16" i="62"/>
  <c r="E16" i="62"/>
  <c r="F40" i="65"/>
  <c r="E40" i="65"/>
  <c r="F29" i="65"/>
  <c r="E29" i="65"/>
  <c r="F21" i="65"/>
  <c r="E21" i="65"/>
  <c r="F14" i="65"/>
  <c r="E14" i="65"/>
  <c r="E60" i="62" l="1"/>
  <c r="F91" i="62"/>
  <c r="AM69" i="62"/>
  <c r="AP69" i="62"/>
  <c r="G16" i="62"/>
  <c r="F45" i="62"/>
  <c r="E91" i="62"/>
  <c r="E27" i="62"/>
  <c r="F60" i="62"/>
  <c r="F34" i="65"/>
  <c r="F27" i="62"/>
  <c r="E34" i="65"/>
  <c r="E45" i="62"/>
  <c r="E29" i="62" l="1"/>
  <c r="F29" i="62"/>
  <c r="E62" i="62"/>
  <c r="E41" i="65"/>
  <c r="F41" i="65"/>
  <c r="F62" i="62"/>
  <c r="U85" i="62"/>
  <c r="T85" i="62"/>
  <c r="U79" i="62"/>
  <c r="T79" i="62"/>
  <c r="U54" i="62"/>
  <c r="T54" i="62"/>
  <c r="T60" i="62" s="1"/>
  <c r="U39" i="62"/>
  <c r="T39" i="62"/>
  <c r="U35" i="62"/>
  <c r="T35" i="62"/>
  <c r="T45" i="62" s="1"/>
  <c r="U20" i="62"/>
  <c r="T20" i="62"/>
  <c r="U16" i="62"/>
  <c r="T16" i="62"/>
  <c r="U40" i="65"/>
  <c r="T40" i="65"/>
  <c r="U29" i="65"/>
  <c r="T29" i="65"/>
  <c r="U21" i="65"/>
  <c r="T21" i="65"/>
  <c r="U14" i="65"/>
  <c r="T14" i="65"/>
  <c r="U91" i="62" l="1"/>
  <c r="E64" i="62"/>
  <c r="V16" i="62"/>
  <c r="AO16" i="62"/>
  <c r="AL16" i="62"/>
  <c r="F64" i="62"/>
  <c r="F43" i="65"/>
  <c r="E43" i="65"/>
  <c r="T27" i="62"/>
  <c r="T29" i="62" s="1"/>
  <c r="U60" i="62"/>
  <c r="T34" i="65"/>
  <c r="T41" i="65" s="1"/>
  <c r="T43" i="65" s="1"/>
  <c r="T45" i="65" s="1"/>
  <c r="U34" i="65"/>
  <c r="U41" i="65" s="1"/>
  <c r="U43" i="65" s="1"/>
  <c r="U45" i="65" s="1"/>
  <c r="U27" i="62"/>
  <c r="U29" i="62" s="1"/>
  <c r="T91" i="62"/>
  <c r="T62" i="62"/>
  <c r="U45" i="62"/>
  <c r="E45" i="65" l="1"/>
  <c r="F45" i="65"/>
  <c r="U62" i="62"/>
  <c r="U64" i="62" s="1"/>
  <c r="T64" i="62"/>
  <c r="L85" i="62"/>
  <c r="K85" i="62"/>
  <c r="L79" i="62"/>
  <c r="K79" i="62"/>
  <c r="L54" i="62"/>
  <c r="K54" i="62"/>
  <c r="L44" i="62"/>
  <c r="K39" i="62"/>
  <c r="L35" i="62"/>
  <c r="K35" i="62"/>
  <c r="L28" i="62"/>
  <c r="L20" i="62"/>
  <c r="K20" i="62"/>
  <c r="L16" i="62"/>
  <c r="L40" i="65"/>
  <c r="AM40" i="65" s="1"/>
  <c r="K40" i="65"/>
  <c r="AL40" i="65" s="1"/>
  <c r="L29" i="65"/>
  <c r="AM29" i="65" s="1"/>
  <c r="K29" i="65"/>
  <c r="AL29" i="65" s="1"/>
  <c r="L21" i="65"/>
  <c r="K19" i="65"/>
  <c r="L14" i="65"/>
  <c r="K14" i="65"/>
  <c r="AP16" i="62" l="1"/>
  <c r="AM16" i="62"/>
  <c r="L39" i="62"/>
  <c r="AP44" i="62"/>
  <c r="AM44" i="62"/>
  <c r="K60" i="62"/>
  <c r="AO54" i="62"/>
  <c r="AL54" i="62"/>
  <c r="AM20" i="62"/>
  <c r="AP20" i="62"/>
  <c r="K27" i="62"/>
  <c r="AL20" i="62"/>
  <c r="AO20" i="62"/>
  <c r="AO79" i="62"/>
  <c r="AL79" i="62"/>
  <c r="AM28" i="62"/>
  <c r="AP28" i="62"/>
  <c r="AM35" i="62"/>
  <c r="AP35" i="62"/>
  <c r="AP54" i="62"/>
  <c r="AM54" i="62"/>
  <c r="L91" i="62"/>
  <c r="AM79" i="62"/>
  <c r="AP79" i="62"/>
  <c r="AO35" i="62"/>
  <c r="AL35" i="62"/>
  <c r="AO85" i="62"/>
  <c r="AL85" i="62"/>
  <c r="AM85" i="62"/>
  <c r="AP85" i="62"/>
  <c r="AL39" i="62"/>
  <c r="AO39" i="62"/>
  <c r="AO14" i="65"/>
  <c r="AL14" i="65"/>
  <c r="AP21" i="65"/>
  <c r="AM21" i="65"/>
  <c r="AP14" i="65"/>
  <c r="AM14" i="65"/>
  <c r="K21" i="65"/>
  <c r="AO19" i="65"/>
  <c r="AL19" i="65"/>
  <c r="K45" i="62"/>
  <c r="L45" i="62"/>
  <c r="L34" i="65"/>
  <c r="K91" i="62"/>
  <c r="L27" i="62"/>
  <c r="L60" i="62"/>
  <c r="AP60" i="62" l="1"/>
  <c r="AM60" i="62"/>
  <c r="AP91" i="62"/>
  <c r="AM91" i="62"/>
  <c r="AO60" i="62"/>
  <c r="AL60" i="62"/>
  <c r="AL91" i="62"/>
  <c r="AO91" i="62"/>
  <c r="AM45" i="62"/>
  <c r="AP45" i="62"/>
  <c r="K29" i="62"/>
  <c r="AL27" i="62"/>
  <c r="AO27" i="62"/>
  <c r="AM39" i="62"/>
  <c r="AP39" i="62"/>
  <c r="L29" i="62"/>
  <c r="AM27" i="62"/>
  <c r="AP27" i="62"/>
  <c r="K62" i="62"/>
  <c r="AO45" i="62"/>
  <c r="AL45" i="62"/>
  <c r="L41" i="65"/>
  <c r="AM34" i="65"/>
  <c r="AL21" i="65"/>
  <c r="AO21" i="65"/>
  <c r="K34" i="65"/>
  <c r="L62" i="62"/>
  <c r="L64" i="62" l="1"/>
  <c r="AM29" i="62"/>
  <c r="AP29" i="62"/>
  <c r="AM62" i="62"/>
  <c r="AP62" i="62"/>
  <c r="K64" i="62"/>
  <c r="AO62" i="62"/>
  <c r="AL62" i="62"/>
  <c r="AL29" i="62"/>
  <c r="AO29" i="62"/>
  <c r="K41" i="65"/>
  <c r="AL34" i="65"/>
  <c r="L43" i="65"/>
  <c r="AM41" i="65"/>
  <c r="P73" i="62"/>
  <c r="AM64" i="62" l="1"/>
  <c r="AP64" i="62"/>
  <c r="AL64" i="62"/>
  <c r="AO64" i="62"/>
  <c r="L45" i="65"/>
  <c r="AM45" i="65" s="1"/>
  <c r="AM43" i="65"/>
  <c r="K43" i="65"/>
  <c r="AL41" i="65"/>
  <c r="K45" i="65" l="1"/>
  <c r="AL45" i="65" s="1"/>
  <c r="AL43" i="65"/>
  <c r="K32" i="13" l="1"/>
  <c r="K33" i="20"/>
  <c r="J33" i="35"/>
  <c r="J30" i="23"/>
  <c r="J30" i="29"/>
  <c r="J30" i="18"/>
  <c r="J33" i="23" l="1"/>
  <c r="J33" i="20"/>
  <c r="L33" i="20" s="1"/>
  <c r="J33" i="33"/>
  <c r="J33" i="29"/>
  <c r="J25" i="29"/>
  <c r="J25" i="23"/>
  <c r="J25" i="20"/>
  <c r="J25" i="13"/>
  <c r="L25" i="13" s="1"/>
  <c r="J32" i="18"/>
  <c r="J32" i="33"/>
  <c r="J32" i="29"/>
  <c r="J32" i="23"/>
  <c r="J26" i="18"/>
  <c r="J26" i="37"/>
  <c r="J26" i="33"/>
  <c r="J26" i="35"/>
  <c r="J26" i="29"/>
  <c r="J26" i="23"/>
  <c r="J26" i="20"/>
  <c r="K23" i="33"/>
  <c r="J33" i="18"/>
  <c r="J33" i="37"/>
  <c r="K31" i="23"/>
  <c r="K25" i="18"/>
  <c r="K25" i="37"/>
  <c r="K25" i="33"/>
  <c r="K25" i="29"/>
  <c r="K25" i="23"/>
  <c r="K25" i="20"/>
  <c r="K25" i="13"/>
  <c r="K23" i="37"/>
  <c r="K23" i="20"/>
  <c r="K32" i="18"/>
  <c r="K32" i="33"/>
  <c r="K32" i="29"/>
  <c r="K32" i="23"/>
  <c r="K33" i="23"/>
  <c r="K32" i="20"/>
  <c r="K26" i="18"/>
  <c r="K26" i="33"/>
  <c r="K26" i="29"/>
  <c r="K26" i="20"/>
  <c r="K23" i="35"/>
  <c r="K23" i="13"/>
  <c r="K33" i="18"/>
  <c r="K33" i="33"/>
  <c r="K33" i="29"/>
  <c r="J23" i="20"/>
  <c r="L23" i="20" s="1"/>
  <c r="K26" i="35"/>
  <c r="J23" i="37"/>
  <c r="K26" i="37"/>
  <c r="K26" i="23"/>
  <c r="K31" i="13"/>
  <c r="J23" i="18"/>
  <c r="J23" i="29"/>
  <c r="J23" i="23"/>
  <c r="J25" i="18"/>
  <c r="J25" i="37"/>
  <c r="J25" i="33"/>
  <c r="L25" i="33" s="1"/>
  <c r="K24" i="24"/>
  <c r="K24" i="13"/>
  <c r="K31" i="18"/>
  <c r="K31" i="33"/>
  <c r="K31" i="29"/>
  <c r="J23" i="35"/>
  <c r="J23" i="13"/>
  <c r="K30" i="20"/>
  <c r="K30" i="13"/>
  <c r="K24" i="33"/>
  <c r="K24" i="29"/>
  <c r="J31" i="37"/>
  <c r="J31" i="24"/>
  <c r="J31" i="35"/>
  <c r="J31" i="13"/>
  <c r="J24" i="37"/>
  <c r="J24" i="33"/>
  <c r="L24" i="33" s="1"/>
  <c r="J24" i="29"/>
  <c r="J24" i="24"/>
  <c r="J24" i="13"/>
  <c r="L24" i="13" s="1"/>
  <c r="K23" i="18"/>
  <c r="K23" i="29"/>
  <c r="K23" i="23"/>
  <c r="J31" i="18"/>
  <c r="J31" i="33"/>
  <c r="J31" i="29"/>
  <c r="J31" i="23"/>
  <c r="K24" i="37"/>
  <c r="K30" i="37"/>
  <c r="J30" i="13"/>
  <c r="J23" i="33"/>
  <c r="J30" i="33"/>
  <c r="J30" i="35"/>
  <c r="J32" i="20"/>
  <c r="J32" i="13"/>
  <c r="L32" i="13" s="1"/>
  <c r="J30" i="37"/>
  <c r="J30" i="20"/>
  <c r="J32" i="37"/>
  <c r="K30" i="18"/>
  <c r="L30" i="18" s="1"/>
  <c r="K30" i="33"/>
  <c r="K30" i="29"/>
  <c r="L30" i="29" s="1"/>
  <c r="K30" i="23"/>
  <c r="L30" i="23" s="1"/>
  <c r="K32" i="37"/>
  <c r="K30" i="35"/>
  <c r="K31" i="37"/>
  <c r="K33" i="37"/>
  <c r="K31" i="35"/>
  <c r="K33" i="35"/>
  <c r="L33" i="35" s="1"/>
  <c r="K31" i="24"/>
  <c r="L32" i="20" l="1"/>
  <c r="L24" i="29"/>
  <c r="L31" i="18"/>
  <c r="L33" i="33"/>
  <c r="L24" i="37"/>
  <c r="L31" i="13"/>
  <c r="L31" i="23"/>
  <c r="L26" i="35"/>
  <c r="L30" i="35"/>
  <c r="L31" i="33"/>
  <c r="L30" i="33"/>
  <c r="L25" i="37"/>
  <c r="L23" i="37"/>
  <c r="L32" i="23"/>
  <c r="L26" i="23"/>
  <c r="L32" i="33"/>
  <c r="L32" i="37"/>
  <c r="L30" i="13"/>
  <c r="L31" i="35"/>
  <c r="L23" i="35"/>
  <c r="L25" i="18"/>
  <c r="L26" i="29"/>
  <c r="L32" i="18"/>
  <c r="L33" i="23"/>
  <c r="L23" i="23"/>
  <c r="L30" i="37"/>
  <c r="L31" i="37"/>
  <c r="L23" i="29"/>
  <c r="L26" i="33"/>
  <c r="L25" i="20"/>
  <c r="L32" i="29"/>
  <c r="L23" i="33"/>
  <c r="L23" i="13"/>
  <c r="L30" i="20"/>
  <c r="L23" i="18"/>
  <c r="L33" i="37"/>
  <c r="L26" i="37"/>
  <c r="L25" i="23"/>
  <c r="L31" i="29"/>
  <c r="L33" i="18"/>
  <c r="L26" i="18"/>
  <c r="L25" i="29"/>
  <c r="L33" i="29"/>
  <c r="L26" i="20"/>
  <c r="J9" i="72"/>
  <c r="L9" i="72" s="1"/>
  <c r="I33" i="20" l="1"/>
  <c r="I33" i="29"/>
  <c r="I33" i="18"/>
  <c r="I33" i="33"/>
  <c r="I33" i="23"/>
  <c r="I33" i="35"/>
  <c r="E31" i="13"/>
  <c r="E31" i="37"/>
  <c r="E31" i="33"/>
  <c r="E31" i="24"/>
  <c r="E31" i="29"/>
  <c r="E23" i="13"/>
  <c r="E23" i="20"/>
  <c r="E23" i="37"/>
  <c r="E23" i="33"/>
  <c r="E23" i="29"/>
  <c r="E25" i="20"/>
  <c r="E25" i="13"/>
  <c r="E30" i="13"/>
  <c r="E30" i="20"/>
  <c r="E30" i="37"/>
  <c r="E30" i="29"/>
  <c r="E30" i="33"/>
  <c r="E32" i="20"/>
  <c r="E32" i="13"/>
  <c r="E32" i="29"/>
  <c r="E24" i="24"/>
  <c r="E24" i="13"/>
  <c r="E24" i="29"/>
  <c r="E24" i="33"/>
  <c r="E24" i="37"/>
  <c r="K7" i="72"/>
  <c r="K9" i="72"/>
  <c r="J7" i="72"/>
  <c r="D48" i="72"/>
  <c r="D7" i="72"/>
  <c r="D9" i="72"/>
  <c r="AK44" i="65"/>
  <c r="AH44" i="65"/>
  <c r="Y44" i="65"/>
  <c r="V44" i="65"/>
  <c r="S44" i="65"/>
  <c r="M44" i="65"/>
  <c r="G44" i="65"/>
  <c r="AK42" i="65"/>
  <c r="AH42" i="65"/>
  <c r="AB42" i="65"/>
  <c r="Y42" i="65"/>
  <c r="P42" i="65"/>
  <c r="M42" i="65"/>
  <c r="J42" i="65"/>
  <c r="G42" i="65"/>
  <c r="D42" i="65"/>
  <c r="AK40" i="65"/>
  <c r="AH40" i="65"/>
  <c r="AB40" i="65"/>
  <c r="Y40" i="65"/>
  <c r="V40" i="65"/>
  <c r="S40" i="65"/>
  <c r="P40" i="65"/>
  <c r="M40" i="65"/>
  <c r="J40" i="65"/>
  <c r="G40" i="65"/>
  <c r="D40" i="65"/>
  <c r="AK39" i="65"/>
  <c r="AH39" i="65"/>
  <c r="AB39" i="65"/>
  <c r="Y39" i="65"/>
  <c r="V39" i="65"/>
  <c r="S39" i="65"/>
  <c r="M39" i="65"/>
  <c r="J39" i="65"/>
  <c r="G39" i="65"/>
  <c r="AK38" i="65"/>
  <c r="AH38" i="65"/>
  <c r="AB38" i="65"/>
  <c r="Y38" i="65"/>
  <c r="V38" i="65"/>
  <c r="S38" i="65"/>
  <c r="M38" i="65"/>
  <c r="J38" i="65"/>
  <c r="G38" i="65"/>
  <c r="AK37" i="65"/>
  <c r="AH37" i="65"/>
  <c r="AB37" i="65"/>
  <c r="Y37" i="65"/>
  <c r="V37" i="65"/>
  <c r="S37" i="65"/>
  <c r="P37" i="65"/>
  <c r="M37" i="65"/>
  <c r="J37" i="65"/>
  <c r="G37" i="65"/>
  <c r="D37" i="65"/>
  <c r="AK33" i="65"/>
  <c r="AH33" i="65"/>
  <c r="Y33" i="65"/>
  <c r="V33" i="65"/>
  <c r="S33" i="65"/>
  <c r="G33" i="65"/>
  <c r="AK32" i="65"/>
  <c r="AH32" i="65"/>
  <c r="AE32" i="65"/>
  <c r="AB32" i="65"/>
  <c r="Y32" i="65"/>
  <c r="V32" i="65"/>
  <c r="S32" i="65"/>
  <c r="P32" i="65"/>
  <c r="M32" i="65"/>
  <c r="J32" i="65"/>
  <c r="G32" i="65"/>
  <c r="D32" i="65"/>
  <c r="AK31" i="65"/>
  <c r="AH31" i="65"/>
  <c r="AB31" i="65"/>
  <c r="Y31" i="65"/>
  <c r="S31" i="65"/>
  <c r="M31" i="65"/>
  <c r="G31" i="65"/>
  <c r="D31" i="65"/>
  <c r="AK30" i="65"/>
  <c r="AH30" i="65"/>
  <c r="AE30" i="65"/>
  <c r="Y30" i="65"/>
  <c r="V30" i="65"/>
  <c r="S30" i="65"/>
  <c r="M30" i="65"/>
  <c r="G30" i="65"/>
  <c r="D30" i="65"/>
  <c r="Y29" i="65"/>
  <c r="AK28" i="65"/>
  <c r="AH28" i="65"/>
  <c r="Y28" i="65"/>
  <c r="S28" i="65"/>
  <c r="G28" i="65"/>
  <c r="AK27" i="65"/>
  <c r="AH27" i="65"/>
  <c r="Y27" i="65"/>
  <c r="J27" i="65"/>
  <c r="G27" i="65"/>
  <c r="D27" i="65"/>
  <c r="AK26" i="65"/>
  <c r="AH26" i="65"/>
  <c r="AB26" i="65"/>
  <c r="Y26" i="65"/>
  <c r="V26" i="65"/>
  <c r="S26" i="65"/>
  <c r="G26" i="65"/>
  <c r="AK25" i="65"/>
  <c r="AH25" i="65"/>
  <c r="AB25" i="65"/>
  <c r="Y25" i="65"/>
  <c r="V25" i="65"/>
  <c r="S25" i="65"/>
  <c r="M25" i="65"/>
  <c r="G25" i="65"/>
  <c r="D25" i="65"/>
  <c r="AK24" i="65"/>
  <c r="AH24" i="65"/>
  <c r="Y24" i="65"/>
  <c r="V24" i="65"/>
  <c r="S24" i="65"/>
  <c r="M24" i="65"/>
  <c r="G24" i="65"/>
  <c r="AK23" i="65"/>
  <c r="AH23" i="65"/>
  <c r="AB23" i="65"/>
  <c r="Y23" i="65"/>
  <c r="V23" i="65"/>
  <c r="S23" i="65"/>
  <c r="M23" i="65"/>
  <c r="J23" i="65"/>
  <c r="G23" i="65"/>
  <c r="D23" i="65"/>
  <c r="AB21" i="65"/>
  <c r="AK20" i="65"/>
  <c r="AH20" i="65"/>
  <c r="AE20" i="65"/>
  <c r="Y20" i="65"/>
  <c r="V20" i="65"/>
  <c r="S20" i="65"/>
  <c r="M20" i="65"/>
  <c r="J20" i="65"/>
  <c r="G20" i="65"/>
  <c r="D20" i="65"/>
  <c r="AK19" i="65"/>
  <c r="AH19" i="65"/>
  <c r="AE19" i="65"/>
  <c r="AB19" i="65"/>
  <c r="Y19" i="65"/>
  <c r="V19" i="65"/>
  <c r="S19" i="65"/>
  <c r="P19" i="65"/>
  <c r="M19" i="65"/>
  <c r="J19" i="65"/>
  <c r="G19" i="65"/>
  <c r="D19" i="65"/>
  <c r="AK17" i="65"/>
  <c r="AH17" i="65"/>
  <c r="AB17" i="65"/>
  <c r="Y17" i="65"/>
  <c r="V17" i="65"/>
  <c r="S17" i="65"/>
  <c r="J17" i="65"/>
  <c r="G17" i="65"/>
  <c r="AK16" i="65"/>
  <c r="AH16" i="65"/>
  <c r="AE16" i="65"/>
  <c r="Y16" i="65"/>
  <c r="V16" i="65"/>
  <c r="S16" i="65"/>
  <c r="M16" i="65"/>
  <c r="J16" i="65"/>
  <c r="G16" i="65"/>
  <c r="D16" i="65"/>
  <c r="AK15" i="65"/>
  <c r="AH15" i="65"/>
  <c r="AB15" i="65"/>
  <c r="Y15" i="65"/>
  <c r="V15" i="65"/>
  <c r="S15" i="65"/>
  <c r="M15" i="65"/>
  <c r="J15" i="65"/>
  <c r="G15" i="65"/>
  <c r="D15" i="65"/>
  <c r="AK14" i="65"/>
  <c r="Y14" i="65"/>
  <c r="AK13" i="65"/>
  <c r="AH13" i="65"/>
  <c r="AE13" i="65"/>
  <c r="Y13" i="65"/>
  <c r="V13" i="65"/>
  <c r="S13" i="65"/>
  <c r="M13" i="65"/>
  <c r="J13" i="65"/>
  <c r="G13" i="65"/>
  <c r="D13" i="65"/>
  <c r="AK12" i="65"/>
  <c r="AH12" i="65"/>
  <c r="Y12" i="65"/>
  <c r="V12" i="65"/>
  <c r="S12" i="65"/>
  <c r="M12" i="65"/>
  <c r="J12" i="65"/>
  <c r="G12" i="65"/>
  <c r="D12" i="65"/>
  <c r="AK11" i="65"/>
  <c r="AH11" i="65"/>
  <c r="AE11" i="65"/>
  <c r="AB11" i="65"/>
  <c r="Y11" i="65"/>
  <c r="V11" i="65"/>
  <c r="S11" i="65"/>
  <c r="P11" i="65"/>
  <c r="M11" i="65"/>
  <c r="J11" i="65"/>
  <c r="G11" i="65"/>
  <c r="D11" i="65"/>
  <c r="AK89" i="62"/>
  <c r="AH89" i="62"/>
  <c r="AB89" i="62"/>
  <c r="Y89" i="62"/>
  <c r="V89" i="62"/>
  <c r="S89" i="62"/>
  <c r="M89" i="62"/>
  <c r="J89" i="62"/>
  <c r="G89" i="62"/>
  <c r="D89" i="62"/>
  <c r="AK88" i="62"/>
  <c r="AH88" i="62"/>
  <c r="AE88" i="62"/>
  <c r="AB88" i="62"/>
  <c r="Y88" i="62"/>
  <c r="V88" i="62"/>
  <c r="S88" i="62"/>
  <c r="P88" i="62"/>
  <c r="M88" i="62"/>
  <c r="G88" i="62"/>
  <c r="D88" i="62"/>
  <c r="AH87" i="62"/>
  <c r="AK86" i="62"/>
  <c r="AH86" i="62"/>
  <c r="AB86" i="62"/>
  <c r="Y86" i="62"/>
  <c r="V86" i="62"/>
  <c r="S86" i="62"/>
  <c r="P86" i="62"/>
  <c r="M86" i="62"/>
  <c r="G86" i="62"/>
  <c r="D86" i="62"/>
  <c r="AH83" i="62"/>
  <c r="V83" i="62"/>
  <c r="S83" i="62"/>
  <c r="M83" i="62"/>
  <c r="G83" i="62"/>
  <c r="D83" i="62"/>
  <c r="AK81" i="62"/>
  <c r="AH81" i="62"/>
  <c r="AE81" i="62"/>
  <c r="Y81" i="62"/>
  <c r="V81" i="62"/>
  <c r="S81" i="62"/>
  <c r="M81" i="62"/>
  <c r="J81" i="62"/>
  <c r="G81" i="62"/>
  <c r="D81" i="62"/>
  <c r="AK77" i="62"/>
  <c r="J77" i="62"/>
  <c r="G77" i="62"/>
  <c r="D77" i="62"/>
  <c r="AK76" i="62"/>
  <c r="AH76" i="62"/>
  <c r="Y76" i="62"/>
  <c r="V76" i="62"/>
  <c r="S76" i="62"/>
  <c r="D76" i="62"/>
  <c r="AK75" i="62"/>
  <c r="AH75" i="62"/>
  <c r="AB75" i="62"/>
  <c r="Y75" i="62"/>
  <c r="V75" i="62"/>
  <c r="S75" i="62"/>
  <c r="M75" i="62"/>
  <c r="G75" i="62"/>
  <c r="D75" i="62"/>
  <c r="AK74" i="62"/>
  <c r="AH74" i="62"/>
  <c r="AB74" i="62"/>
  <c r="Y74" i="62"/>
  <c r="V74" i="62"/>
  <c r="S74" i="62"/>
  <c r="M74" i="62"/>
  <c r="J74" i="62"/>
  <c r="G74" i="62"/>
  <c r="D74" i="62"/>
  <c r="AK73" i="62"/>
  <c r="AH73" i="62"/>
  <c r="AB73" i="62"/>
  <c r="Y73" i="62"/>
  <c r="V73" i="62"/>
  <c r="S73" i="62"/>
  <c r="M73" i="62"/>
  <c r="J73" i="62"/>
  <c r="G73" i="62"/>
  <c r="D73" i="62"/>
  <c r="AK71" i="62"/>
  <c r="AH71" i="62"/>
  <c r="AB71" i="62"/>
  <c r="Y71" i="62"/>
  <c r="S71" i="62"/>
  <c r="G71" i="62"/>
  <c r="AK70" i="62"/>
  <c r="AH70" i="62"/>
  <c r="Y70" i="62"/>
  <c r="S70" i="62"/>
  <c r="M70" i="62"/>
  <c r="G70" i="62"/>
  <c r="AK69" i="62"/>
  <c r="AH69" i="62"/>
  <c r="AE69" i="62"/>
  <c r="AB69" i="62"/>
  <c r="Y69" i="62"/>
  <c r="V69" i="62"/>
  <c r="S69" i="62"/>
  <c r="P69" i="62"/>
  <c r="M69" i="62"/>
  <c r="J69" i="62"/>
  <c r="G69" i="62"/>
  <c r="D69" i="62"/>
  <c r="AK68" i="62"/>
  <c r="AH68" i="62"/>
  <c r="AE68" i="62"/>
  <c r="AB68" i="62"/>
  <c r="Y68" i="62"/>
  <c r="V68" i="62"/>
  <c r="S68" i="62"/>
  <c r="P68" i="62"/>
  <c r="M68" i="62"/>
  <c r="J68" i="62"/>
  <c r="G68" i="62"/>
  <c r="D68" i="62"/>
  <c r="AH59" i="62"/>
  <c r="Y59" i="62"/>
  <c r="S59" i="62"/>
  <c r="M59" i="62"/>
  <c r="J59" i="62"/>
  <c r="D59" i="62"/>
  <c r="AK58" i="62"/>
  <c r="S58" i="62"/>
  <c r="AK57" i="62"/>
  <c r="V57" i="62"/>
  <c r="S57" i="62"/>
  <c r="M57" i="62"/>
  <c r="G57" i="62"/>
  <c r="AK56" i="62"/>
  <c r="AH56" i="62"/>
  <c r="S56" i="62"/>
  <c r="M56" i="62"/>
  <c r="G56" i="62"/>
  <c r="D56" i="62"/>
  <c r="AK55" i="62"/>
  <c r="AH55" i="62"/>
  <c r="AE55" i="62"/>
  <c r="Y55" i="62"/>
  <c r="V55" i="62"/>
  <c r="S55" i="62"/>
  <c r="M55" i="62"/>
  <c r="J55" i="62"/>
  <c r="G55" i="62"/>
  <c r="D55" i="62"/>
  <c r="S53" i="62"/>
  <c r="S51" i="62"/>
  <c r="AK49" i="62"/>
  <c r="S49" i="62"/>
  <c r="AQ48" i="62"/>
  <c r="AN48" i="62"/>
  <c r="AH46" i="62"/>
  <c r="Y46" i="62"/>
  <c r="J46" i="62"/>
  <c r="D46" i="62"/>
  <c r="AH44" i="62"/>
  <c r="AB44" i="62"/>
  <c r="Y44" i="62"/>
  <c r="S44" i="62"/>
  <c r="M44" i="62"/>
  <c r="J44" i="62"/>
  <c r="G44" i="62"/>
  <c r="D44" i="62"/>
  <c r="AK43" i="62"/>
  <c r="AH43" i="62"/>
  <c r="AB43" i="62"/>
  <c r="Y43" i="62"/>
  <c r="S43" i="62"/>
  <c r="G43" i="62"/>
  <c r="D43" i="62"/>
  <c r="AB42" i="62"/>
  <c r="V42" i="62"/>
  <c r="S42" i="62"/>
  <c r="G42" i="62"/>
  <c r="AK41" i="62"/>
  <c r="AH41" i="62"/>
  <c r="AB41" i="62"/>
  <c r="Y41" i="62"/>
  <c r="V41" i="62"/>
  <c r="S41" i="62"/>
  <c r="M41" i="62"/>
  <c r="J41" i="62"/>
  <c r="G41" i="62"/>
  <c r="D41" i="62"/>
  <c r="AK40" i="62"/>
  <c r="AH40" i="62"/>
  <c r="AB40" i="62"/>
  <c r="Y40" i="62"/>
  <c r="V40" i="62"/>
  <c r="S40" i="62"/>
  <c r="J40" i="62"/>
  <c r="G40" i="62"/>
  <c r="D40" i="62"/>
  <c r="AK38" i="62"/>
  <c r="AH38" i="62"/>
  <c r="AB38" i="62"/>
  <c r="Y38" i="62"/>
  <c r="V38" i="62"/>
  <c r="S38" i="62"/>
  <c r="M38" i="62"/>
  <c r="AK37" i="62"/>
  <c r="AH37" i="62"/>
  <c r="Y37" i="62"/>
  <c r="S37" i="62"/>
  <c r="M37" i="62"/>
  <c r="G37" i="62"/>
  <c r="AK36" i="62"/>
  <c r="AH36" i="62"/>
  <c r="AB36" i="62"/>
  <c r="Y36" i="62"/>
  <c r="V36" i="62"/>
  <c r="S36" i="62"/>
  <c r="M36" i="62"/>
  <c r="G36" i="62"/>
  <c r="G35" i="62"/>
  <c r="AK34" i="62"/>
  <c r="AH34" i="62"/>
  <c r="AB34" i="62"/>
  <c r="Y34" i="62"/>
  <c r="V34" i="62"/>
  <c r="S34" i="62"/>
  <c r="G34" i="62"/>
  <c r="AH33" i="62"/>
  <c r="G33" i="62"/>
  <c r="AK28" i="62"/>
  <c r="AH28" i="62"/>
  <c r="AB28" i="62"/>
  <c r="Y28" i="62"/>
  <c r="V28" i="62"/>
  <c r="S28" i="62"/>
  <c r="M28" i="62"/>
  <c r="J28" i="62"/>
  <c r="G28" i="62"/>
  <c r="D28" i="62"/>
  <c r="AQ26" i="62"/>
  <c r="AN26" i="62"/>
  <c r="AH25" i="62"/>
  <c r="S25" i="62"/>
  <c r="J25" i="62"/>
  <c r="G25" i="62"/>
  <c r="AK24" i="62"/>
  <c r="AB24" i="62"/>
  <c r="S24" i="62"/>
  <c r="AH23" i="62"/>
  <c r="Y23" i="62"/>
  <c r="V23" i="62"/>
  <c r="S23" i="62"/>
  <c r="G23" i="62"/>
  <c r="AK22" i="62"/>
  <c r="AH22" i="62"/>
  <c r="AB22" i="62"/>
  <c r="Y22" i="62"/>
  <c r="S22" i="62"/>
  <c r="M22" i="62"/>
  <c r="J22" i="62"/>
  <c r="G22" i="62"/>
  <c r="D22" i="62"/>
  <c r="AK21" i="62"/>
  <c r="AH21" i="62"/>
  <c r="Y21" i="62"/>
  <c r="V21" i="62"/>
  <c r="S21" i="62"/>
  <c r="M21" i="62"/>
  <c r="J21" i="62"/>
  <c r="G21" i="62"/>
  <c r="D21" i="62"/>
  <c r="AK20" i="62"/>
  <c r="AH20" i="62"/>
  <c r="AB20" i="62"/>
  <c r="Y20" i="62"/>
  <c r="V20" i="62"/>
  <c r="S20" i="62"/>
  <c r="P20" i="62"/>
  <c r="M20" i="62"/>
  <c r="J20" i="62"/>
  <c r="G20" i="62"/>
  <c r="AK19" i="62"/>
  <c r="AH19" i="62"/>
  <c r="AB19" i="62"/>
  <c r="S19" i="62"/>
  <c r="AH18" i="62"/>
  <c r="S18" i="62"/>
  <c r="AH17" i="62"/>
  <c r="AB17" i="62"/>
  <c r="S17" i="62"/>
  <c r="AK27" i="62"/>
  <c r="AK15" i="62"/>
  <c r="AH15" i="62"/>
  <c r="AB15" i="62"/>
  <c r="S15" i="62"/>
  <c r="G15" i="62"/>
  <c r="AH14" i="62"/>
  <c r="S14" i="62"/>
  <c r="L7" i="72" l="1"/>
  <c r="AQ61" i="62"/>
  <c r="AN61" i="62"/>
  <c r="AN84" i="62"/>
  <c r="AQ84" i="62"/>
  <c r="AN18" i="62"/>
  <c r="AN19" i="62"/>
  <c r="AN21" i="62"/>
  <c r="AQ22" i="62"/>
  <c r="AQ14" i="62"/>
  <c r="AQ37" i="62"/>
  <c r="AQ41" i="62"/>
  <c r="AQ52" i="62"/>
  <c r="AE54" i="62"/>
  <c r="AH54" i="62"/>
  <c r="AN59" i="62"/>
  <c r="AN69" i="62"/>
  <c r="AN70" i="62"/>
  <c r="V27" i="62"/>
  <c r="AQ40" i="62"/>
  <c r="AQ46" i="62"/>
  <c r="J14" i="65"/>
  <c r="AN15" i="65"/>
  <c r="AQ16" i="65"/>
  <c r="AN19" i="65"/>
  <c r="AN28" i="65"/>
  <c r="AQ71" i="62"/>
  <c r="AN74" i="62"/>
  <c r="AQ75" i="62"/>
  <c r="AQ81" i="62"/>
  <c r="AN83" i="62"/>
  <c r="AN86" i="62"/>
  <c r="AQ87" i="62"/>
  <c r="AQ89" i="62"/>
  <c r="H26" i="9"/>
  <c r="D47" i="72"/>
  <c r="G26" i="9"/>
  <c r="B26" i="9"/>
  <c r="AN14" i="62"/>
  <c r="AN15" i="62"/>
  <c r="Y27" i="62"/>
  <c r="AN37" i="62"/>
  <c r="AN38" i="62"/>
  <c r="AN51" i="62"/>
  <c r="AN52" i="62"/>
  <c r="AQ55" i="62"/>
  <c r="AQ57" i="62"/>
  <c r="AQ68" i="62"/>
  <c r="AN17" i="65"/>
  <c r="AN20" i="65"/>
  <c r="S16" i="62"/>
  <c r="AQ28" i="62"/>
  <c r="AN33" i="62"/>
  <c r="AN40" i="62"/>
  <c r="AQ42" i="62"/>
  <c r="AN46" i="62"/>
  <c r="AQ69" i="62"/>
  <c r="AQ76" i="62"/>
  <c r="AN77" i="62"/>
  <c r="AN78" i="62"/>
  <c r="AQ82" i="62"/>
  <c r="AQ12" i="65"/>
  <c r="AN13" i="65"/>
  <c r="AN27" i="65"/>
  <c r="AN33" i="65"/>
  <c r="AN44" i="65"/>
  <c r="AQ15" i="62"/>
  <c r="AQ17" i="62"/>
  <c r="AQ19" i="62"/>
  <c r="AQ21" i="62"/>
  <c r="AQ23" i="62"/>
  <c r="AN25" i="62"/>
  <c r="AQ33" i="62"/>
  <c r="AN41" i="62"/>
  <c r="AN42" i="62"/>
  <c r="AN43" i="62"/>
  <c r="AQ53" i="62"/>
  <c r="AN56" i="62"/>
  <c r="AN68" i="62"/>
  <c r="AQ86" i="62"/>
  <c r="AN87" i="62"/>
  <c r="AN88" i="62"/>
  <c r="AN89" i="62"/>
  <c r="AQ19" i="65"/>
  <c r="AH35" i="62"/>
  <c r="Y39" i="62"/>
  <c r="AN58" i="62"/>
  <c r="AN23" i="62"/>
  <c r="AN24" i="62"/>
  <c r="AQ38" i="62"/>
  <c r="S39" i="62"/>
  <c r="AQ43" i="62"/>
  <c r="AN44" i="62"/>
  <c r="AQ49" i="62"/>
  <c r="AQ51" i="62"/>
  <c r="AN55" i="62"/>
  <c r="AQ56" i="62"/>
  <c r="AQ58" i="62"/>
  <c r="AQ59" i="62"/>
  <c r="AQ70" i="62"/>
  <c r="AQ74" i="62"/>
  <c r="AN75" i="62"/>
  <c r="AN76" i="62"/>
  <c r="AQ77" i="62"/>
  <c r="AQ78" i="62"/>
  <c r="AN82" i="62"/>
  <c r="AQ15" i="65"/>
  <c r="AQ20" i="65"/>
  <c r="G21" i="65"/>
  <c r="AH21" i="65"/>
  <c r="AN38" i="65"/>
  <c r="AN39" i="65"/>
  <c r="J29" i="65"/>
  <c r="M54" i="62"/>
  <c r="AK79" i="62"/>
  <c r="AB16" i="62"/>
  <c r="G54" i="62"/>
  <c r="AB14" i="65"/>
  <c r="S29" i="65"/>
  <c r="AN40" i="65"/>
  <c r="V85" i="62"/>
  <c r="AH16" i="62"/>
  <c r="D14" i="65"/>
  <c r="AH29" i="65"/>
  <c r="AQ18" i="62"/>
  <c r="AN49" i="62"/>
  <c r="AN71" i="62"/>
  <c r="AQ88" i="62"/>
  <c r="AN12" i="65"/>
  <c r="AN26" i="65"/>
  <c r="M35" i="62"/>
  <c r="AK35" i="62"/>
  <c r="AN36" i="62"/>
  <c r="V39" i="62"/>
  <c r="AB39" i="62"/>
  <c r="AK54" i="62"/>
  <c r="AQ73" i="62"/>
  <c r="AK16" i="62"/>
  <c r="AN17" i="62"/>
  <c r="AN20" i="62"/>
  <c r="AQ24" i="62"/>
  <c r="AN28" i="62"/>
  <c r="AQ34" i="62"/>
  <c r="AQ36" i="62"/>
  <c r="AQ44" i="62"/>
  <c r="AN53" i="62"/>
  <c r="D54" i="62"/>
  <c r="J54" i="62"/>
  <c r="AN73" i="62"/>
  <c r="AH79" i="62"/>
  <c r="AN81" i="62"/>
  <c r="AQ83" i="62"/>
  <c r="S85" i="62"/>
  <c r="Y85" i="62"/>
  <c r="AN11" i="65"/>
  <c r="AQ13" i="65"/>
  <c r="P14" i="65"/>
  <c r="AN16" i="65"/>
  <c r="AQ17" i="65"/>
  <c r="M21" i="65"/>
  <c r="AN23" i="65"/>
  <c r="AN24" i="65"/>
  <c r="AN25" i="65"/>
  <c r="G29" i="65"/>
  <c r="AN32" i="65"/>
  <c r="AQ25" i="62"/>
  <c r="AN57" i="62"/>
  <c r="AN22" i="62"/>
  <c r="AQ11" i="65"/>
  <c r="V14" i="65"/>
  <c r="AE34" i="65"/>
  <c r="S21" i="65"/>
  <c r="AK21" i="65"/>
  <c r="D29" i="65"/>
  <c r="M29" i="65"/>
  <c r="AN37" i="65"/>
  <c r="G34" i="65"/>
  <c r="S14" i="65"/>
  <c r="J21" i="65"/>
  <c r="V21" i="65"/>
  <c r="AE21" i="65"/>
  <c r="AK29" i="65"/>
  <c r="AB34" i="65"/>
  <c r="AB29" i="65"/>
  <c r="AN30" i="65"/>
  <c r="V29" i="65"/>
  <c r="G14" i="65"/>
  <c r="M14" i="65"/>
  <c r="AE14" i="65"/>
  <c r="D21" i="65"/>
  <c r="P21" i="65"/>
  <c r="AH14" i="65"/>
  <c r="Y21" i="65"/>
  <c r="AN31" i="65"/>
  <c r="AN42" i="65"/>
  <c r="S27" i="62"/>
  <c r="P29" i="62"/>
  <c r="G27" i="62"/>
  <c r="J27" i="62"/>
  <c r="D27" i="62"/>
  <c r="M27" i="62"/>
  <c r="AE29" i="62"/>
  <c r="V35" i="62"/>
  <c r="AN16" i="62"/>
  <c r="AN34" i="62"/>
  <c r="S35" i="62"/>
  <c r="M39" i="62"/>
  <c r="AH39" i="62"/>
  <c r="AQ16" i="62"/>
  <c r="D20" i="62"/>
  <c r="AQ20" i="62"/>
  <c r="Y35" i="62"/>
  <c r="G39" i="62"/>
  <c r="AK39" i="62"/>
  <c r="D39" i="62"/>
  <c r="AB35" i="62"/>
  <c r="J39" i="62"/>
  <c r="V54" i="62"/>
  <c r="G79" i="62"/>
  <c r="M79" i="62"/>
  <c r="S79" i="62"/>
  <c r="Y79" i="62"/>
  <c r="G85" i="62"/>
  <c r="M85" i="62"/>
  <c r="AK85" i="62"/>
  <c r="S91" i="62"/>
  <c r="S50" i="62"/>
  <c r="S54" i="62"/>
  <c r="Y54" i="62"/>
  <c r="D79" i="62"/>
  <c r="J79" i="62"/>
  <c r="P79" i="62"/>
  <c r="V79" i="62"/>
  <c r="AB79" i="62"/>
  <c r="D85" i="62"/>
  <c r="J85" i="62"/>
  <c r="AE85" i="62"/>
  <c r="AH85" i="62"/>
  <c r="C26" i="9" l="1"/>
  <c r="C65" i="9" s="1"/>
  <c r="AQ39" i="62"/>
  <c r="B65" i="9"/>
  <c r="M26" i="8"/>
  <c r="AH27" i="62"/>
  <c r="AN27" i="62"/>
  <c r="AQ27" i="62"/>
  <c r="AB27" i="62"/>
  <c r="AQ14" i="65"/>
  <c r="AQ21" i="65"/>
  <c r="AN35" i="62"/>
  <c r="P91" i="62"/>
  <c r="AQ79" i="62"/>
  <c r="AN79" i="62"/>
  <c r="P34" i="65"/>
  <c r="J34" i="65"/>
  <c r="G41" i="65"/>
  <c r="AN29" i="65"/>
  <c r="AN14" i="65"/>
  <c r="AH34" i="65"/>
  <c r="AN21" i="65"/>
  <c r="M34" i="65"/>
  <c r="AB41" i="65"/>
  <c r="AK34" i="65"/>
  <c r="V34" i="65"/>
  <c r="D34" i="65"/>
  <c r="Y34" i="65"/>
  <c r="S34" i="65"/>
  <c r="V60" i="62"/>
  <c r="AH29" i="62"/>
  <c r="AB29" i="62"/>
  <c r="AN85" i="62"/>
  <c r="AK60" i="62"/>
  <c r="V91" i="62"/>
  <c r="AQ85" i="62"/>
  <c r="AQ54" i="62"/>
  <c r="Y91" i="62"/>
  <c r="AQ50" i="62"/>
  <c r="AB45" i="62"/>
  <c r="V45" i="62"/>
  <c r="J29" i="62"/>
  <c r="Y29" i="62"/>
  <c r="J91" i="62"/>
  <c r="D91" i="62"/>
  <c r="D45" i="62"/>
  <c r="AE60" i="62"/>
  <c r="AE91" i="62"/>
  <c r="AK45" i="62"/>
  <c r="AK91" i="62"/>
  <c r="J60" i="62"/>
  <c r="AN50" i="62"/>
  <c r="M45" i="62"/>
  <c r="Y45" i="62"/>
  <c r="AN54" i="62"/>
  <c r="S45" i="62"/>
  <c r="AK29" i="62"/>
  <c r="M29" i="62"/>
  <c r="AN29" i="62"/>
  <c r="D29" i="62"/>
  <c r="AQ29" i="62"/>
  <c r="G29" i="62"/>
  <c r="S29" i="62"/>
  <c r="G60" i="62"/>
  <c r="AB91" i="62"/>
  <c r="S60" i="62"/>
  <c r="M60" i="62"/>
  <c r="M91" i="62"/>
  <c r="Y60" i="62"/>
  <c r="AH45" i="62"/>
  <c r="AH60" i="62"/>
  <c r="D60" i="62"/>
  <c r="AH91" i="62"/>
  <c r="G91" i="62"/>
  <c r="AQ35" i="62"/>
  <c r="G45" i="62"/>
  <c r="AN39" i="62"/>
  <c r="J45" i="62"/>
  <c r="V29" i="62"/>
  <c r="D65" i="9" l="1"/>
  <c r="N26" i="8"/>
  <c r="AE41" i="65"/>
  <c r="AN91" i="62"/>
  <c r="AN34" i="65"/>
  <c r="V41" i="65"/>
  <c r="AB43" i="65"/>
  <c r="M41" i="65"/>
  <c r="G43" i="65"/>
  <c r="J41" i="65"/>
  <c r="S41" i="65"/>
  <c r="Y41" i="65"/>
  <c r="D41" i="65"/>
  <c r="AN41" i="65"/>
  <c r="AH41" i="65"/>
  <c r="P41" i="65"/>
  <c r="AK41" i="65"/>
  <c r="AE43" i="65"/>
  <c r="AH64" i="62"/>
  <c r="J64" i="62"/>
  <c r="D62" i="62"/>
  <c r="G62" i="62"/>
  <c r="AN60" i="62"/>
  <c r="AK64" i="62"/>
  <c r="M62" i="62"/>
  <c r="AK62" i="62"/>
  <c r="AB62" i="62"/>
  <c r="V64" i="62"/>
  <c r="AE62" i="62"/>
  <c r="AH62" i="62"/>
  <c r="AQ91" i="62"/>
  <c r="AN45" i="62"/>
  <c r="V62" i="62"/>
  <c r="J62" i="62"/>
  <c r="AQ60" i="62"/>
  <c r="S64" i="62"/>
  <c r="M64" i="62"/>
  <c r="S62" i="62"/>
  <c r="Y62" i="62"/>
  <c r="AQ45" i="62"/>
  <c r="G33" i="4"/>
  <c r="I33" i="4" l="1"/>
  <c r="H33" i="4"/>
  <c r="AK43" i="65"/>
  <c r="P43" i="65"/>
  <c r="AN43" i="65"/>
  <c r="D43" i="65"/>
  <c r="S43" i="65"/>
  <c r="G45" i="65"/>
  <c r="M43" i="65"/>
  <c r="J43" i="65"/>
  <c r="AB45" i="65"/>
  <c r="V43" i="65"/>
  <c r="AE45" i="65"/>
  <c r="AH43" i="65"/>
  <c r="Y43" i="65"/>
  <c r="D64" i="62"/>
  <c r="Y64" i="62"/>
  <c r="AE64" i="62"/>
  <c r="G64" i="62"/>
  <c r="AN62" i="62"/>
  <c r="AB64" i="62"/>
  <c r="P64" i="62"/>
  <c r="AQ62" i="62"/>
  <c r="M33" i="35" l="1"/>
  <c r="M33" i="18"/>
  <c r="M33" i="29"/>
  <c r="M33" i="23"/>
  <c r="M33" i="33"/>
  <c r="M33" i="20"/>
  <c r="J33" i="4"/>
  <c r="Y45" i="65"/>
  <c r="M45" i="65"/>
  <c r="S45" i="65"/>
  <c r="P45" i="65"/>
  <c r="V45" i="65"/>
  <c r="AH45" i="65"/>
  <c r="J45" i="65"/>
  <c r="D45" i="65"/>
  <c r="AK45" i="65"/>
  <c r="AQ64" i="62"/>
  <c r="AN64" i="62"/>
  <c r="K9" i="18"/>
  <c r="K8" i="18"/>
  <c r="AN45" i="65" l="1"/>
  <c r="D22" i="18"/>
  <c r="D29" i="18"/>
  <c r="H124" i="18"/>
  <c r="H10" i="18"/>
  <c r="D7" i="18"/>
  <c r="D10" i="18"/>
  <c r="H116" i="18"/>
  <c r="H117" i="18"/>
  <c r="H121" i="18"/>
  <c r="K7" i="18"/>
  <c r="J88" i="18"/>
  <c r="H113" i="18"/>
  <c r="H125" i="18"/>
  <c r="K113" i="18"/>
  <c r="K99" i="18"/>
  <c r="H7" i="18"/>
  <c r="K11" i="18"/>
  <c r="J67" i="18"/>
  <c r="D99" i="18"/>
  <c r="J109" i="18"/>
  <c r="J112" i="18"/>
  <c r="J116"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124" i="18"/>
  <c r="D48" i="18"/>
  <c r="K67" i="18"/>
  <c r="D120" i="18"/>
  <c r="J11" i="18"/>
  <c r="J108" i="18"/>
  <c r="D112" i="18"/>
  <c r="K116" i="18"/>
  <c r="D116" i="18"/>
  <c r="H22" i="18"/>
  <c r="D78" i="18"/>
  <c r="D108" i="18"/>
  <c r="J125" i="18"/>
  <c r="J9" i="18"/>
  <c r="L9" i="18" s="1"/>
  <c r="D9" i="18"/>
  <c r="J28" i="18"/>
  <c r="J12" i="18"/>
  <c r="J7" i="18"/>
  <c r="J10" i="18"/>
  <c r="J8" i="18"/>
  <c r="L8" i="18" s="1"/>
  <c r="D8" i="18"/>
  <c r="J78" i="18"/>
  <c r="K125" i="18"/>
  <c r="K88" i="18"/>
  <c r="D87" i="18" l="1"/>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6" i="18"/>
  <c r="L11" i="18"/>
  <c r="L67" i="18"/>
  <c r="K111" i="18"/>
  <c r="L112" i="18"/>
  <c r="L124"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L9" i="37" l="1"/>
  <c r="L8" i="37"/>
  <c r="L76" i="33"/>
  <c r="L119" i="18"/>
  <c r="L97" i="33"/>
  <c r="L97" i="29"/>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J116" i="37"/>
  <c r="K109" i="37"/>
  <c r="D35" i="37"/>
  <c r="J12" i="37"/>
  <c r="J7" i="37"/>
  <c r="H75" i="37"/>
  <c r="D48"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H109" i="37"/>
  <c r="D86" i="37"/>
  <c r="K117" i="37"/>
  <c r="K112" i="37"/>
  <c r="D88" i="37"/>
  <c r="H11" i="37"/>
  <c r="D10" i="37"/>
  <c r="K35" i="37"/>
  <c r="D57" i="37"/>
  <c r="D54" i="37"/>
  <c r="K34" i="37"/>
  <c r="H12" i="37"/>
  <c r="K37" i="37"/>
  <c r="L37" i="37" s="1"/>
  <c r="D37" i="37"/>
  <c r="H10" i="37"/>
  <c r="K36" i="37"/>
  <c r="L36" i="37" s="1"/>
  <c r="D36" i="37"/>
  <c r="J11" i="37"/>
  <c r="L122" i="37" l="1"/>
  <c r="J76" i="4"/>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H87" i="37"/>
  <c r="L111" i="37"/>
  <c r="L119" i="37"/>
  <c r="L89" i="37" l="1"/>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G31" i="4" l="1"/>
  <c r="G23" i="4" l="1"/>
  <c r="G24" i="4"/>
  <c r="G30" i="4"/>
  <c r="G25" i="4"/>
  <c r="G32" i="4"/>
  <c r="D32" i="4"/>
  <c r="D24" i="4"/>
  <c r="I23" i="37"/>
  <c r="I25" i="37"/>
  <c r="I25" i="18"/>
  <c r="I30" i="37"/>
  <c r="I30" i="18"/>
  <c r="I31" i="37"/>
  <c r="I31" i="18"/>
  <c r="G26" i="4"/>
  <c r="D25" i="4"/>
  <c r="I24" i="37"/>
  <c r="I32" i="37"/>
  <c r="I32" i="18"/>
  <c r="D30" i="4"/>
  <c r="D31" i="4"/>
  <c r="E29" i="18" l="1"/>
  <c r="E29" i="23"/>
  <c r="E29" i="29"/>
  <c r="E29" i="33"/>
  <c r="E29" i="20"/>
  <c r="E29" i="24"/>
  <c r="E29" i="51"/>
  <c r="E29" i="37"/>
  <c r="E29" i="13"/>
  <c r="I23" i="18"/>
  <c r="D23" i="4"/>
  <c r="I26" i="4"/>
  <c r="M26" i="29" s="1"/>
  <c r="H26" i="4"/>
  <c r="F26" i="10"/>
  <c r="F16" i="10"/>
  <c r="F34" i="10"/>
  <c r="I26" i="29"/>
  <c r="I26" i="20"/>
  <c r="I26" i="23"/>
  <c r="I26" i="33"/>
  <c r="I26" i="37"/>
  <c r="I26" i="35"/>
  <c r="I26" i="18"/>
  <c r="G16" i="10"/>
  <c r="G26" i="10"/>
  <c r="G34" i="10"/>
  <c r="J26" i="4" l="1"/>
  <c r="M26" i="20"/>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G56" i="10" l="1"/>
  <c r="G60" i="10"/>
  <c r="F60" i="10" l="1"/>
  <c r="F56" i="10"/>
  <c r="K28" i="10" l="1"/>
  <c r="J28" i="10"/>
  <c r="K9" i="33" l="1"/>
  <c r="K9" i="29"/>
  <c r="K8" i="51"/>
  <c r="K8" i="29"/>
  <c r="K9" i="41"/>
  <c r="K8" i="33"/>
  <c r="K8" i="41"/>
  <c r="K9" i="51"/>
  <c r="K8" i="25"/>
  <c r="K8" i="24"/>
  <c r="K9" i="25"/>
  <c r="K9" i="24"/>
  <c r="K8" i="22"/>
  <c r="K9" i="22"/>
  <c r="K9" i="20"/>
  <c r="K8" i="20"/>
  <c r="K8" i="19"/>
  <c r="J36" i="13"/>
  <c r="K9" i="19"/>
  <c r="K39" i="13"/>
  <c r="K37" i="13"/>
  <c r="J39" i="13"/>
  <c r="J37" i="13"/>
  <c r="K36" i="13"/>
  <c r="K8" i="13"/>
  <c r="K9" i="13"/>
  <c r="G15" i="9" l="1"/>
  <c r="B16" i="10"/>
  <c r="H40" i="9"/>
  <c r="C37" i="9"/>
  <c r="B15" i="10"/>
  <c r="B33" i="10"/>
  <c r="B9" i="10"/>
  <c r="E48" i="72"/>
  <c r="B41" i="10"/>
  <c r="B20" i="10"/>
  <c r="F42" i="10"/>
  <c r="G75" i="4"/>
  <c r="F25" i="10"/>
  <c r="B44" i="10"/>
  <c r="E28" i="18"/>
  <c r="G20" i="9"/>
  <c r="D28" i="4"/>
  <c r="G113" i="4"/>
  <c r="F20" i="10"/>
  <c r="F30" i="10"/>
  <c r="G37" i="9"/>
  <c r="B25" i="10"/>
  <c r="B13" i="10"/>
  <c r="G116" i="4"/>
  <c r="F9" i="10"/>
  <c r="B30" i="10"/>
  <c r="G109" i="4"/>
  <c r="H18" i="9"/>
  <c r="G16" i="9"/>
  <c r="M65" i="8" s="1"/>
  <c r="F41" i="10"/>
  <c r="F15" i="10"/>
  <c r="G112" i="4"/>
  <c r="G117" i="4"/>
  <c r="B23" i="10"/>
  <c r="G13" i="9"/>
  <c r="G14" i="9"/>
  <c r="H23" i="9"/>
  <c r="C35" i="9"/>
  <c r="G17" i="9"/>
  <c r="M66" i="8" s="1"/>
  <c r="B41" i="9"/>
  <c r="B42" i="9"/>
  <c r="C42" i="9"/>
  <c r="C39" i="9"/>
  <c r="G21" i="9"/>
  <c r="M70" i="8" s="1"/>
  <c r="C40" i="9"/>
  <c r="H41" i="9"/>
  <c r="H13" i="9"/>
  <c r="H36" i="9"/>
  <c r="G12" i="9"/>
  <c r="C36" i="9"/>
  <c r="G19" i="9"/>
  <c r="H19" i="9"/>
  <c r="G24" i="9"/>
  <c r="G30" i="9"/>
  <c r="H35" i="9"/>
  <c r="H11" i="9"/>
  <c r="H37" i="9"/>
  <c r="H39" i="9"/>
  <c r="C41" i="9"/>
  <c r="G11" i="9"/>
  <c r="H12" i="9"/>
  <c r="C38" i="9"/>
  <c r="G22" i="9"/>
  <c r="G25" i="9"/>
  <c r="H42" i="9"/>
  <c r="G27" i="9"/>
  <c r="G29" i="9"/>
  <c r="G35" i="9"/>
  <c r="G23" i="9"/>
  <c r="B35" i="9"/>
  <c r="B40" i="9"/>
  <c r="B36" i="9"/>
  <c r="K135" i="26"/>
  <c r="K7" i="35"/>
  <c r="H29" i="29"/>
  <c r="K121" i="13"/>
  <c r="H121" i="33"/>
  <c r="H29" i="20"/>
  <c r="H125" i="33"/>
  <c r="H68" i="29"/>
  <c r="K113" i="33"/>
  <c r="H68" i="35"/>
  <c r="H29" i="13"/>
  <c r="K68" i="20"/>
  <c r="K12" i="29"/>
  <c r="J86" i="29"/>
  <c r="K108" i="33"/>
  <c r="H22" i="33"/>
  <c r="K68" i="33"/>
  <c r="H35" i="29"/>
  <c r="H34" i="13"/>
  <c r="H121" i="27"/>
  <c r="D55" i="39"/>
  <c r="K89" i="27"/>
  <c r="K108" i="27"/>
  <c r="H121" i="35"/>
  <c r="K22" i="51"/>
  <c r="K135" i="34"/>
  <c r="K134" i="26"/>
  <c r="K113" i="29"/>
  <c r="H100" i="29"/>
  <c r="K137" i="26"/>
  <c r="K116" i="29"/>
  <c r="J79" i="29"/>
  <c r="K28" i="51"/>
  <c r="H89" i="29"/>
  <c r="K12" i="33"/>
  <c r="K116" i="33"/>
  <c r="K29" i="51"/>
  <c r="H34" i="33"/>
  <c r="H12" i="33"/>
  <c r="H79" i="27"/>
  <c r="H125" i="29"/>
  <c r="K109" i="20"/>
  <c r="K108" i="23"/>
  <c r="K22" i="23"/>
  <c r="K100" i="27"/>
  <c r="K107" i="33"/>
  <c r="K100" i="33"/>
  <c r="K75" i="33"/>
  <c r="K122" i="33"/>
  <c r="H86" i="35"/>
  <c r="K114" i="33"/>
  <c r="H29" i="33"/>
  <c r="D58" i="39"/>
  <c r="D58" i="22"/>
  <c r="H75" i="33"/>
  <c r="D37" i="13"/>
  <c r="K89" i="20"/>
  <c r="H100" i="20"/>
  <c r="K89" i="23"/>
  <c r="K68" i="23"/>
  <c r="K28" i="24"/>
  <c r="H135" i="26"/>
  <c r="H22" i="29"/>
  <c r="K113" i="35"/>
  <c r="K12" i="35"/>
  <c r="K109" i="35"/>
  <c r="H12" i="35"/>
  <c r="H96" i="33"/>
  <c r="H117" i="33"/>
  <c r="K100" i="20"/>
  <c r="K28" i="25"/>
  <c r="K136" i="34"/>
  <c r="K96" i="33"/>
  <c r="H35" i="33"/>
  <c r="D49" i="33"/>
  <c r="K117" i="33"/>
  <c r="H100" i="27"/>
  <c r="H109" i="35"/>
  <c r="K28" i="23"/>
  <c r="K124" i="33"/>
  <c r="H114" i="33"/>
  <c r="K113" i="20"/>
  <c r="K109" i="27"/>
  <c r="K89" i="33"/>
  <c r="K11" i="35"/>
  <c r="D58" i="33"/>
  <c r="H113" i="35"/>
  <c r="H100" i="23"/>
  <c r="B21" i="10"/>
  <c r="K109" i="23"/>
  <c r="H109" i="27"/>
  <c r="K10" i="35"/>
  <c r="K34" i="13"/>
  <c r="K107" i="13"/>
  <c r="K121" i="23"/>
  <c r="H109" i="23"/>
  <c r="H22" i="23"/>
  <c r="H89" i="35"/>
  <c r="H100" i="33"/>
  <c r="H68" i="33"/>
  <c r="K125" i="33"/>
  <c r="D49" i="39"/>
  <c r="K7" i="13"/>
  <c r="K7" i="19"/>
  <c r="K10" i="29"/>
  <c r="H7" i="23"/>
  <c r="H7" i="29"/>
  <c r="H7" i="33"/>
  <c r="K10" i="33"/>
  <c r="H10" i="13"/>
  <c r="K7" i="23"/>
  <c r="K11" i="33"/>
  <c r="K7" i="29"/>
  <c r="H10" i="35"/>
  <c r="H11" i="13"/>
  <c r="H89" i="20"/>
  <c r="K22" i="13"/>
  <c r="K29" i="13"/>
  <c r="H79" i="13"/>
  <c r="K100" i="13"/>
  <c r="K116" i="13"/>
  <c r="K10" i="13"/>
  <c r="H121" i="13"/>
  <c r="K7" i="20"/>
  <c r="K10" i="20"/>
  <c r="K22" i="24"/>
  <c r="D49" i="26"/>
  <c r="K11" i="29"/>
  <c r="H22" i="35"/>
  <c r="H113" i="29"/>
  <c r="H7" i="35"/>
  <c r="H11" i="35"/>
  <c r="K7" i="33"/>
  <c r="H89" i="33"/>
  <c r="H107" i="33"/>
  <c r="K121" i="33"/>
  <c r="H89" i="13"/>
  <c r="K109" i="13"/>
  <c r="K67" i="13"/>
  <c r="K11" i="13"/>
  <c r="H22" i="20"/>
  <c r="H113" i="33"/>
  <c r="H107" i="35"/>
  <c r="H12" i="23"/>
  <c r="H136" i="26"/>
  <c r="H89" i="27"/>
  <c r="K28" i="29"/>
  <c r="K34" i="29"/>
  <c r="H134" i="26"/>
  <c r="K117" i="29"/>
  <c r="H35" i="35"/>
  <c r="H79" i="23"/>
  <c r="H89" i="23"/>
  <c r="H117" i="23"/>
  <c r="K35" i="29"/>
  <c r="H117" i="29"/>
  <c r="D49" i="13"/>
  <c r="H38" i="9"/>
  <c r="H43" i="9"/>
  <c r="D39" i="13"/>
  <c r="H22" i="13"/>
  <c r="H113" i="20"/>
  <c r="H7" i="13"/>
  <c r="K35" i="13"/>
  <c r="K108" i="13"/>
  <c r="K12" i="13"/>
  <c r="H107" i="13"/>
  <c r="C43" i="9"/>
  <c r="D48" i="13"/>
  <c r="J10" i="13"/>
  <c r="D10" i="13"/>
  <c r="K28" i="13"/>
  <c r="K68" i="13"/>
  <c r="K112" i="13"/>
  <c r="K117" i="13"/>
  <c r="H35" i="13"/>
  <c r="J89" i="13"/>
  <c r="D89" i="13"/>
  <c r="D11" i="13"/>
  <c r="J11" i="13"/>
  <c r="J9" i="19"/>
  <c r="L9" i="19" s="1"/>
  <c r="D9" i="19"/>
  <c r="B34" i="9"/>
  <c r="K113" i="13"/>
  <c r="J9" i="13"/>
  <c r="L9" i="13" s="1"/>
  <c r="D9" i="13"/>
  <c r="H68" i="13"/>
  <c r="J88" i="13"/>
  <c r="D88" i="13"/>
  <c r="H100" i="13"/>
  <c r="H12" i="13"/>
  <c r="C34" i="9"/>
  <c r="H34" i="9"/>
  <c r="G34" i="9"/>
  <c r="D78" i="13"/>
  <c r="J78" i="13"/>
  <c r="J12" i="13"/>
  <c r="D12" i="13"/>
  <c r="K120" i="13"/>
  <c r="L109" i="20"/>
  <c r="K88" i="13"/>
  <c r="H117" i="13"/>
  <c r="D35" i="13"/>
  <c r="J35" i="13"/>
  <c r="J68" i="13"/>
  <c r="K86" i="13"/>
  <c r="K89" i="13"/>
  <c r="J107" i="13"/>
  <c r="D107" i="13"/>
  <c r="D112" i="13"/>
  <c r="J112" i="13"/>
  <c r="J117" i="13"/>
  <c r="D86" i="13"/>
  <c r="J86" i="13"/>
  <c r="J125" i="13"/>
  <c r="G10" i="9"/>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K79" i="20"/>
  <c r="K121" i="20"/>
  <c r="H77" i="20"/>
  <c r="D54" i="22"/>
  <c r="D22" i="23"/>
  <c r="J22" i="23"/>
  <c r="D28" i="24"/>
  <c r="J28" i="24"/>
  <c r="D28" i="25"/>
  <c r="J28" i="25"/>
  <c r="J100" i="27"/>
  <c r="J112" i="23"/>
  <c r="D112" i="23"/>
  <c r="J22" i="24"/>
  <c r="D22" i="24"/>
  <c r="J88" i="27"/>
  <c r="D88" i="27"/>
  <c r="D8" i="22"/>
  <c r="J8" i="22"/>
  <c r="L8" i="22" s="1"/>
  <c r="D29" i="23"/>
  <c r="J29" i="23"/>
  <c r="K112" i="23"/>
  <c r="D7" i="24"/>
  <c r="J7" i="24"/>
  <c r="J22" i="51"/>
  <c r="L22" i="51" s="1"/>
  <c r="D22" i="51"/>
  <c r="K11" i="23"/>
  <c r="K35" i="23"/>
  <c r="J117" i="23"/>
  <c r="K29" i="24"/>
  <c r="D48" i="25"/>
  <c r="D9" i="22"/>
  <c r="J9" i="22"/>
  <c r="L9" i="22" s="1"/>
  <c r="K12" i="23"/>
  <c r="K67" i="23"/>
  <c r="D78" i="23"/>
  <c r="K78" i="23"/>
  <c r="J108" i="23"/>
  <c r="D108" i="23"/>
  <c r="H113" i="23"/>
  <c r="J68" i="27"/>
  <c r="K88" i="27"/>
  <c r="H20" i="9"/>
  <c r="D67" i="29"/>
  <c r="K67" i="29"/>
  <c r="J75" i="33"/>
  <c r="D75" i="33"/>
  <c r="D48" i="26"/>
  <c r="K67" i="27"/>
  <c r="J79" i="27"/>
  <c r="J121" i="27"/>
  <c r="D48" i="51"/>
  <c r="D54" i="40"/>
  <c r="J28" i="29"/>
  <c r="D28" i="29"/>
  <c r="D136" i="26"/>
  <c r="J136" i="26"/>
  <c r="H68" i="27"/>
  <c r="H117" i="27"/>
  <c r="K10" i="41"/>
  <c r="D7" i="29"/>
  <c r="J7" i="29"/>
  <c r="J10" i="35"/>
  <c r="L8" i="41"/>
  <c r="D8" i="41"/>
  <c r="J12" i="29"/>
  <c r="D9" i="41"/>
  <c r="L9" i="41"/>
  <c r="H12" i="29"/>
  <c r="J109" i="29"/>
  <c r="D109" i="29"/>
  <c r="K120" i="29"/>
  <c r="D68" i="29"/>
  <c r="J68" i="29"/>
  <c r="D86" i="29"/>
  <c r="K86" i="29"/>
  <c r="K89" i="29"/>
  <c r="K107" i="29"/>
  <c r="J112" i="29"/>
  <c r="D112" i="29"/>
  <c r="D116" i="29"/>
  <c r="J116" i="29"/>
  <c r="H121" i="29"/>
  <c r="J7" i="35"/>
  <c r="L7" i="35" s="1"/>
  <c r="K22" i="35"/>
  <c r="K29" i="35"/>
  <c r="J10" i="33"/>
  <c r="D10" i="33"/>
  <c r="J68" i="33"/>
  <c r="D68" i="33"/>
  <c r="J125" i="35"/>
  <c r="D54" i="33"/>
  <c r="J86" i="35"/>
  <c r="J89" i="35"/>
  <c r="J107" i="35"/>
  <c r="D57" i="33"/>
  <c r="K78" i="33"/>
  <c r="K77" i="33"/>
  <c r="K112" i="33"/>
  <c r="K121" i="35"/>
  <c r="J8" i="33"/>
  <c r="L8" i="33" s="1"/>
  <c r="D8" i="33"/>
  <c r="H11" i="33"/>
  <c r="K35" i="33"/>
  <c r="D96" i="33"/>
  <c r="J96" i="33"/>
  <c r="J108" i="33"/>
  <c r="D108" i="33"/>
  <c r="D124" i="33"/>
  <c r="J124" i="33"/>
  <c r="L124" i="33" s="1"/>
  <c r="K110" i="33"/>
  <c r="D116" i="33"/>
  <c r="J116" i="33"/>
  <c r="D54" i="39"/>
  <c r="J8" i="13"/>
  <c r="L8" i="13" s="1"/>
  <c r="D8" i="13"/>
  <c r="J28" i="13"/>
  <c r="D28" i="13"/>
  <c r="J34" i="13"/>
  <c r="D34" i="13"/>
  <c r="D67" i="13"/>
  <c r="J67" i="13"/>
  <c r="K79" i="13"/>
  <c r="D100" i="13"/>
  <c r="J100" i="13"/>
  <c r="J116" i="13"/>
  <c r="D116" i="13"/>
  <c r="J121" i="13"/>
  <c r="D113" i="20"/>
  <c r="J113" i="20"/>
  <c r="K125" i="13"/>
  <c r="J8" i="19"/>
  <c r="L8" i="19" s="1"/>
  <c r="D8" i="19"/>
  <c r="D79" i="20"/>
  <c r="J79" i="20"/>
  <c r="J121" i="20"/>
  <c r="D121" i="20"/>
  <c r="D57" i="22"/>
  <c r="J9" i="20"/>
  <c r="L9" i="20" s="1"/>
  <c r="D9" i="20"/>
  <c r="H68" i="20"/>
  <c r="K22" i="20"/>
  <c r="K29" i="20"/>
  <c r="H79" i="20"/>
  <c r="H121" i="20"/>
  <c r="J113" i="23"/>
  <c r="J125" i="27"/>
  <c r="K7" i="22"/>
  <c r="J12" i="35"/>
  <c r="D49" i="22"/>
  <c r="J10" i="23"/>
  <c r="J34" i="23"/>
  <c r="K113" i="23"/>
  <c r="J125" i="23"/>
  <c r="J8" i="24"/>
  <c r="L8" i="24" s="1"/>
  <c r="D8" i="24"/>
  <c r="J7" i="25"/>
  <c r="D7" i="25"/>
  <c r="D29" i="51"/>
  <c r="J29" i="51"/>
  <c r="J12" i="23"/>
  <c r="J78" i="23"/>
  <c r="K7" i="24"/>
  <c r="D10" i="24"/>
  <c r="J10" i="24"/>
  <c r="H29" i="23"/>
  <c r="J68" i="23"/>
  <c r="K79" i="23"/>
  <c r="J88" i="23"/>
  <c r="D88" i="23"/>
  <c r="K99" i="23"/>
  <c r="J109" i="23"/>
  <c r="K120" i="23"/>
  <c r="K10" i="24"/>
  <c r="D48" i="40"/>
  <c r="J29" i="29"/>
  <c r="D29" i="29"/>
  <c r="D112" i="27"/>
  <c r="J112" i="27"/>
  <c r="J117" i="27"/>
  <c r="D48" i="41"/>
  <c r="K68" i="27"/>
  <c r="K112" i="27"/>
  <c r="K117" i="27"/>
  <c r="D134" i="26"/>
  <c r="J134" i="26"/>
  <c r="D137" i="26"/>
  <c r="J137" i="26"/>
  <c r="H113" i="27"/>
  <c r="K7" i="51"/>
  <c r="K10" i="51"/>
  <c r="J78" i="29"/>
  <c r="D78" i="29"/>
  <c r="J22" i="29"/>
  <c r="D22" i="29"/>
  <c r="K68" i="29"/>
  <c r="J88" i="29"/>
  <c r="D88" i="29"/>
  <c r="J11" i="33"/>
  <c r="J121" i="29"/>
  <c r="J134" i="34"/>
  <c r="D134" i="34"/>
  <c r="H29" i="35"/>
  <c r="K108" i="29"/>
  <c r="D48" i="34"/>
  <c r="J22" i="35"/>
  <c r="J29" i="35"/>
  <c r="H77" i="29"/>
  <c r="H107" i="29"/>
  <c r="K112" i="29"/>
  <c r="J117" i="29"/>
  <c r="J135" i="34"/>
  <c r="D135" i="34"/>
  <c r="K34" i="35"/>
  <c r="J117" i="35"/>
  <c r="J9" i="33"/>
  <c r="L9" i="33" s="1"/>
  <c r="D9" i="33"/>
  <c r="J78" i="33"/>
  <c r="D78" i="33"/>
  <c r="J22" i="33"/>
  <c r="D22" i="33"/>
  <c r="J29" i="33"/>
  <c r="D29" i="33"/>
  <c r="J67" i="33"/>
  <c r="K79" i="33"/>
  <c r="K86" i="35"/>
  <c r="K89" i="35"/>
  <c r="K107" i="35"/>
  <c r="H117" i="35"/>
  <c r="H77" i="33"/>
  <c r="J99" i="33"/>
  <c r="D99" i="33"/>
  <c r="D109" i="33"/>
  <c r="J109" i="33"/>
  <c r="D48" i="38"/>
  <c r="G43" i="9"/>
  <c r="H30" i="9"/>
  <c r="J112" i="33"/>
  <c r="D112" i="33"/>
  <c r="J117" i="33"/>
  <c r="D48" i="39"/>
  <c r="D47" i="39"/>
  <c r="D56" i="21"/>
  <c r="D57" i="21"/>
  <c r="K28" i="20"/>
  <c r="J89" i="20"/>
  <c r="D89" i="20"/>
  <c r="J28" i="23"/>
  <c r="D28" i="23"/>
  <c r="D48" i="21"/>
  <c r="D57" i="25"/>
  <c r="J11" i="23"/>
  <c r="J35" i="23"/>
  <c r="J8" i="25"/>
  <c r="D8" i="25"/>
  <c r="J9" i="51"/>
  <c r="L9" i="51" s="1"/>
  <c r="D9" i="51"/>
  <c r="K29" i="23"/>
  <c r="J67" i="23"/>
  <c r="D67" i="23"/>
  <c r="J79" i="23"/>
  <c r="J99" i="23"/>
  <c r="D99" i="23"/>
  <c r="J120" i="23"/>
  <c r="D120" i="23"/>
  <c r="K125" i="23"/>
  <c r="K7" i="25"/>
  <c r="D48" i="22"/>
  <c r="H10" i="23"/>
  <c r="H34" i="23"/>
  <c r="J89" i="23"/>
  <c r="K100" i="23"/>
  <c r="K116" i="23"/>
  <c r="J121" i="23"/>
  <c r="H125" i="23"/>
  <c r="J9" i="24"/>
  <c r="L9" i="24" s="1"/>
  <c r="D9" i="24"/>
  <c r="D54" i="25"/>
  <c r="D99" i="27"/>
  <c r="J99" i="27"/>
  <c r="J113" i="27"/>
  <c r="D57" i="41"/>
  <c r="K113" i="27"/>
  <c r="J7" i="51"/>
  <c r="L7" i="51" s="1"/>
  <c r="D7" i="51"/>
  <c r="D10" i="51"/>
  <c r="J10" i="51"/>
  <c r="H22" i="9"/>
  <c r="J34" i="29"/>
  <c r="D34" i="29"/>
  <c r="K78" i="27"/>
  <c r="K77" i="27"/>
  <c r="K120" i="27"/>
  <c r="H125" i="27"/>
  <c r="K7" i="41"/>
  <c r="D10" i="29"/>
  <c r="J10" i="29"/>
  <c r="J89" i="29"/>
  <c r="D89" i="29"/>
  <c r="J11" i="35"/>
  <c r="H10" i="29"/>
  <c r="K22" i="29"/>
  <c r="K29" i="29"/>
  <c r="J120" i="29"/>
  <c r="D120" i="29"/>
  <c r="J107" i="29"/>
  <c r="D107" i="29"/>
  <c r="H34" i="35"/>
  <c r="K78" i="29"/>
  <c r="K99" i="29"/>
  <c r="K109" i="29"/>
  <c r="J125" i="29"/>
  <c r="K134" i="34"/>
  <c r="J34" i="35"/>
  <c r="J68" i="35"/>
  <c r="H28" i="9"/>
  <c r="H79" i="29"/>
  <c r="J113" i="29"/>
  <c r="K125" i="29"/>
  <c r="K35" i="35"/>
  <c r="K68" i="35"/>
  <c r="D48" i="33"/>
  <c r="K117" i="35"/>
  <c r="G65" i="9"/>
  <c r="D67" i="33"/>
  <c r="K67" i="33"/>
  <c r="J79" i="33"/>
  <c r="D79" i="33"/>
  <c r="K125" i="35"/>
  <c r="J28" i="33"/>
  <c r="D28" i="33"/>
  <c r="J34" i="33"/>
  <c r="K86" i="33"/>
  <c r="D122" i="33"/>
  <c r="J122" i="33"/>
  <c r="J113" i="35"/>
  <c r="K22" i="33"/>
  <c r="K29" i="33"/>
  <c r="H79" i="33"/>
  <c r="J88" i="33"/>
  <c r="D88" i="33"/>
  <c r="J100" i="33"/>
  <c r="D100" i="33"/>
  <c r="K120" i="33"/>
  <c r="D113" i="33"/>
  <c r="J113" i="33"/>
  <c r="D57" i="39"/>
  <c r="D54" i="21"/>
  <c r="J22" i="20"/>
  <c r="D22" i="20"/>
  <c r="J29" i="20"/>
  <c r="D29" i="20"/>
  <c r="D48" i="20"/>
  <c r="K77" i="20"/>
  <c r="J7" i="23"/>
  <c r="K88" i="23"/>
  <c r="J35" i="29"/>
  <c r="D7" i="22"/>
  <c r="J7" i="22"/>
  <c r="H121" i="23"/>
  <c r="J29" i="24"/>
  <c r="D29" i="24"/>
  <c r="J89" i="27"/>
  <c r="K10" i="23"/>
  <c r="K34" i="23"/>
  <c r="H68" i="23"/>
  <c r="J100" i="23"/>
  <c r="D116" i="23"/>
  <c r="J116" i="23"/>
  <c r="J108" i="27"/>
  <c r="D108" i="27"/>
  <c r="J28" i="51"/>
  <c r="D28" i="51"/>
  <c r="H11" i="23"/>
  <c r="H35" i="23"/>
  <c r="K117" i="23"/>
  <c r="J9" i="25"/>
  <c r="D9" i="25"/>
  <c r="H77" i="27"/>
  <c r="J109" i="27"/>
  <c r="D67" i="27"/>
  <c r="J67" i="27"/>
  <c r="K99" i="27"/>
  <c r="K125" i="27"/>
  <c r="K136" i="26"/>
  <c r="J78" i="27"/>
  <c r="D78" i="27"/>
  <c r="D120" i="27"/>
  <c r="J120" i="27"/>
  <c r="J8" i="51"/>
  <c r="L8" i="51" s="1"/>
  <c r="D8" i="51"/>
  <c r="G18" i="9"/>
  <c r="D135" i="26"/>
  <c r="J135" i="26"/>
  <c r="K79" i="27"/>
  <c r="K121" i="27"/>
  <c r="D57" i="40"/>
  <c r="D54" i="41"/>
  <c r="D53" i="41"/>
  <c r="L7" i="41"/>
  <c r="D7" i="41"/>
  <c r="L10" i="41"/>
  <c r="D10" i="41"/>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K98" i="33"/>
  <c r="H86" i="29"/>
  <c r="H109" i="29"/>
  <c r="K88" i="33"/>
  <c r="J86" i="33"/>
  <c r="D121" i="33"/>
  <c r="J121" i="33"/>
  <c r="J121" i="35"/>
  <c r="J35" i="33"/>
  <c r="D35" i="33"/>
  <c r="J109" i="35"/>
  <c r="H125" i="35"/>
  <c r="J7" i="33"/>
  <c r="D7" i="33"/>
  <c r="H10" i="33"/>
  <c r="K28" i="33"/>
  <c r="K34" i="33"/>
  <c r="H86" i="33"/>
  <c r="J89" i="33"/>
  <c r="D89" i="33"/>
  <c r="J107" i="33"/>
  <c r="J110" i="33"/>
  <c r="L110" i="33" s="1"/>
  <c r="D110" i="33"/>
  <c r="K109" i="33"/>
  <c r="H109" i="33"/>
  <c r="J114" i="33"/>
  <c r="D114" i="33"/>
  <c r="G28" i="9"/>
  <c r="B10" i="10"/>
  <c r="F21" i="10"/>
  <c r="F10" i="10"/>
  <c r="F31" i="10"/>
  <c r="B26" i="10"/>
  <c r="G86" i="4" l="1"/>
  <c r="G114" i="4"/>
  <c r="G96" i="4"/>
  <c r="G79" i="4"/>
  <c r="G100" i="4"/>
  <c r="F13" i="10"/>
  <c r="G68" i="4"/>
  <c r="G124" i="4"/>
  <c r="G121" i="4"/>
  <c r="G125" i="4"/>
  <c r="L29" i="51"/>
  <c r="G107" i="4"/>
  <c r="G108" i="4"/>
  <c r="F23" i="10"/>
  <c r="G89" i="4"/>
  <c r="E7" i="72"/>
  <c r="E28" i="51"/>
  <c r="E28" i="33"/>
  <c r="E28" i="23"/>
  <c r="E28" i="20"/>
  <c r="D34" i="4"/>
  <c r="E28" i="29"/>
  <c r="E28" i="24"/>
  <c r="E28" i="25"/>
  <c r="E34" i="37"/>
  <c r="E34" i="13"/>
  <c r="E34" i="29"/>
  <c r="E28" i="37"/>
  <c r="E28" i="13"/>
  <c r="D35" i="4"/>
  <c r="C30" i="9"/>
  <c r="D53" i="40"/>
  <c r="D53" i="21"/>
  <c r="L28" i="51"/>
  <c r="L125" i="35"/>
  <c r="L10" i="51"/>
  <c r="E35" i="13"/>
  <c r="E35" i="37"/>
  <c r="E35" i="33"/>
  <c r="B34" i="10"/>
  <c r="H77" i="13"/>
  <c r="B49" i="10"/>
  <c r="B43" i="10"/>
  <c r="B11" i="10"/>
  <c r="B32" i="10"/>
  <c r="E47" i="72"/>
  <c r="B38" i="10"/>
  <c r="G77" i="4"/>
  <c r="B22" i="10"/>
  <c r="B42" i="10"/>
  <c r="E99" i="18"/>
  <c r="E116" i="18"/>
  <c r="D29" i="4"/>
  <c r="E88" i="18"/>
  <c r="E9" i="18"/>
  <c r="E9" i="72"/>
  <c r="E67" i="18"/>
  <c r="E8" i="18"/>
  <c r="E112" i="18"/>
  <c r="E108" i="18"/>
  <c r="E120" i="18"/>
  <c r="E78" i="18"/>
  <c r="E124" i="18"/>
  <c r="D37" i="4"/>
  <c r="D36" i="4"/>
  <c r="D39" i="4"/>
  <c r="I33" i="37"/>
  <c r="B31" i="10"/>
  <c r="H119" i="20"/>
  <c r="D110" i="4"/>
  <c r="L117" i="3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I114" i="37"/>
  <c r="I96" i="37"/>
  <c r="E75" i="37"/>
  <c r="E36" i="37"/>
  <c r="E49" i="37"/>
  <c r="I100" i="37"/>
  <c r="I100" i="18"/>
  <c r="E89" i="37"/>
  <c r="D114" i="4"/>
  <c r="I12" i="37"/>
  <c r="I12" i="18"/>
  <c r="E37" i="37"/>
  <c r="I22" i="37"/>
  <c r="I22" i="18"/>
  <c r="I121" i="37"/>
  <c r="I121" i="18"/>
  <c r="I29" i="37"/>
  <c r="I29" i="18"/>
  <c r="I79" i="37"/>
  <c r="I79" i="18"/>
  <c r="I116" i="37"/>
  <c r="I116" i="18"/>
  <c r="I35" i="37"/>
  <c r="I35" i="18"/>
  <c r="I75" i="37"/>
  <c r="E135" i="37"/>
  <c r="I112" i="37"/>
  <c r="I108" i="37"/>
  <c r="I108" i="18"/>
  <c r="E10" i="37"/>
  <c r="E10" i="18"/>
  <c r="E57" i="37"/>
  <c r="I7" i="37"/>
  <c r="I7" i="18"/>
  <c r="E96" i="37"/>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88" i="37"/>
  <c r="E86" i="37"/>
  <c r="E108" i="37"/>
  <c r="E120" i="37"/>
  <c r="H66" i="27"/>
  <c r="D47" i="38"/>
  <c r="L96" i="33"/>
  <c r="L113" i="29"/>
  <c r="L89" i="23"/>
  <c r="L75" i="33"/>
  <c r="L68" i="20"/>
  <c r="L136" i="34"/>
  <c r="H98" i="20"/>
  <c r="L68" i="33"/>
  <c r="L68" i="23"/>
  <c r="L28" i="24"/>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39" i="8"/>
  <c r="C12" i="9"/>
  <c r="N114" i="8"/>
  <c r="C24" i="9"/>
  <c r="C13" i="9"/>
  <c r="C22" i="9"/>
  <c r="C27" i="9"/>
  <c r="K119" i="20"/>
  <c r="K111" i="13"/>
  <c r="L107" i="33"/>
  <c r="L100" i="33"/>
  <c r="L100" i="20"/>
  <c r="N142" i="8"/>
  <c r="M114" i="8"/>
  <c r="L108" i="13"/>
  <c r="D56" i="40"/>
  <c r="N143" i="8"/>
  <c r="L109" i="35"/>
  <c r="H119" i="23"/>
  <c r="L116" i="33"/>
  <c r="L100" i="27"/>
  <c r="C19" i="9"/>
  <c r="D53" i="22"/>
  <c r="L35" i="33"/>
  <c r="L67" i="29"/>
  <c r="L29" i="20"/>
  <c r="L116" i="23"/>
  <c r="L12" i="35"/>
  <c r="H87" i="27"/>
  <c r="L108" i="23"/>
  <c r="L28" i="25"/>
  <c r="H98" i="13"/>
  <c r="K111" i="29"/>
  <c r="D47" i="33"/>
  <c r="D56" i="25"/>
  <c r="L117" i="33"/>
  <c r="L10" i="35"/>
  <c r="L12" i="13"/>
  <c r="K66" i="35"/>
  <c r="N137" i="8"/>
  <c r="L99" i="23"/>
  <c r="L7" i="20"/>
  <c r="K119" i="13"/>
  <c r="M116" i="8"/>
  <c r="K66" i="23"/>
  <c r="K87" i="35"/>
  <c r="M111" i="8"/>
  <c r="L11" i="33"/>
  <c r="H119" i="13"/>
  <c r="C14" i="9"/>
  <c r="N141" i="8"/>
  <c r="L7" i="13"/>
  <c r="M140" i="8"/>
  <c r="N136" i="8"/>
  <c r="B28" i="9"/>
  <c r="M117" i="8"/>
  <c r="M141" i="8"/>
  <c r="N113" i="8"/>
  <c r="N138" i="8"/>
  <c r="N144" i="8"/>
  <c r="C28" i="9"/>
  <c r="C21" i="9"/>
  <c r="C17" i="9"/>
  <c r="M113" i="8"/>
  <c r="B11" i="9"/>
  <c r="B15" i="9"/>
  <c r="M118" i="8"/>
  <c r="H119" i="33"/>
  <c r="L125" i="33"/>
  <c r="L121" i="23"/>
  <c r="M115" i="8"/>
  <c r="M139" i="8"/>
  <c r="L116" i="13"/>
  <c r="N117" i="8"/>
  <c r="L10" i="33"/>
  <c r="C18" i="9"/>
  <c r="B18" i="9"/>
  <c r="L22" i="13"/>
  <c r="L107" i="13"/>
  <c r="B10" i="9"/>
  <c r="L10" i="13"/>
  <c r="L121" i="33"/>
  <c r="C25" i="9"/>
  <c r="K98" i="27"/>
  <c r="H87" i="23"/>
  <c r="L29" i="24"/>
  <c r="L7" i="23"/>
  <c r="H87" i="33"/>
  <c r="L120" i="29"/>
  <c r="D47" i="22"/>
  <c r="L11" i="23"/>
  <c r="L117" i="29"/>
  <c r="B23" i="9"/>
  <c r="N115" i="8"/>
  <c r="K119" i="23"/>
  <c r="L34" i="13"/>
  <c r="M143" i="8"/>
  <c r="B21" i="9"/>
  <c r="B19" i="9"/>
  <c r="N140" i="8"/>
  <c r="L22" i="24"/>
  <c r="L7" i="19"/>
  <c r="N111" i="8"/>
  <c r="M112" i="8"/>
  <c r="C10" i="9"/>
  <c r="L11" i="13"/>
  <c r="C11" i="9"/>
  <c r="M136" i="8"/>
  <c r="C29" i="9"/>
  <c r="F14" i="10"/>
  <c r="E48" i="39"/>
  <c r="I89" i="20"/>
  <c r="I89" i="13"/>
  <c r="I89" i="29"/>
  <c r="I89" i="35"/>
  <c r="I89" i="33"/>
  <c r="I89" i="27"/>
  <c r="I89" i="23"/>
  <c r="G23" i="10"/>
  <c r="I35" i="23"/>
  <c r="I35" i="29"/>
  <c r="I35" i="35"/>
  <c r="I35" i="33"/>
  <c r="I35" i="13"/>
  <c r="G42" i="10"/>
  <c r="I134" i="26"/>
  <c r="G15" i="10"/>
  <c r="I10" i="23"/>
  <c r="I10" i="35"/>
  <c r="I10" i="29"/>
  <c r="I10" i="33"/>
  <c r="I10" i="13"/>
  <c r="G20" i="10"/>
  <c r="E49" i="39"/>
  <c r="I23" i="33"/>
  <c r="I23" i="13"/>
  <c r="I23" i="23"/>
  <c r="I23" i="29"/>
  <c r="I23" i="35"/>
  <c r="E54" i="39"/>
  <c r="I114" i="33"/>
  <c r="C25" i="10"/>
  <c r="C31" i="10"/>
  <c r="C9" i="10"/>
  <c r="C23" i="10"/>
  <c r="G44" i="10"/>
  <c r="C41" i="10"/>
  <c r="I86" i="29"/>
  <c r="I86" i="33"/>
  <c r="I86" i="35"/>
  <c r="C21" i="10"/>
  <c r="C33" i="10"/>
  <c r="C16" i="10"/>
  <c r="H16" i="9"/>
  <c r="N65" i="8" s="1"/>
  <c r="B14" i="9"/>
  <c r="M144" i="8"/>
  <c r="B12" i="9"/>
  <c r="H65" i="9"/>
  <c r="H17" i="9"/>
  <c r="N66" i="8" s="1"/>
  <c r="M138" i="8"/>
  <c r="N112" i="8"/>
  <c r="G39" i="9"/>
  <c r="I29" i="33"/>
  <c r="I29" i="20"/>
  <c r="I29" i="23"/>
  <c r="I29" i="29"/>
  <c r="I29" i="13"/>
  <c r="I29" i="35"/>
  <c r="G21" i="10"/>
  <c r="I25" i="20"/>
  <c r="I25" i="23"/>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2" i="8"/>
  <c r="N116" i="8"/>
  <c r="B38" i="9"/>
  <c r="B13" i="9"/>
  <c r="B30" i="9"/>
  <c r="G42" i="9"/>
  <c r="B39" i="9"/>
  <c r="H21" i="9"/>
  <c r="N70" i="8" s="1"/>
  <c r="C15" i="9"/>
  <c r="B29" i="9"/>
  <c r="H27" i="9"/>
  <c r="B37" i="9"/>
  <c r="B17" i="9"/>
  <c r="I136" i="26"/>
  <c r="G33" i="10"/>
  <c r="I7" i="29"/>
  <c r="I7" i="33"/>
  <c r="I7" i="23"/>
  <c r="I7" i="35"/>
  <c r="I7" i="13"/>
  <c r="G9" i="10"/>
  <c r="B45" i="10"/>
  <c r="I31" i="35"/>
  <c r="I31" i="13"/>
  <c r="I31" i="33"/>
  <c r="I31" i="23"/>
  <c r="I31" i="29"/>
  <c r="C45" i="10"/>
  <c r="C42" i="10"/>
  <c r="I24" i="13"/>
  <c r="I24" i="33"/>
  <c r="C15" i="10"/>
  <c r="B27" i="9"/>
  <c r="B20" i="9"/>
  <c r="H15" i="9"/>
  <c r="M137" i="8"/>
  <c r="B43" i="9"/>
  <c r="G41" i="9"/>
  <c r="C23" i="9"/>
  <c r="H10" i="9"/>
  <c r="N118" i="8"/>
  <c r="C16" i="9"/>
  <c r="H29" i="9"/>
  <c r="C13" i="10"/>
  <c r="F44" i="10"/>
  <c r="I135" i="26"/>
  <c r="G25" i="10"/>
  <c r="E58" i="39"/>
  <c r="I96" i="33"/>
  <c r="G24" i="10"/>
  <c r="E55" i="39"/>
  <c r="C14" i="10"/>
  <c r="I68" i="20"/>
  <c r="I68" i="23"/>
  <c r="I68" i="27"/>
  <c r="I68" i="29"/>
  <c r="I68" i="35"/>
  <c r="I68" i="33"/>
  <c r="I68" i="13"/>
  <c r="G13" i="10"/>
  <c r="G136" i="4"/>
  <c r="F33" i="10"/>
  <c r="I79" i="13"/>
  <c r="I79" i="20"/>
  <c r="I79" i="23"/>
  <c r="I79" i="33"/>
  <c r="I79" i="27"/>
  <c r="I79" i="29"/>
  <c r="I109" i="20"/>
  <c r="I109" i="13"/>
  <c r="I109" i="27"/>
  <c r="I109" i="35"/>
  <c r="I109" i="29"/>
  <c r="I109" i="23"/>
  <c r="I109" i="33"/>
  <c r="I12" i="29"/>
  <c r="I12" i="33"/>
  <c r="I12" i="35"/>
  <c r="I12" i="23"/>
  <c r="I12" i="13"/>
  <c r="G41" i="10"/>
  <c r="I11" i="13"/>
  <c r="I11" i="23"/>
  <c r="I11" i="35"/>
  <c r="I11" i="33"/>
  <c r="G30" i="10"/>
  <c r="I11" i="29"/>
  <c r="F24" i="10"/>
  <c r="I125" i="13"/>
  <c r="I125" i="27"/>
  <c r="I125" i="23"/>
  <c r="I125" i="35"/>
  <c r="I125" i="29"/>
  <c r="I125" i="33"/>
  <c r="C26" i="10"/>
  <c r="I34" i="13"/>
  <c r="I34" i="35"/>
  <c r="I34" i="23"/>
  <c r="I34" i="29"/>
  <c r="I34" i="33"/>
  <c r="G31" i="10"/>
  <c r="D96" i="4"/>
  <c r="B24" i="10"/>
  <c r="C24" i="10"/>
  <c r="I117" i="13"/>
  <c r="I117" i="23"/>
  <c r="I117" i="35"/>
  <c r="I117" i="29"/>
  <c r="I117" i="33"/>
  <c r="I117" i="27"/>
  <c r="C10" i="10"/>
  <c r="C20" i="10"/>
  <c r="D75" i="4"/>
  <c r="B14" i="10"/>
  <c r="E57" i="39"/>
  <c r="L120" i="27"/>
  <c r="K119" i="27"/>
  <c r="L120" i="23"/>
  <c r="L67" i="23"/>
  <c r="H98" i="33"/>
  <c r="L22" i="35"/>
  <c r="H87" i="20"/>
  <c r="L100" i="13"/>
  <c r="D53" i="39"/>
  <c r="D56" i="33"/>
  <c r="L109" i="29"/>
  <c r="L7" i="29"/>
  <c r="L28" i="29"/>
  <c r="L117" i="23"/>
  <c r="H98" i="23"/>
  <c r="L10" i="20"/>
  <c r="K98" i="13"/>
  <c r="L29" i="13"/>
  <c r="G38" i="9"/>
  <c r="B16" i="9"/>
  <c r="G40" i="9"/>
  <c r="B22" i="9"/>
  <c r="H14" i="9"/>
  <c r="B25" i="9"/>
  <c r="C20" i="9"/>
  <c r="G36" i="9"/>
  <c r="H25" i="9"/>
  <c r="B24" i="9"/>
  <c r="H24" i="9"/>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L117"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L98" i="33" s="1"/>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48" i="38"/>
  <c r="E88" i="33"/>
  <c r="E108" i="33"/>
  <c r="E22" i="33"/>
  <c r="E57" i="33"/>
  <c r="E99" i="33"/>
  <c r="E9" i="33"/>
  <c r="E48" i="33"/>
  <c r="E110" i="33"/>
  <c r="E122" i="33"/>
  <c r="E75" i="33"/>
  <c r="E116" i="33"/>
  <c r="E10" i="33"/>
  <c r="E79" i="33"/>
  <c r="E58" i="33"/>
  <c r="E49" i="33"/>
  <c r="E54" i="33"/>
  <c r="E7" i="33"/>
  <c r="E89" i="33"/>
  <c r="E100" i="33"/>
  <c r="E125" i="33"/>
  <c r="E68" i="33"/>
  <c r="E124" i="33"/>
  <c r="E96" i="33"/>
  <c r="E8" i="33"/>
  <c r="E78" i="33"/>
  <c r="E67" i="33"/>
  <c r="E112" i="33"/>
  <c r="E109" i="33"/>
  <c r="E114" i="33"/>
  <c r="E121" i="33"/>
  <c r="E120" i="33"/>
  <c r="E113" i="33"/>
  <c r="E99" i="29"/>
  <c r="E9" i="29"/>
  <c r="E48" i="34"/>
  <c r="E86" i="29"/>
  <c r="E134" i="34"/>
  <c r="E68" i="29"/>
  <c r="E88" i="29"/>
  <c r="E108" i="29"/>
  <c r="E116" i="29"/>
  <c r="E22" i="29"/>
  <c r="E10" i="29"/>
  <c r="E79" i="29"/>
  <c r="E135" i="34"/>
  <c r="E7" i="29"/>
  <c r="E89" i="29"/>
  <c r="E100" i="29"/>
  <c r="E107" i="29"/>
  <c r="E136" i="34"/>
  <c r="E8" i="29"/>
  <c r="E78" i="29"/>
  <c r="E67" i="29"/>
  <c r="E112" i="29"/>
  <c r="E109" i="29"/>
  <c r="E120" i="29"/>
  <c r="E9" i="41"/>
  <c r="E48" i="40"/>
  <c r="E48" i="41"/>
  <c r="E10" i="41"/>
  <c r="E57" i="40"/>
  <c r="E57" i="41"/>
  <c r="E54" i="40"/>
  <c r="E54" i="41"/>
  <c r="E7" i="41"/>
  <c r="E8" i="41"/>
  <c r="E99" i="27"/>
  <c r="E9" i="51"/>
  <c r="E48" i="51"/>
  <c r="E88" i="27"/>
  <c r="E108" i="27"/>
  <c r="E22" i="51"/>
  <c r="E10" i="51"/>
  <c r="E7" i="51"/>
  <c r="E8" i="51"/>
  <c r="E78" i="27"/>
  <c r="E67" i="27"/>
  <c r="E112" i="27"/>
  <c r="E120" i="27"/>
  <c r="E9"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9" i="22"/>
  <c r="E48" i="21"/>
  <c r="E48" i="22"/>
  <c r="E57" i="21"/>
  <c r="E57" i="22"/>
  <c r="E58" i="22"/>
  <c r="E49" i="22"/>
  <c r="E54" i="21"/>
  <c r="E54" i="22"/>
  <c r="E7" i="22"/>
  <c r="E8" i="22"/>
  <c r="E68" i="20"/>
  <c r="E22" i="20"/>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F43" i="10" l="1"/>
  <c r="G119" i="4"/>
  <c r="G87" i="4"/>
  <c r="F32" i="10"/>
  <c r="G111" i="4"/>
  <c r="G98" i="4"/>
  <c r="L119" i="35"/>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E97" i="13"/>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I111" i="13"/>
  <c r="I111" i="20"/>
  <c r="I111" i="23"/>
  <c r="I111" i="27"/>
  <c r="I111" i="29"/>
  <c r="I111" i="35"/>
  <c r="I111" i="33"/>
  <c r="G32" i="10"/>
  <c r="E56" i="39"/>
  <c r="C49" i="10"/>
  <c r="C32" i="10"/>
  <c r="C22" i="10"/>
  <c r="E47" i="39"/>
  <c r="C11" i="10"/>
  <c r="C12" i="10"/>
  <c r="I87" i="13"/>
  <c r="I87" i="20"/>
  <c r="I87" i="27"/>
  <c r="I87" i="29"/>
  <c r="I87" i="23"/>
  <c r="I87" i="33"/>
  <c r="I87" i="35"/>
  <c r="G22" i="10"/>
  <c r="L66" i="20"/>
  <c r="L111" i="20"/>
  <c r="L87" i="13"/>
  <c r="L119" i="29"/>
  <c r="L66" i="29"/>
  <c r="L77" i="29"/>
  <c r="L111" i="23"/>
  <c r="E98" i="13"/>
  <c r="E87" i="20"/>
  <c r="L77" i="13"/>
  <c r="E47" i="38"/>
  <c r="E77" i="33"/>
  <c r="E111" i="33"/>
  <c r="E47" i="33"/>
  <c r="E119" i="33"/>
  <c r="E53" i="33"/>
  <c r="E56" i="33"/>
  <c r="E47" i="34"/>
  <c r="E119" i="29"/>
  <c r="E77" i="29"/>
  <c r="E111" i="29"/>
  <c r="E53" i="40"/>
  <c r="E53" i="41"/>
  <c r="E56" i="40"/>
  <c r="E56" i="41"/>
  <c r="E47" i="40"/>
  <c r="E47" i="41"/>
  <c r="E77" i="27"/>
  <c r="E111" i="27"/>
  <c r="E47" i="51"/>
  <c r="E119" i="27"/>
  <c r="E53" i="25"/>
  <c r="E47" i="25"/>
  <c r="E47" i="26"/>
  <c r="E56" i="25"/>
  <c r="E119" i="23"/>
  <c r="E77" i="23"/>
  <c r="E111" i="23"/>
  <c r="E56" i="21"/>
  <c r="E56" i="22"/>
  <c r="E47" i="21"/>
  <c r="E47" i="22"/>
  <c r="E53" i="21"/>
  <c r="E53" i="22"/>
  <c r="E119" i="20"/>
  <c r="E47" i="20"/>
  <c r="E77" i="20"/>
  <c r="E111" i="20"/>
  <c r="E53" i="13"/>
  <c r="E77" i="13"/>
  <c r="E56" i="13"/>
  <c r="E111" i="13"/>
  <c r="E47" i="13"/>
  <c r="E119" i="13"/>
  <c r="D111" i="4"/>
  <c r="D77" i="4"/>
  <c r="D119" i="4"/>
  <c r="D53" i="4"/>
  <c r="D56" i="4"/>
  <c r="D47" i="4"/>
  <c r="C60" i="10" l="1"/>
  <c r="H107" i="4"/>
  <c r="H114" i="4"/>
  <c r="H116" i="4"/>
  <c r="H28" i="4"/>
  <c r="H98" i="4" l="1"/>
  <c r="H117" i="4"/>
  <c r="H99" i="4"/>
  <c r="H24"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H109" i="4"/>
  <c r="I32" i="4"/>
  <c r="I67" i="4"/>
  <c r="K11" i="10"/>
  <c r="I23" i="4"/>
  <c r="H22" i="10"/>
  <c r="H108" i="4"/>
  <c r="H10" i="4"/>
  <c r="I77" i="4"/>
  <c r="I88" i="4"/>
  <c r="I117" i="4"/>
  <c r="H67" i="4"/>
  <c r="H12" i="10"/>
  <c r="I116" i="4"/>
  <c r="H120" i="4"/>
  <c r="I110" i="4"/>
  <c r="I113" i="4"/>
  <c r="I78" i="4"/>
  <c r="K26" i="10"/>
  <c r="I98" i="4"/>
  <c r="I99" i="4"/>
  <c r="K9" i="10"/>
  <c r="H77" i="4"/>
  <c r="H24" i="10"/>
  <c r="I31" i="4"/>
  <c r="I24" i="4"/>
  <c r="K16" i="10"/>
  <c r="I30" i="4"/>
  <c r="H36" i="4"/>
  <c r="K45" i="10"/>
  <c r="H39" i="4"/>
  <c r="I107" i="4"/>
  <c r="I8" i="4"/>
  <c r="I114" i="4"/>
  <c r="I86" i="4"/>
  <c r="H10" i="10"/>
  <c r="I124" i="4"/>
  <c r="H100" i="4"/>
  <c r="H7" i="4"/>
  <c r="H23" i="4"/>
  <c r="H15" i="10"/>
  <c r="I125" i="4"/>
  <c r="M9" i="72" l="1"/>
  <c r="J23" i="4"/>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116" i="18"/>
  <c r="M77" i="18"/>
  <c r="M120" i="37"/>
  <c r="M120" i="18"/>
  <c r="J114" i="4"/>
  <c r="M98" i="37"/>
  <c r="M97" i="37"/>
  <c r="M97" i="13"/>
  <c r="M97" i="29"/>
  <c r="M97" i="33"/>
  <c r="M77" i="37"/>
  <c r="M76" i="37"/>
  <c r="M76" i="33"/>
  <c r="M76" i="29"/>
  <c r="M76" i="13"/>
  <c r="M24" i="13"/>
  <c r="M24" i="24"/>
  <c r="M24" i="33"/>
  <c r="M24" i="29"/>
  <c r="M88" i="13"/>
  <c r="M88" i="27"/>
  <c r="M88" i="29"/>
  <c r="M88" i="23"/>
  <c r="M88" i="33"/>
  <c r="J28" i="4"/>
  <c r="M28" i="20"/>
  <c r="M28" i="25"/>
  <c r="M28" i="23"/>
  <c r="M28" i="24"/>
  <c r="M28" i="51"/>
  <c r="M28" i="29"/>
  <c r="M28" i="13"/>
  <c r="M28" i="33"/>
  <c r="M121" i="23"/>
  <c r="M121" i="13"/>
  <c r="M121" i="27"/>
  <c r="M121" i="29"/>
  <c r="M121" i="33"/>
  <c r="M121" i="20"/>
  <c r="M121" i="35"/>
  <c r="M125" i="23"/>
  <c r="M125" i="27"/>
  <c r="M125" i="13"/>
  <c r="M125" i="29"/>
  <c r="M125" i="33"/>
  <c r="M125" i="35"/>
  <c r="M124" i="13"/>
  <c r="M124" i="33"/>
  <c r="M114" i="33"/>
  <c r="M31" i="23"/>
  <c r="M31" i="13"/>
  <c r="M31" i="24"/>
  <c r="M31" i="35"/>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29"/>
  <c r="M23" i="33"/>
  <c r="M32" i="13"/>
  <c r="M32" i="20"/>
  <c r="M32" i="33"/>
  <c r="M32" i="23"/>
  <c r="M32" i="29"/>
  <c r="M79" i="13"/>
  <c r="M79" i="20"/>
  <c r="M79" i="23"/>
  <c r="M79" i="33"/>
  <c r="M79" i="29"/>
  <c r="M79" i="27"/>
  <c r="M8" i="20"/>
  <c r="M8" i="13"/>
  <c r="M8" i="22"/>
  <c r="M8" i="24"/>
  <c r="M8" i="51"/>
  <c r="M8" i="25"/>
  <c r="M8" i="41"/>
  <c r="M8" i="29"/>
  <c r="M8" i="33"/>
  <c r="M8" i="19"/>
  <c r="M30" i="20"/>
  <c r="M30" i="13"/>
  <c r="M30" i="23"/>
  <c r="M30" i="33"/>
  <c r="M30" i="29"/>
  <c r="M30" i="35"/>
  <c r="M99" i="23"/>
  <c r="M99" i="27"/>
  <c r="M99" i="29"/>
  <c r="M99" i="13"/>
  <c r="M99" i="33"/>
  <c r="M110" i="33"/>
  <c r="M120" i="13"/>
  <c r="M120" i="23"/>
  <c r="M120" i="27"/>
  <c r="M120" i="29"/>
  <c r="M120" i="33"/>
  <c r="M100" i="13"/>
  <c r="M100" i="20"/>
  <c r="M100" i="29"/>
  <c r="M100" i="33"/>
  <c r="M100" i="27"/>
  <c r="M100" i="23"/>
  <c r="M122" i="33"/>
  <c r="M108" i="13"/>
  <c r="M108" i="23"/>
  <c r="M108" i="33"/>
  <c r="M108" i="29"/>
  <c r="M108" i="27"/>
  <c r="M9" i="19"/>
  <c r="M9" i="25"/>
  <c r="M9" i="20"/>
  <c r="M9" i="22"/>
  <c r="M9" i="51"/>
  <c r="M9" i="13"/>
  <c r="M9" i="29"/>
  <c r="M9" i="24"/>
  <c r="M9" i="41"/>
  <c r="M9" i="33"/>
  <c r="M86" i="35"/>
  <c r="M86" i="29"/>
  <c r="M86" i="13"/>
  <c r="M86" i="33"/>
  <c r="J107" i="4"/>
  <c r="M107" i="13"/>
  <c r="M107" i="35"/>
  <c r="M107" i="29"/>
  <c r="M107" i="33"/>
  <c r="M98" i="20"/>
  <c r="M98" i="13"/>
  <c r="M98" i="23"/>
  <c r="M98" i="27"/>
  <c r="M98" i="29"/>
  <c r="M98" i="33"/>
  <c r="M77" i="20"/>
  <c r="M77" i="13"/>
  <c r="M77" i="27"/>
  <c r="M77" i="23"/>
  <c r="M77" i="29"/>
  <c r="M77" i="33"/>
  <c r="M67" i="13"/>
  <c r="M67" i="23"/>
  <c r="M67" i="27"/>
  <c r="M67" i="29"/>
  <c r="M67" i="33"/>
  <c r="M109" i="27"/>
  <c r="M109" i="13"/>
  <c r="M109" i="23"/>
  <c r="M109" i="20"/>
  <c r="M109" i="29"/>
  <c r="M109" i="35"/>
  <c r="M109" i="33"/>
  <c r="M112" i="13"/>
  <c r="M112" i="23"/>
  <c r="M112" i="27"/>
  <c r="M112" i="33"/>
  <c r="M112" i="29"/>
  <c r="J108" i="4"/>
  <c r="M43" i="8"/>
  <c r="D40" i="9"/>
  <c r="N72" i="8"/>
  <c r="H64" i="9"/>
  <c r="B66" i="9"/>
  <c r="M44" i="8"/>
  <c r="D41" i="9"/>
  <c r="M39" i="8"/>
  <c r="D36" i="9"/>
  <c r="C52" i="9"/>
  <c r="N13" i="8"/>
  <c r="H51" i="9"/>
  <c r="N62" i="8"/>
  <c r="N46" i="8"/>
  <c r="G54" i="9"/>
  <c r="G31" i="9"/>
  <c r="M30" i="8"/>
  <c r="B70" i="9"/>
  <c r="D30" i="9"/>
  <c r="D14" i="9"/>
  <c r="B53" i="9"/>
  <c r="M14" i="8"/>
  <c r="M22" i="8"/>
  <c r="D22" i="9"/>
  <c r="B61" i="9"/>
  <c r="M37" i="8"/>
  <c r="B44" i="9"/>
  <c r="D34" i="9"/>
  <c r="G51" i="9"/>
  <c r="M62" i="8"/>
  <c r="G49" i="9"/>
  <c r="M60" i="8"/>
  <c r="I10" i="9"/>
  <c r="M71" i="8"/>
  <c r="G63" i="9"/>
  <c r="I24" i="9"/>
  <c r="H53" i="9"/>
  <c r="N64" i="8"/>
  <c r="G62" i="9"/>
  <c r="I23" i="9"/>
  <c r="N10" i="8"/>
  <c r="C49" i="9"/>
  <c r="B69" i="9"/>
  <c r="D29" i="9"/>
  <c r="M29" i="8"/>
  <c r="M87" i="8"/>
  <c r="I36" i="9"/>
  <c r="M69" i="8"/>
  <c r="G59" i="9"/>
  <c r="I20" i="9"/>
  <c r="N43" i="8"/>
  <c r="N12" i="8"/>
  <c r="C51" i="9"/>
  <c r="N22" i="8"/>
  <c r="C61" i="9"/>
  <c r="M19" i="8"/>
  <c r="B58" i="9"/>
  <c r="D19" i="9"/>
  <c r="H54" i="9"/>
  <c r="N41" i="8"/>
  <c r="D39" i="9"/>
  <c r="M42" i="8"/>
  <c r="N40" i="8"/>
  <c r="N28" i="8"/>
  <c r="C68" i="9"/>
  <c r="N63" i="8"/>
  <c r="H52" i="9"/>
  <c r="N45" i="8"/>
  <c r="M46" i="8"/>
  <c r="D43" i="9"/>
  <c r="B68" i="9"/>
  <c r="H31" i="9"/>
  <c r="J24" i="9" s="1"/>
  <c r="I19" i="9"/>
  <c r="M68" i="8"/>
  <c r="G58" i="9"/>
  <c r="N11" i="8"/>
  <c r="C50" i="9"/>
  <c r="M86" i="8"/>
  <c r="I35" i="9"/>
  <c r="G53" i="9"/>
  <c r="M64" i="8"/>
  <c r="H57" i="9"/>
  <c r="N67" i="8"/>
  <c r="D42" i="9"/>
  <c r="M45" i="8"/>
  <c r="H61" i="9"/>
  <c r="I21" i="9"/>
  <c r="G60" i="9"/>
  <c r="D13" i="9"/>
  <c r="M13" i="8"/>
  <c r="B52" i="9"/>
  <c r="N87" i="8"/>
  <c r="B64" i="9"/>
  <c r="M25" i="8"/>
  <c r="D25" i="9"/>
  <c r="N19" i="8"/>
  <c r="C58" i="9"/>
  <c r="H58" i="9"/>
  <c r="N68" i="8"/>
  <c r="M20" i="8"/>
  <c r="D20" i="9"/>
  <c r="B59" i="9"/>
  <c r="N20" i="8"/>
  <c r="C59" i="9"/>
  <c r="D11" i="9"/>
  <c r="M11" i="8"/>
  <c r="B50" i="9"/>
  <c r="M88" i="8"/>
  <c r="I37" i="9"/>
  <c r="H56" i="9"/>
  <c r="G61" i="9"/>
  <c r="I27" i="9"/>
  <c r="M73" i="8"/>
  <c r="G67" i="9"/>
  <c r="G70" i="9"/>
  <c r="N73" i="8"/>
  <c r="H67" i="9"/>
  <c r="N74" i="8"/>
  <c r="H68" i="9"/>
  <c r="N94" i="8"/>
  <c r="B49" i="9"/>
  <c r="D10" i="9"/>
  <c r="M10" i="8"/>
  <c r="N44" i="8"/>
  <c r="C66" i="9"/>
  <c r="H63" i="9"/>
  <c r="N71" i="8"/>
  <c r="N88" i="8"/>
  <c r="H50" i="9"/>
  <c r="N61" i="8"/>
  <c r="C54" i="9"/>
  <c r="N15" i="8"/>
  <c r="I40" i="9"/>
  <c r="M91" i="8"/>
  <c r="B56" i="9"/>
  <c r="M17" i="8"/>
  <c r="D17" i="9"/>
  <c r="C31" i="9"/>
  <c r="E16" i="9" s="1"/>
  <c r="N91" i="8"/>
  <c r="C70" i="9"/>
  <c r="N30" i="8"/>
  <c r="G66" i="9"/>
  <c r="I41" i="9"/>
  <c r="M92" i="8"/>
  <c r="C67" i="9"/>
  <c r="N27" i="8"/>
  <c r="N90" i="8"/>
  <c r="D21" i="9"/>
  <c r="B60" i="9"/>
  <c r="M21" i="8"/>
  <c r="N16" i="8"/>
  <c r="C55" i="9"/>
  <c r="N93" i="8"/>
  <c r="C44" i="9"/>
  <c r="E34" i="9" s="1"/>
  <c r="N37" i="8"/>
  <c r="M41" i="8"/>
  <c r="D38" i="9"/>
  <c r="M72" i="8"/>
  <c r="I25" i="9"/>
  <c r="G64" i="9"/>
  <c r="N39" i="8"/>
  <c r="B63" i="9"/>
  <c r="D24" i="9"/>
  <c r="M24" i="8"/>
  <c r="H59" i="9"/>
  <c r="N69" i="8"/>
  <c r="D35" i="9"/>
  <c r="M38" i="8"/>
  <c r="N89" i="8"/>
  <c r="D28" i="9"/>
  <c r="M28" i="8"/>
  <c r="M61" i="8"/>
  <c r="I11" i="9"/>
  <c r="G50" i="9"/>
  <c r="H44" i="9"/>
  <c r="J38" i="9" s="1"/>
  <c r="N85" i="8"/>
  <c r="C64" i="9"/>
  <c r="N25" i="8"/>
  <c r="N38" i="8"/>
  <c r="B55" i="9"/>
  <c r="D16" i="9"/>
  <c r="M16" i="8"/>
  <c r="N21" i="8"/>
  <c r="C60" i="9"/>
  <c r="H70" i="9"/>
  <c r="N86" i="8"/>
  <c r="N23" i="8"/>
  <c r="C62" i="9"/>
  <c r="N29" i="8"/>
  <c r="C69" i="9"/>
  <c r="H49" i="9"/>
  <c r="N60" i="8"/>
  <c r="I38" i="9"/>
  <c r="M89" i="8"/>
  <c r="D12" i="9"/>
  <c r="M12" i="8"/>
  <c r="B51" i="9"/>
  <c r="C53" i="9"/>
  <c r="N14" i="8"/>
  <c r="I34" i="9"/>
  <c r="G44" i="9"/>
  <c r="F27" i="10" s="1"/>
  <c r="M85" i="8"/>
  <c r="N17" i="8"/>
  <c r="C56" i="9"/>
  <c r="H66" i="9"/>
  <c r="N92" i="8"/>
  <c r="M27" i="8"/>
  <c r="D27" i="9"/>
  <c r="B67" i="9"/>
  <c r="H55" i="9"/>
  <c r="M93" i="8"/>
  <c r="I42" i="9"/>
  <c r="H60" i="9"/>
  <c r="D18" i="9"/>
  <c r="M18" i="8"/>
  <c r="B57" i="9"/>
  <c r="H69" i="9"/>
  <c r="N18" i="8"/>
  <c r="C57" i="9"/>
  <c r="M94" i="8"/>
  <c r="I43" i="9"/>
  <c r="B31" i="9"/>
  <c r="B17" i="10" s="1"/>
  <c r="N42" i="8"/>
  <c r="M67" i="8"/>
  <c r="G57" i="9"/>
  <c r="M40" i="8"/>
  <c r="D37" i="9"/>
  <c r="D26" i="9"/>
  <c r="B54" i="9"/>
  <c r="M15" i="8"/>
  <c r="D15" i="9"/>
  <c r="D23" i="9"/>
  <c r="M23" i="8"/>
  <c r="B62" i="9"/>
  <c r="G69" i="9"/>
  <c r="H62" i="9"/>
  <c r="I13" i="9"/>
  <c r="G52" i="9"/>
  <c r="M63" i="8"/>
  <c r="I28" i="9"/>
  <c r="M74" i="8"/>
  <c r="G68" i="9"/>
  <c r="G55" i="9"/>
  <c r="I16" i="9"/>
  <c r="N24" i="8"/>
  <c r="C63" i="9"/>
  <c r="G56" i="9"/>
  <c r="I17" i="9"/>
  <c r="M90" i="8"/>
  <c r="I3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K41" i="10"/>
  <c r="C46" i="10"/>
  <c r="H119" i="4"/>
  <c r="H137" i="4"/>
  <c r="I136" i="4"/>
  <c r="H68" i="4"/>
  <c r="I68" i="4"/>
  <c r="K43" i="10"/>
  <c r="I10" i="4"/>
  <c r="H135"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N18" i="9"/>
  <c r="N24" i="9"/>
  <c r="O39" i="9"/>
  <c r="M20" i="9"/>
  <c r="N35" i="9"/>
  <c r="M39" i="9"/>
  <c r="O28" i="9"/>
  <c r="L13" i="9"/>
  <c r="L15" i="9"/>
  <c r="M29" i="9"/>
  <c r="L18" i="9"/>
  <c r="O29" i="9"/>
  <c r="O27" i="9"/>
  <c r="L16" i="9"/>
  <c r="N20" i="9"/>
  <c r="O34" i="9"/>
  <c r="M11" i="9"/>
  <c r="N38" i="9"/>
  <c r="M9" i="9"/>
  <c r="O17" i="9"/>
  <c r="O41" i="9"/>
  <c r="O35" i="9"/>
  <c r="O25" i="9"/>
  <c r="L30" i="9"/>
  <c r="L43" i="9"/>
  <c r="M35" i="9"/>
  <c r="M15" i="9"/>
  <c r="L36" i="9"/>
  <c r="N26" i="9"/>
  <c r="L23" i="9"/>
  <c r="L29" i="9"/>
  <c r="M16" i="9"/>
  <c r="N43" i="9"/>
  <c r="L42" i="9"/>
  <c r="O40" i="9"/>
  <c r="L20" i="9"/>
  <c r="O38" i="9"/>
  <c r="L35" i="9"/>
  <c r="M43" i="9"/>
  <c r="N9" i="9"/>
  <c r="M26" i="9"/>
  <c r="N42" i="9"/>
  <c r="N37" i="9"/>
  <c r="M41" i="9"/>
  <c r="N34" i="9"/>
  <c r="L21" i="9"/>
  <c r="N30" i="9"/>
  <c r="O26" i="9"/>
  <c r="O9" i="9"/>
  <c r="N10" i="9"/>
  <c r="N14" i="9"/>
  <c r="M19" i="9"/>
  <c r="O23" i="9"/>
  <c r="L22" i="9"/>
  <c r="O22" i="9"/>
  <c r="L17" i="9"/>
  <c r="L40" i="9"/>
  <c r="N21" i="9"/>
  <c r="L25" i="9"/>
  <c r="L19" i="9"/>
  <c r="M23" i="9"/>
  <c r="N36" i="9"/>
  <c r="O24" i="9"/>
  <c r="M25" i="9"/>
  <c r="L11" i="9"/>
  <c r="O37" i="9"/>
  <c r="N12" i="9"/>
  <c r="M24" i="9"/>
  <c r="O21" i="9"/>
  <c r="L12" i="9"/>
  <c r="M30" i="9"/>
  <c r="O16" i="9"/>
  <c r="L27" i="9"/>
  <c r="O19" i="9"/>
  <c r="L10" i="9"/>
  <c r="O42" i="9"/>
  <c r="O13" i="9"/>
  <c r="L41" i="9"/>
  <c r="O10" i="9"/>
  <c r="N19" i="9"/>
  <c r="M17" i="9"/>
  <c r="N11" i="9"/>
  <c r="N41" i="9"/>
  <c r="M36" i="9"/>
  <c r="O20" i="9"/>
  <c r="O15" i="9"/>
  <c r="O18" i="9"/>
  <c r="O12" i="9"/>
  <c r="N22" i="9"/>
  <c r="M10" i="9"/>
  <c r="N27" i="9"/>
  <c r="O36" i="9"/>
  <c r="N25" i="9"/>
  <c r="L28" i="9"/>
  <c r="O43" i="9"/>
  <c r="N16" i="9"/>
  <c r="O11" i="9"/>
  <c r="L26" i="9"/>
  <c r="N40" i="9"/>
  <c r="M27" i="9"/>
  <c r="L39" i="9"/>
  <c r="L34" i="9"/>
  <c r="M37" i="9"/>
  <c r="M40" i="9"/>
  <c r="N39" i="9"/>
  <c r="M42" i="9"/>
  <c r="M18" i="9"/>
  <c r="M21" i="9"/>
  <c r="M22" i="9"/>
  <c r="N23" i="9"/>
  <c r="N29" i="9"/>
  <c r="N13" i="9"/>
  <c r="M14" i="9"/>
  <c r="M13" i="9"/>
  <c r="L14" i="9"/>
  <c r="L24" i="9"/>
  <c r="M34" i="9"/>
  <c r="O30" i="9"/>
  <c r="N17" i="9"/>
  <c r="L37" i="9"/>
  <c r="M12" i="9"/>
  <c r="N28" i="9"/>
  <c r="N15" i="9"/>
  <c r="L9" i="9"/>
  <c r="O14" i="9"/>
  <c r="L38" i="9"/>
  <c r="M38" i="9"/>
  <c r="M28" i="9"/>
  <c r="M7" i="72" l="1"/>
  <c r="J25" i="4"/>
  <c r="M33" i="37"/>
  <c r="M35" i="37"/>
  <c r="M35" i="18"/>
  <c r="M22" i="37"/>
  <c r="M22" i="18"/>
  <c r="M29" i="37"/>
  <c r="M29" i="18"/>
  <c r="M135" i="37"/>
  <c r="M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0" i="9"/>
  <c r="L70" i="9"/>
  <c r="N57" i="9"/>
  <c r="M44" i="9"/>
  <c r="M68" i="9"/>
  <c r="O67" i="9"/>
  <c r="L53" i="9"/>
  <c r="M50" i="9"/>
  <c r="M55" i="9"/>
  <c r="O55" i="9"/>
  <c r="N60" i="9"/>
  <c r="O70" i="9"/>
  <c r="O54" i="9"/>
  <c r="M60" i="9"/>
  <c r="N55" i="9"/>
  <c r="N52" i="9"/>
  <c r="O69" i="9"/>
  <c r="M67" i="9"/>
  <c r="L55" i="9"/>
  <c r="L64" i="9"/>
  <c r="L57" i="9"/>
  <c r="L63" i="9"/>
  <c r="M59" i="9"/>
  <c r="L69" i="9"/>
  <c r="M31" i="9"/>
  <c r="O53" i="9"/>
  <c r="L44" i="9"/>
  <c r="L52" i="9"/>
  <c r="O66" i="9"/>
  <c r="L49" i="9"/>
  <c r="N62" i="9"/>
  <c r="M70" i="9"/>
  <c r="N31" i="9"/>
  <c r="M61" i="9"/>
  <c r="O44" i="9"/>
  <c r="N54" i="9"/>
  <c r="O50" i="9"/>
  <c r="O49" i="9"/>
  <c r="L60" i="9"/>
  <c r="M62" i="9"/>
  <c r="N66" i="9"/>
  <c r="N70" i="9"/>
  <c r="M63" i="9"/>
  <c r="O63" i="9"/>
  <c r="N68" i="9"/>
  <c r="O58" i="9"/>
  <c r="L61" i="9"/>
  <c r="L68" i="9"/>
  <c r="L56" i="9"/>
  <c r="N64" i="9"/>
  <c r="N53" i="9"/>
  <c r="L66" i="9"/>
  <c r="O60" i="9"/>
  <c r="O59" i="9"/>
  <c r="O68" i="9"/>
  <c r="L58" i="9"/>
  <c r="O64" i="9"/>
  <c r="N50" i="9"/>
  <c r="L59" i="9"/>
  <c r="N49" i="9"/>
  <c r="M69" i="9"/>
  <c r="N63" i="9"/>
  <c r="M53" i="9"/>
  <c r="M66" i="9"/>
  <c r="O31" i="9"/>
  <c r="M57" i="9"/>
  <c r="M58" i="9"/>
  <c r="L62" i="9"/>
  <c r="M49" i="9"/>
  <c r="N69" i="9"/>
  <c r="O62" i="9"/>
  <c r="N51" i="9"/>
  <c r="O56" i="9"/>
  <c r="M56" i="9"/>
  <c r="L67" i="9"/>
  <c r="M52" i="9"/>
  <c r="M54" i="9"/>
  <c r="N44" i="9"/>
  <c r="N61" i="9"/>
  <c r="N56" i="9"/>
  <c r="M51" i="9"/>
  <c r="N59" i="9"/>
  <c r="N58" i="9"/>
  <c r="L31" i="9"/>
  <c r="M64" i="9"/>
  <c r="L54" i="9"/>
  <c r="O57" i="9"/>
  <c r="O52" i="9"/>
  <c r="O51" i="9"/>
  <c r="N67" i="9"/>
  <c r="O61" i="9"/>
  <c r="L51" i="9"/>
  <c r="L42" i="10"/>
  <c r="J11" i="4"/>
  <c r="M11" i="13"/>
  <c r="M11" i="33"/>
  <c r="M11" i="23"/>
  <c r="M11" i="29"/>
  <c r="M11" i="35"/>
  <c r="J10" i="4"/>
  <c r="M10" i="20"/>
  <c r="M10" i="23"/>
  <c r="M10" i="13"/>
  <c r="M10" i="24"/>
  <c r="M10" i="35"/>
  <c r="M10" i="51"/>
  <c r="M10" i="41"/>
  <c r="M10" i="29"/>
  <c r="M10" i="33"/>
  <c r="M68" i="20"/>
  <c r="M68" i="13"/>
  <c r="M68" i="27"/>
  <c r="M68" i="23"/>
  <c r="M68" i="29"/>
  <c r="M68" i="35"/>
  <c r="M68" i="33"/>
  <c r="M136" i="26"/>
  <c r="M136" i="34"/>
  <c r="M119" i="23"/>
  <c r="M119" i="20"/>
  <c r="M119" i="27"/>
  <c r="M119" i="13"/>
  <c r="M119" i="35"/>
  <c r="M119" i="29"/>
  <c r="M119" i="33"/>
  <c r="M111" i="23"/>
  <c r="M111" i="20"/>
  <c r="M111" i="27"/>
  <c r="M111" i="35"/>
  <c r="M111" i="29"/>
  <c r="M111" i="13"/>
  <c r="M111" i="33"/>
  <c r="J7" i="4"/>
  <c r="M7" i="19"/>
  <c r="M7" i="13"/>
  <c r="M7" i="23"/>
  <c r="M7" i="22"/>
  <c r="M7" i="25"/>
  <c r="M7" i="20"/>
  <c r="M7" i="24"/>
  <c r="M7" i="29"/>
  <c r="M7" i="41"/>
  <c r="M7" i="51"/>
  <c r="M7" i="35"/>
  <c r="M7" i="33"/>
  <c r="J22" i="4"/>
  <c r="M22" i="20"/>
  <c r="M22" i="13"/>
  <c r="M22" i="24"/>
  <c r="M22" i="51"/>
  <c r="M22" i="23"/>
  <c r="M22" i="29"/>
  <c r="M22" i="35"/>
  <c r="M22" i="33"/>
  <c r="M29" i="23"/>
  <c r="M29" i="13"/>
  <c r="M29" i="29"/>
  <c r="M29" i="51"/>
  <c r="M29" i="35"/>
  <c r="M29" i="24"/>
  <c r="M29" i="20"/>
  <c r="M29" i="33"/>
  <c r="M137" i="26"/>
  <c r="M87" i="13"/>
  <c r="M87" i="20"/>
  <c r="M87" i="23"/>
  <c r="M87" i="27"/>
  <c r="M87" i="33"/>
  <c r="M87" i="29"/>
  <c r="M87" i="35"/>
  <c r="J9" i="9"/>
  <c r="M35" i="13"/>
  <c r="M35" i="23"/>
  <c r="M35" i="29"/>
  <c r="M35" i="35"/>
  <c r="M35" i="33"/>
  <c r="M39" i="13"/>
  <c r="M34" i="13"/>
  <c r="M34" i="23"/>
  <c r="M34" i="29"/>
  <c r="M34" i="35"/>
  <c r="M34" i="33"/>
  <c r="M66" i="13"/>
  <c r="M66" i="20"/>
  <c r="M66" i="27"/>
  <c r="M66" i="35"/>
  <c r="M66" i="33"/>
  <c r="M66" i="23"/>
  <c r="M66" i="29"/>
  <c r="M89" i="20"/>
  <c r="M89" i="13"/>
  <c r="M89" i="23"/>
  <c r="M89" i="27"/>
  <c r="M89" i="29"/>
  <c r="M89" i="35"/>
  <c r="M89" i="33"/>
  <c r="M96" i="33"/>
  <c r="M75" i="33"/>
  <c r="J37" i="4"/>
  <c r="M37" i="13"/>
  <c r="I68" i="9"/>
  <c r="M134" i="26"/>
  <c r="M134" i="34"/>
  <c r="M12" i="13"/>
  <c r="M12" i="23"/>
  <c r="M12" i="29"/>
  <c r="M12" i="35"/>
  <c r="M12" i="33"/>
  <c r="J36" i="4"/>
  <c r="M36" i="13"/>
  <c r="L21" i="10"/>
  <c r="H53" i="10"/>
  <c r="M135" i="26"/>
  <c r="M135" i="34"/>
  <c r="M25" i="23"/>
  <c r="M25" i="13"/>
  <c r="M25" i="20"/>
  <c r="M25" i="29"/>
  <c r="M25" i="33"/>
  <c r="L31" i="10"/>
  <c r="L22" i="10"/>
  <c r="L12" i="10"/>
  <c r="L10" i="10"/>
  <c r="I66" i="9"/>
  <c r="I63" i="9"/>
  <c r="I59" i="9"/>
  <c r="I55" i="9"/>
  <c r="I52" i="9"/>
  <c r="I31" i="9"/>
  <c r="I49" i="9"/>
  <c r="D66" i="9"/>
  <c r="D44" i="9"/>
  <c r="D49" i="9"/>
  <c r="G17" i="10"/>
  <c r="E37" i="9"/>
  <c r="E41" i="9"/>
  <c r="E35" i="9"/>
  <c r="E36" i="9"/>
  <c r="E43" i="9"/>
  <c r="D31" i="9"/>
  <c r="E42" i="9"/>
  <c r="E40" i="9"/>
  <c r="F17" i="10"/>
  <c r="J17" i="10" s="1"/>
  <c r="E39" i="9"/>
  <c r="E38" i="9"/>
  <c r="B27" i="10"/>
  <c r="J27" i="10" s="1"/>
  <c r="J34" i="9"/>
  <c r="E20" i="9"/>
  <c r="C71" i="9"/>
  <c r="E11" i="9"/>
  <c r="J40" i="9"/>
  <c r="E23" i="9"/>
  <c r="J12" i="9"/>
  <c r="E15" i="9"/>
  <c r="G27" i="10"/>
  <c r="H27" i="10" s="1"/>
  <c r="J26" i="9"/>
  <c r="E19" i="9"/>
  <c r="E13" i="9"/>
  <c r="J20" i="9"/>
  <c r="J14" i="9"/>
  <c r="H71" i="9"/>
  <c r="E29" i="9"/>
  <c r="E22" i="9"/>
  <c r="E17" i="9"/>
  <c r="E18" i="9"/>
  <c r="J10" i="9"/>
  <c r="J18" i="9"/>
  <c r="J30" i="9"/>
  <c r="J13" i="9"/>
  <c r="J11" i="9"/>
  <c r="J15" i="9"/>
  <c r="B71" i="9"/>
  <c r="E25" i="9"/>
  <c r="E14" i="9"/>
  <c r="E10" i="9"/>
  <c r="C17" i="10"/>
  <c r="D17" i="10" s="1"/>
  <c r="J27" i="9"/>
  <c r="C27" i="10"/>
  <c r="J22" i="9"/>
  <c r="J16" i="9"/>
  <c r="J19" i="9"/>
  <c r="J17" i="9"/>
  <c r="J25" i="9"/>
  <c r="E30" i="9"/>
  <c r="E12" i="9"/>
  <c r="E21" i="9"/>
  <c r="E24" i="9"/>
  <c r="E26" i="9"/>
  <c r="E27" i="9"/>
  <c r="E28" i="9"/>
  <c r="J23" i="9"/>
  <c r="J28" i="9"/>
  <c r="J29" i="9"/>
  <c r="J21" i="9"/>
  <c r="J41" i="9"/>
  <c r="J42" i="9"/>
  <c r="G71" i="9"/>
  <c r="J35" i="9"/>
  <c r="J36" i="9"/>
  <c r="J39" i="9"/>
  <c r="I44" i="9"/>
  <c r="J37" i="9"/>
  <c r="J43"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J35" i="10"/>
  <c r="D35" i="10"/>
  <c r="D56" i="10"/>
  <c r="J56" i="10"/>
  <c r="L56" i="10" s="1"/>
  <c r="J70" i="9" l="1"/>
  <c r="J65" i="9"/>
  <c r="E69" i="9"/>
  <c r="D69" i="9" s="1"/>
  <c r="E65" i="9"/>
  <c r="L55" i="10"/>
  <c r="M71" i="9"/>
  <c r="O71" i="9"/>
  <c r="L71" i="9"/>
  <c r="N71" i="9"/>
  <c r="L53" i="10"/>
  <c r="J44" i="9"/>
  <c r="J31" i="9"/>
  <c r="I71" i="9"/>
  <c r="E44" i="9"/>
  <c r="D71" i="9"/>
  <c r="H17" i="10"/>
  <c r="E54" i="9"/>
  <c r="D54" i="9" s="1"/>
  <c r="E60" i="9"/>
  <c r="D60" i="9" s="1"/>
  <c r="E53" i="9"/>
  <c r="D53" i="9" s="1"/>
  <c r="E52" i="9"/>
  <c r="D52" i="9" s="1"/>
  <c r="J55" i="9"/>
  <c r="J54" i="9"/>
  <c r="D27" i="10"/>
  <c r="E56" i="9"/>
  <c r="D56" i="9" s="1"/>
  <c r="E62" i="9"/>
  <c r="D62" i="9" s="1"/>
  <c r="E57" i="9"/>
  <c r="D57" i="9" s="1"/>
  <c r="E63" i="9"/>
  <c r="D63" i="9" s="1"/>
  <c r="K27" i="10"/>
  <c r="L27" i="10" s="1"/>
  <c r="J66" i="9"/>
  <c r="J62" i="9"/>
  <c r="I62" i="9" s="1"/>
  <c r="J51" i="9"/>
  <c r="J58" i="9"/>
  <c r="I58" i="9" s="1"/>
  <c r="E58" i="9"/>
  <c r="D58" i="9" s="1"/>
  <c r="E50" i="9"/>
  <c r="D50" i="9" s="1"/>
  <c r="E49" i="9"/>
  <c r="E66" i="9"/>
  <c r="E70" i="9"/>
  <c r="D70" i="9" s="1"/>
  <c r="E67" i="9"/>
  <c r="D67" i="9" s="1"/>
  <c r="E61" i="9"/>
  <c r="D61" i="9" s="1"/>
  <c r="K17" i="10"/>
  <c r="L17" i="10" s="1"/>
  <c r="J61" i="9"/>
  <c r="J50" i="9"/>
  <c r="I50" i="9" s="1"/>
  <c r="J56" i="9"/>
  <c r="I56" i="9" s="1"/>
  <c r="J63" i="9"/>
  <c r="J57" i="9"/>
  <c r="J64" i="9"/>
  <c r="I64" i="9" s="1"/>
  <c r="J52" i="9"/>
  <c r="J59" i="9"/>
  <c r="J69" i="9"/>
  <c r="J49" i="9"/>
  <c r="J60" i="9"/>
  <c r="I60" i="9" s="1"/>
  <c r="J53" i="9"/>
  <c r="J67" i="9"/>
  <c r="I67" i="9" s="1"/>
  <c r="J68" i="9"/>
  <c r="E59" i="9"/>
  <c r="D59" i="9" s="1"/>
  <c r="E64" i="9"/>
  <c r="D64" i="9" s="1"/>
  <c r="E51" i="9"/>
  <c r="D51" i="9" s="1"/>
  <c r="E55" i="9"/>
  <c r="D55" i="9" s="1"/>
  <c r="E68" i="9"/>
  <c r="D68" i="9" s="1"/>
  <c r="E31" i="9"/>
  <c r="K57" i="10"/>
  <c r="H57" i="10"/>
  <c r="L46" i="10"/>
  <c r="L35" i="10"/>
  <c r="L54" i="10"/>
  <c r="J57" i="10"/>
  <c r="D57" i="10"/>
  <c r="L52" i="10"/>
  <c r="J71" i="9" l="1"/>
  <c r="E71" i="9"/>
  <c r="L5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<sst xmlns="http://schemas.openxmlformats.org/spreadsheetml/2006/main" count="5262" uniqueCount="424">
  <si>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</si>
  <si>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</si>
  <si>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</si>
  <si>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</si>
  <si>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</si>
  <si>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</si>
  <si>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</si>
  <si>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</si>
  <si>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</si>
  <si>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</si>
  <si>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</si>
  <si>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</si>
  <si>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</si>
  <si>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</si>
  <si>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</si>
  <si>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</si>
  <si>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</si>
  <si>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</si>
  <si>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</si>
  <si>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</si>
  <si>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</si>
  <si>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</si>
  <si>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</si>
  <si>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</si>
  <si>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</si>
  <si>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</si>
  <si>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</si>
  <si>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</si>
  <si>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</si>
  <si>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</si>
  <si>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</si>
  <si>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</si>
  <si>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</si>
  <si>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</si>
  <si>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</si>
  <si>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</si>
  <si>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</si>
  <si>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</si>
  <si>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</si>
  <si>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</si>
  <si>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</si>
  <si>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</si>
  <si>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</si>
  <si>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</si>
  <si>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</si>
  <si>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</si>
  <si>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</si>
  <si>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</si>
  <si>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</si>
  <si>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</si>
  <si>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</si>
  <si>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</si>
  <si>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</si>
  <si>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</si>
  <si>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</si>
  <si>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</si>
  <si>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</si>
  <si>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</si>
  <si>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</si>
  <si>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</si>
  <si>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</si>
  <si>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</si>
  <si>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</si>
  <si>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</si>
  <si>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Bedriftsp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</si>
  <si>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</si>
  <si>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</si>
  <si>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</si>
  <si>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</si>
  <si>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</si>
  <si>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</si>
  <si>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</si>
  <si>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</si>
  <si>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</si>
  <si>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</si>
  <si>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</si>
  <si>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</si>
  <si>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</si>
  <si>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</si>
  <si>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</si>
  <si>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</si>
  <si>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</si>
  <si>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</si>
  <si>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</si>
  <si>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</si>
  <si>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</si>
  <si>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</si>
  <si>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</si>
  <si>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</si>
  <si>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</si>
  <si>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</si>
  <si>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</si>
  <si>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</si>
  <si>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</si>
  <si>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</si>
  <si>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</si>
  <si>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</si>
  <si>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</si>
  <si>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</si>
  <si>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</si>
  <si>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</si>
  <si>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</si>
  <si>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</si>
  <si>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</si>
  <si>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</si>
  <si>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</si>
  <si>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</si>
  <si>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</si>
  <si>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</si>
  <si>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</si>
  <si>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</si>
  <si>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</si>
  <si>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</si>
  <si>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</si>
  <si>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</si>
  <si>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</si>
  <si>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</si>
  <si>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</si>
  <si>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</si>
  <si>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</si>
  <si>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</si>
  <si>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</si>
  <si>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</si>
  <si>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</si>
  <si>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</si>
  <si>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</si>
  <si>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</si>
  <si>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</si>
  <si>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</si>
  <si>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</si>
  <si>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</si>
  <si>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</si>
  <si>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</si>
  <si>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</si>
  <si>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</si>
  <si>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</si>
  <si>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</si>
  <si>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</si>
  <si>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</si>
  <si>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</si>
  <si>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</si>
  <si>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</si>
  <si>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</si>
  <si>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</si>
  <si>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</si>
  <si>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</si>
  <si>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</si>
  <si>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</si>
  <si>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</si>
  <si>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</si>
  <si>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</si>
  <si>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</si>
  <si>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</si>
  <si>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</si>
  <si>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</si>
  <si>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</si>
  <si>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</si>
  <si>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</si>
  <si>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</si>
  <si>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</si>
  <si>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</si>
  <si>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</si>
  <si>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</si>
  <si>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</si>
  <si>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</si>
  <si>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</si>
  <si>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</si>
  <si>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</si>
  <si>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</si>
  <si>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</si>
  <si>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</si>
  <si>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</si>
  <si>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</si>
  <si>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</si>
  <si>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</si>
  <si>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</si>
  <si>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</si>
  <si>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</si>
  <si>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</si>
  <si>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</si>
  <si>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</si>
  <si>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</si>
  <si>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</si>
  <si>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</si>
  <si>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</si>
  <si>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</si>
  <si>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</si>
  <si>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</si>
  <si>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</si>
  <si>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</si>
  <si>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</si>
  <si>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</si>
  <si>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</si>
  <si>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</si>
  <si>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</si>
  <si>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</si>
  <si>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</si>
  <si>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</si>
  <si>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</si>
  <si>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</si>
  <si>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</si>
  <si>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</si>
  <si>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</si>
  <si>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</si>
  <si>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</si>
  <si>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</si>
  <si>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</si>
  <si>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</si>
  <si>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</si>
  <si>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</si>
  <si>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</si>
  <si>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</si>
  <si>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</si>
  <si>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</si>
  <si>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</si>
  <si>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</si>
  <si>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</si>
  <si>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</si>
  <si>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</si>
  <si>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</si>
  <si>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</si>
  <si>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</si>
  <si>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</si>
  <si>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</si>
  <si>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</si>
  <si>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</si>
  <si>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</si>
  <si>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</si>
  <si>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</si>
  <si>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</si>
  <si>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</si>
  <si>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</si>
  <si>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</si>
  <si>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</si>
  <si>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</si>
  <si>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</si>
  <si>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</si>
  <si>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</si>
  <si>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</si>
  <si>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</si>
  <si>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</si>
  <si>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</si>
  <si>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</si>
  <si>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</si>
  <si>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</si>
  <si>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</si>
  <si>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</si>
  <si>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</si>
  <si>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</si>
  <si>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</si>
  <si>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</si>
  <si>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</si>
  <si>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</si>
  <si>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</si>
  <si>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</si>
  <si>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</si>
  <si>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</si>
  <si>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</si>
  <si>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</si>
  <si>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</si>
  <si>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</si>
  <si>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</si>
  <si>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</si>
  <si>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</si>
  <si>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</si>
  <si>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</si>
  <si>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</si>
  <si>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</si>
  <si>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</si>
  <si>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</si>
  <si>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</si>
  <si>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</si>
  <si>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</si>
  <si>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</si>
  <si>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</si>
  <si>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</si>
  <si>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</si>
  <si>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</si>
  <si>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</si>
  <si>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</si>
  <si>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</si>
  <si>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</si>
  <si>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</si>
  <si>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</si>
  <si>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</si>
  <si>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</si>
  <si>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</si>
  <si>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</si>
  <si>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</si>
  <si>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</si>
  <si>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</si>
  <si>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</si>
  <si>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</si>
  <si>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</si>
  <si>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</si>
  <si>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</si>
  <si>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</si>
  <si>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</si>
  <si>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</si>
  <si>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</si>
  <si>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</si>
  <si>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</si>
  <si>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</si>
  <si>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</si>
  <si>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</si>
  <si>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</si>
  <si>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</si>
  <si>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</si>
  <si>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</si>
  <si>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</si>
  <si>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</si>
  <si>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</si>
  <si>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</si>
  <si>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</si>
  <si>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</si>
  <si>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</si>
  <si>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</si>
  <si>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</si>
  <si>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</si>
  <si>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</si>
  <si>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</si>
  <si>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</si>
  <si>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</si>
  <si>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</si>
  <si>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</si>
  <si>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</si>
  <si>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</si>
  <si>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</si>
  <si>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</si>
  <si>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</si>
  <si>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</si>
  <si>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</si>
  <si>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</si>
  <si>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</si>
  <si>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</si>
  <si>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</si>
  <si>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</si>
  <si>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</si>
  <si>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</si>
  <si>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</si>
  <si>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</si>
  <si>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</si>
  <si>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</si>
  <si>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</si>
  <si>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</si>
  <si>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</si>
  <si>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</si>
  <si>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</si>
  <si>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</si>
  <si>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</si>
  <si>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</si>
  <si>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</si>
  <si>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</si>
  <si>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</si>
  <si>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</si>
  <si>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</si>
  <si>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</si>
  <si>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</si>
  <si>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</si>
  <si>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</si>
  <si>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</si>
  <si>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</si>
  <si>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</si>
  <si>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</si>
  <si>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</si>
  <si>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</si>
  <si>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</si>
  <si>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</si>
  <si>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</si>
  <si>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</si>
  <si>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</si>
  <si>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</si>
  <si>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</si>
  <si>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</si>
  <si>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</si>
  <si>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</si>
  <si>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</si>
  <si>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</si>
  <si>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</si>
  <si>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</si>
  <si>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</si>
  <si>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</si>
  <si>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</si>
  <si>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</si>
  <si>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</si>
  <si>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</si>
  <si>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</si>
  <si>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</si>
  <si>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</si>
  <si>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</si>
  <si>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</si>
  <si>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</si>
  <si>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</si>
  <si>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</si>
  <si>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</si>
  <si>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</si>
  <si>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</si>
  <si>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</si>
  <si>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</si>
  <si>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</si>
  <si>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</si>
  <si>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</si>
  <si>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</si>
  <si>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</si>
  <si>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</si>
  <si>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Insr</t>
  </si>
  <si>
    <t>Landkreditt Forsikring AS</t>
  </si>
  <si>
    <t>30.9.2018</t>
  </si>
  <si>
    <t>30.9.2019</t>
  </si>
  <si>
    <t>30.09.</t>
  </si>
  <si>
    <t>Figur 1  Brutto forfalt premie livprodukter  -  produkter uten investeringsvalg pr. 30.09.</t>
  </si>
  <si>
    <t>Landkreditt Fors.</t>
  </si>
  <si>
    <t>Figur 2  Brutto forfalt premie livprodukter  -  produkter med investeringsvalg pr. 30.09.</t>
  </si>
  <si>
    <t>Figur 3  Forsikringsforpliktelser i livsforsikring  -  produkter uten investeringsvalg pr. 30.09.</t>
  </si>
  <si>
    <t>Figur 4  Forsikringsforpliktelser i livsforsikring -  produkter med investeringsvalg pr. 30.09.</t>
  </si>
  <si>
    <t>Figur 5  Netto tilflytting livprodukter  -  produkter uten investeringsvalg pr. 30.09.</t>
  </si>
  <si>
    <t>Figur 6  Netto tilflytting livprodukter  -  produkter med investeringsvalg pr. 30.09.</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</si>
  <si>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</si>
  <si>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</si>
  <si>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</si>
  <si>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</si>
  <si>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</si>
  <si>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30.9.</t>
  </si>
  <si>
    <t>Landkreditt Forsikring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</si>
</sst>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
      <sz val="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19" fillId="0" borderId="0"/>
    <xf numFmtId="164"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0" fontId="10" fillId="0" borderId="0"/>
    <xf numFmtId="0" fontId="19" fillId="0" borderId="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4" fontId="25" fillId="0" borderId="0" applyFont="0" applyFill="0" applyBorder="0" applyAlignment="0" applyProtection="0"/>
    <xf numFmtId="0" fontId="10"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7" borderId="0" applyNumberFormat="0" applyBorder="0" applyAlignment="0" applyProtection="0"/>
    <xf numFmtId="0" fontId="14" fillId="0" borderId="0"/>
    <xf numFmtId="171" fontId="15" fillId="0" borderId="7" applyFont="0" applyFill="0" applyBorder="0" applyAlignment="0" applyProtection="0">
      <alignment horizontal="right"/>
    </xf>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9" fontId="73" fillId="0" borderId="0" applyFont="0" applyFill="0" applyBorder="0" applyAlignment="0" applyProtection="0"/>
  </cellStyleXfs>
  <cellXfs count="704">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5"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5" fontId="15" fillId="3" borderId="5" xfId="1" applyNumberFormat="1" applyFont="1" applyFill="1" applyBorder="1" applyAlignment="1">
      <alignment horizontal="right"/>
    </xf>
    <xf numFmtId="0" fontId="17" fillId="0" borderId="6" xfId="1" applyFont="1" applyBorder="1"/>
    <xf numFmtId="165"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5" fontId="17" fillId="3" borderId="6" xfId="1" applyNumberFormat="1" applyFont="1" applyFill="1" applyBorder="1" applyAlignment="1">
      <alignment horizontal="right"/>
    </xf>
    <xf numFmtId="165" fontId="17" fillId="3" borderId="3" xfId="1" applyNumberFormat="1" applyFont="1" applyFill="1" applyBorder="1" applyAlignment="1">
      <alignment horizontal="right"/>
    </xf>
    <xf numFmtId="165" fontId="15" fillId="3" borderId="3" xfId="1" applyNumberFormat="1" applyFont="1" applyFill="1" applyBorder="1" applyAlignment="1">
      <alignment horizontal="right"/>
    </xf>
    <xf numFmtId="165" fontId="17" fillId="0" borderId="0" xfId="1" applyNumberFormat="1" applyFont="1" applyBorder="1"/>
    <xf numFmtId="3" fontId="17" fillId="0" borderId="0" xfId="1" applyNumberFormat="1" applyFont="1" applyBorder="1"/>
    <xf numFmtId="165"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5"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5"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5"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7"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8" fontId="17" fillId="0" borderId="0" xfId="1" applyNumberFormat="1" applyFont="1" applyFill="1" applyBorder="1" applyAlignment="1">
      <alignment horizontal="center"/>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7" fontId="15" fillId="0" borderId="4" xfId="0" applyNumberFormat="1" applyFont="1" applyBorder="1" applyAlignment="1">
      <alignment horizontal="center"/>
    </xf>
    <xf numFmtId="167" fontId="15" fillId="0" borderId="11" xfId="0" applyNumberFormat="1" applyFont="1" applyBorder="1" applyAlignment="1">
      <alignment horizontal="center"/>
    </xf>
    <xf numFmtId="0" fontId="15"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5" fontId="30" fillId="0" borderId="11" xfId="0" applyNumberFormat="1" applyFont="1" applyBorder="1" applyAlignment="1">
      <alignment horizontal="right"/>
    </xf>
    <xf numFmtId="165"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7" fillId="0" borderId="0" xfId="1" applyFont="1" applyFill="1" applyBorder="1" applyAlignment="1">
      <alignment horizontal="left"/>
    </xf>
    <xf numFmtId="0" fontId="70"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2"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1" fillId="0" borderId="0" xfId="0" applyFont="1" applyFill="1" applyAlignment="1">
      <alignment horizontal="left" vertical="center" readingOrder="1"/>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5" fontId="30" fillId="0" borderId="3" xfId="0" applyNumberFormat="1" applyFont="1" applyBorder="1"/>
    <xf numFmtId="165" fontId="45" fillId="0" borderId="3" xfId="0" applyNumberFormat="1" applyFont="1" applyBorder="1"/>
    <xf numFmtId="165" fontId="30" fillId="0" borderId="3" xfId="0" applyNumberFormat="1" applyFont="1" applyFill="1" applyBorder="1"/>
    <xf numFmtId="165" fontId="45" fillId="0" borderId="6" xfId="0" applyNumberFormat="1" applyFont="1" applyBorder="1"/>
    <xf numFmtId="165" fontId="15" fillId="0" borderId="6" xfId="1" applyNumberFormat="1" applyFont="1" applyBorder="1" applyAlignment="1">
      <alignment horizontal="center"/>
    </xf>
    <xf numFmtId="165" fontId="17" fillId="3" borderId="0" xfId="1" applyNumberFormat="1" applyFont="1" applyFill="1" applyBorder="1" applyAlignment="1">
      <alignment horizontal="right"/>
    </xf>
    <xf numFmtId="165"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3" fontId="15" fillId="0" borderId="0" xfId="1" applyNumberFormat="1" applyFont="1" applyFill="1"/>
    <xf numFmtId="168" fontId="15" fillId="3" borderId="7" xfId="1" applyNumberFormat="1" applyFont="1" applyFill="1" applyBorder="1" applyAlignment="1">
      <alignment horizontal="right"/>
    </xf>
    <xf numFmtId="168" fontId="15" fillId="3" borderId="3" xfId="1" applyNumberFormat="1" applyFont="1" applyFill="1" applyBorder="1" applyAlignment="1">
      <alignment horizontal="right"/>
    </xf>
    <xf numFmtId="168"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5" fontId="15" fillId="3" borderId="0" xfId="1" applyNumberFormat="1" applyFont="1" applyFill="1" applyBorder="1" applyAlignment="1">
      <alignment horizontal="right"/>
    </xf>
    <xf numFmtId="0" fontId="13" fillId="0" borderId="0" xfId="1" applyFont="1" applyBorder="1" applyAlignment="1">
      <alignment horizontal="center"/>
    </xf>
    <xf numFmtId="3" fontId="60" fillId="4" borderId="3" xfId="0" applyNumberFormat="1" applyFont="1" applyFill="1" applyBorder="1" applyAlignment="1" applyProtection="1">
      <alignment horizontal="right"/>
    </xf>
    <xf numFmtId="3" fontId="60"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xf>
    <xf numFmtId="3" fontId="30" fillId="0" borderId="4" xfId="847"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0"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4"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3" fontId="45" fillId="0" borderId="4" xfId="0" applyNumberFormat="1" applyFont="1" applyFill="1" applyBorder="1" applyAlignment="1" applyProtection="1">
      <alignment horizontal="right"/>
    </xf>
    <xf numFmtId="3" fontId="30" fillId="4" borderId="3" xfId="0"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0" borderId="6" xfId="0" applyNumberFormat="1" applyFont="1" applyBorder="1" applyAlignment="1" applyProtection="1">
      <alignment horizontal="right"/>
    </xf>
    <xf numFmtId="3" fontId="45" fillId="4" borderId="11" xfId="0" applyNumberFormat="1" applyFont="1" applyFill="1" applyBorder="1" applyAlignment="1" applyProtection="1">
      <alignment horizontal="right"/>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169" fontId="15"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1" fillId="0" borderId="0" xfId="0" applyFont="1" applyProtection="1">
      <protection locked="0"/>
    </xf>
    <xf numFmtId="3" fontId="62"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165"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5"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5"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169"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1" fillId="0" borderId="0" xfId="0" applyFont="1" applyBorder="1" applyProtection="1">
      <protection locked="0"/>
    </xf>
    <xf numFmtId="3" fontId="61" fillId="0" borderId="0" xfId="0" applyNumberFormat="1" applyFont="1" applyProtection="1">
      <protection locked="0"/>
    </xf>
    <xf numFmtId="0" fontId="14"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169"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protection locked="0"/>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0" fontId="30" fillId="0" borderId="3" xfId="1" applyFont="1" applyBorder="1" applyAlignment="1" applyProtection="1">
      <alignment horizontal="right"/>
      <protection locked="0"/>
    </xf>
    <xf numFmtId="166" fontId="30" fillId="0" borderId="3" xfId="847" applyNumberFormat="1" applyFont="1" applyBorder="1" applyAlignment="1" applyProtection="1">
      <alignment horizontal="right"/>
    </xf>
    <xf numFmtId="166" fontId="30" fillId="0" borderId="3" xfId="847" applyNumberFormat="1" applyFont="1" applyBorder="1" applyAlignment="1" applyProtection="1">
      <alignment horizontal="right"/>
      <protection locked="0"/>
    </xf>
    <xf numFmtId="3" fontId="30" fillId="10" borderId="3" xfId="1" applyNumberFormat="1" applyFont="1" applyFill="1" applyBorder="1" applyAlignment="1" applyProtection="1">
      <alignment horizontal="right"/>
      <protection locked="0"/>
    </xf>
    <xf numFmtId="170" fontId="30" fillId="0" borderId="3" xfId="847" applyNumberFormat="1" applyFont="1" applyBorder="1" applyAlignment="1" applyProtection="1">
      <alignment horizontal="right"/>
    </xf>
    <xf numFmtId="170"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6" fontId="30" fillId="4" borderId="4" xfId="847" applyNumberFormat="1" applyFont="1" applyFill="1" applyBorder="1" applyAlignment="1" applyProtection="1">
      <alignment horizontal="right"/>
    </xf>
    <xf numFmtId="166" fontId="30" fillId="4" borderId="4" xfId="847" applyNumberFormat="1" applyFont="1" applyFill="1" applyBorder="1" applyAlignment="1" applyProtection="1">
      <alignment horizontal="right"/>
      <protection locked="0"/>
    </xf>
    <xf numFmtId="166" fontId="30" fillId="4" borderId="3" xfId="847" applyNumberFormat="1" applyFont="1" applyFill="1" applyBorder="1" applyAlignment="1" applyProtection="1">
      <alignment horizontal="right"/>
    </xf>
    <xf numFmtId="166" fontId="30" fillId="4" borderId="3" xfId="847" applyNumberFormat="1" applyFont="1" applyFill="1" applyBorder="1" applyAlignment="1" applyProtection="1">
      <alignment horizontal="right"/>
      <protection locked="0"/>
    </xf>
    <xf numFmtId="0" fontId="19" fillId="0" borderId="0" xfId="1" applyFont="1" applyFill="1" applyProtection="1">
      <protection locked="0"/>
    </xf>
    <xf numFmtId="0" fontId="45" fillId="0" borderId="11" xfId="1" applyFont="1" applyFill="1" applyBorder="1" applyProtection="1">
      <protection locked="0"/>
    </xf>
    <xf numFmtId="3" fontId="45" fillId="4" borderId="6" xfId="1"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4"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45" fillId="0" borderId="0" xfId="1" applyFont="1" applyFill="1" applyProtection="1">
      <protection locked="0"/>
    </xf>
    <xf numFmtId="0" fontId="30" fillId="0" borderId="0" xfId="1" applyFont="1" applyFill="1" applyProtection="1">
      <protection locked="0"/>
    </xf>
    <xf numFmtId="0" fontId="61" fillId="0" borderId="0" xfId="1" applyFont="1" applyBorder="1" applyProtection="1">
      <protection locked="0"/>
    </xf>
    <xf numFmtId="0" fontId="61" fillId="0" borderId="0" xfId="1" applyFont="1" applyProtection="1">
      <protection locked="0"/>
    </xf>
    <xf numFmtId="0" fontId="41" fillId="0" borderId="0" xfId="7" applyFont="1" applyFill="1" applyProtection="1">
      <protection locked="0"/>
    </xf>
    <xf numFmtId="0" fontId="30" fillId="0" borderId="0" xfId="7" applyFont="1" applyFill="1" applyProtection="1">
      <protection locked="0"/>
    </xf>
    <xf numFmtId="3" fontId="45" fillId="0" borderId="1" xfId="7" applyNumberFormat="1" applyFont="1" applyFill="1" applyBorder="1" applyProtection="1">
      <protection locked="0"/>
    </xf>
    <xf numFmtId="3" fontId="45" fillId="0" borderId="4" xfId="7" applyNumberFormat="1" applyFont="1" applyFill="1" applyBorder="1" applyProtection="1">
      <protection locked="0"/>
    </xf>
    <xf numFmtId="0" fontId="15" fillId="0" borderId="1" xfId="7" applyNumberFormat="1" applyFont="1" applyFill="1" applyBorder="1" applyAlignment="1" applyProtection="1">
      <alignment horizontal="center"/>
      <protection locked="0"/>
    </xf>
    <xf numFmtId="0" fontId="15" fillId="0" borderId="7" xfId="7" applyNumberFormat="1" applyFont="1" applyFill="1" applyBorder="1" applyAlignment="1" applyProtection="1">
      <alignment horizontal="center"/>
      <protection locked="0"/>
    </xf>
    <xf numFmtId="0" fontId="13" fillId="0" borderId="6" xfId="7" applyFont="1" applyFill="1" applyBorder="1" applyAlignment="1" applyProtection="1">
      <alignment horizontal="center"/>
      <protection locked="0"/>
    </xf>
    <xf numFmtId="169" fontId="15" fillId="0" borderId="6" xfId="7" applyNumberFormat="1" applyFont="1" applyFill="1" applyBorder="1" applyAlignment="1" applyProtection="1">
      <alignment horizontal="center"/>
      <protection locked="0"/>
    </xf>
    <xf numFmtId="0" fontId="30" fillId="0" borderId="3" xfId="7" applyFont="1" applyFill="1" applyBorder="1" applyProtection="1">
      <protection locked="0"/>
    </xf>
    <xf numFmtId="0" fontId="30" fillId="0" borderId="6" xfId="7" applyFont="1" applyFill="1" applyBorder="1" applyProtection="1">
      <protection locked="0"/>
    </xf>
    <xf numFmtId="3" fontId="30" fillId="0" borderId="11" xfId="7" applyNumberFormat="1" applyFont="1" applyFill="1" applyBorder="1" applyAlignment="1" applyProtection="1">
      <alignment horizontal="right"/>
    </xf>
    <xf numFmtId="3" fontId="30" fillId="0" borderId="11" xfId="7" applyNumberFormat="1" applyFont="1" applyFill="1" applyBorder="1" applyAlignment="1" applyProtection="1">
      <alignment horizontal="right"/>
      <protection locked="0"/>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Fill="1" applyBorder="1" applyAlignment="1">
      <alignment horizontal="center"/>
    </xf>
    <xf numFmtId="0" fontId="17" fillId="0" borderId="6" xfId="0" applyFont="1" applyFill="1" applyBorder="1"/>
    <xf numFmtId="3" fontId="17" fillId="0" borderId="3" xfId="847" applyNumberFormat="1" applyFont="1" applyBorder="1" applyAlignment="1">
      <alignment horizontal="left"/>
    </xf>
    <xf numFmtId="0" fontId="15" fillId="0" borderId="6" xfId="1" applyFont="1" applyFill="1" applyBorder="1"/>
    <xf numFmtId="3" fontId="17" fillId="0" borderId="3" xfId="847" applyNumberFormat="1" applyFont="1" applyFill="1" applyBorder="1" applyAlignment="1">
      <alignment horizontal="left"/>
    </xf>
    <xf numFmtId="0" fontId="15" fillId="0" borderId="4" xfId="1" applyFont="1" applyFill="1" applyBorder="1"/>
    <xf numFmtId="0" fontId="15" fillId="0" borderId="11" xfId="1" applyFont="1" applyFill="1" applyBorder="1"/>
    <xf numFmtId="0" fontId="45" fillId="2" borderId="3" xfId="0" applyFont="1" applyFill="1" applyBorder="1" applyProtection="1">
      <protection locked="0"/>
    </xf>
    <xf numFmtId="0" fontId="45" fillId="2" borderId="6" xfId="0" applyFont="1" applyFill="1" applyBorder="1" applyProtection="1">
      <protection locked="0"/>
    </xf>
    <xf numFmtId="3" fontId="30" fillId="4" borderId="1"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protection locked="0"/>
    </xf>
    <xf numFmtId="0" fontId="30" fillId="0" borderId="3" xfId="0" applyFont="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1" fontId="30" fillId="0" borderId="3" xfId="0" applyNumberFormat="1" applyFont="1" applyBorder="1" applyAlignment="1" applyProtection="1">
      <alignment horizontal="right"/>
      <protection locked="0"/>
    </xf>
    <xf numFmtId="3" fontId="30" fillId="4" borderId="0" xfId="0" applyNumberFormat="1" applyFont="1" applyFill="1" applyBorder="1" applyAlignment="1" applyProtection="1">
      <alignment horizontal="right"/>
      <protection locked="0"/>
    </xf>
    <xf numFmtId="0" fontId="30" fillId="0" borderId="0" xfId="7" applyFont="1" applyProtection="1">
      <protection locked="0"/>
    </xf>
    <xf numFmtId="4" fontId="30" fillId="4" borderId="4" xfId="7"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protection locked="0"/>
    </xf>
    <xf numFmtId="3" fontId="30" fillId="4" borderId="11"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protection locked="0"/>
    </xf>
    <xf numFmtId="3" fontId="30" fillId="4" borderId="3"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xf>
    <xf numFmtId="3" fontId="30" fillId="4" borderId="6" xfId="7" applyNumberFormat="1" applyFont="1" applyFill="1" applyBorder="1" applyAlignment="1" applyProtection="1">
      <alignment horizontal="right"/>
    </xf>
    <xf numFmtId="3" fontId="30" fillId="4" borderId="6" xfId="7" applyNumberFormat="1" applyFont="1" applyFill="1" applyBorder="1" applyAlignment="1" applyProtection="1">
      <alignment horizontal="right"/>
      <protection locked="0"/>
    </xf>
    <xf numFmtId="3" fontId="30" fillId="4" borderId="1" xfId="0" applyNumberFormat="1" applyFont="1" applyFill="1" applyBorder="1" applyAlignment="1" applyProtection="1">
      <alignment horizontal="right"/>
    </xf>
    <xf numFmtId="3" fontId="45" fillId="0" borderId="6" xfId="0" applyNumberFormat="1" applyFont="1" applyFill="1" applyBorder="1" applyAlignment="1" applyProtection="1">
      <alignment horizontal="right"/>
    </xf>
    <xf numFmtId="0" fontId="30" fillId="2" borderId="3" xfId="0" applyFont="1" applyFill="1" applyBorder="1" applyProtection="1">
      <protection locked="0"/>
    </xf>
    <xf numFmtId="0" fontId="30" fillId="2" borderId="6" xfId="0" applyFont="1" applyFill="1" applyBorder="1" applyProtection="1">
      <protection locked="0"/>
    </xf>
    <xf numFmtId="0" fontId="30" fillId="0" borderId="3" xfId="0" applyFont="1" applyBorder="1" applyAlignment="1" applyProtection="1">
      <alignment horizontal="right"/>
    </xf>
    <xf numFmtId="3" fontId="30" fillId="4" borderId="7" xfId="0" applyNumberFormat="1" applyFont="1" applyFill="1" applyBorder="1" applyAlignment="1" applyProtection="1">
      <alignment horizontal="right"/>
    </xf>
    <xf numFmtId="1" fontId="30" fillId="0" borderId="3" xfId="0" applyNumberFormat="1" applyFont="1" applyBorder="1" applyAlignment="1" applyProtection="1">
      <alignment horizontal="right"/>
    </xf>
    <xf numFmtId="1" fontId="13" fillId="0" borderId="11" xfId="1" applyNumberFormat="1" applyFont="1" applyFill="1" applyBorder="1" applyAlignment="1">
      <alignment horizontal="center"/>
    </xf>
    <xf numFmtId="0" fontId="13" fillId="0" borderId="6" xfId="0" applyFont="1" applyFill="1" applyBorder="1" applyAlignment="1" applyProtection="1">
      <alignment horizontal="center"/>
      <protection locked="0"/>
    </xf>
    <xf numFmtId="3" fontId="30" fillId="4" borderId="0" xfId="0" applyNumberFormat="1" applyFont="1" applyFill="1" applyBorder="1" applyAlignment="1" applyProtection="1">
      <alignment horizontal="right"/>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30" fillId="4" borderId="1" xfId="15" applyNumberFormat="1" applyFont="1" applyFill="1" applyBorder="1" applyAlignment="1" applyProtection="1">
      <alignment horizontal="right"/>
    </xf>
    <xf numFmtId="3" fontId="30" fillId="4" borderId="4" xfId="847" applyNumberFormat="1" applyFont="1" applyFill="1" applyBorder="1" applyAlignment="1" applyProtection="1">
      <alignment horizontal="right"/>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13" fillId="0" borderId="0" xfId="1" applyNumberFormat="1" applyFont="1" applyFill="1" applyBorder="1" applyAlignment="1">
      <alignment horizontal="center"/>
    </xf>
    <xf numFmtId="3" fontId="13" fillId="0" borderId="12" xfId="1" applyNumberFormat="1" applyFont="1" applyFill="1" applyBorder="1"/>
    <xf numFmtId="3" fontId="14" fillId="0" borderId="0" xfId="1" applyNumberFormat="1" applyFont="1" applyFill="1" applyBorder="1" applyAlignment="1">
      <alignment horizontal="center"/>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19" fillId="0" borderId="0" xfId="7" applyProtection="1">
      <protection locked="0"/>
    </xf>
    <xf numFmtId="165" fontId="19" fillId="0" borderId="0" xfId="7" applyNumberFormat="1" applyProtection="1">
      <protection locked="0"/>
    </xf>
    <xf numFmtId="3" fontId="58" fillId="0" borderId="0" xfId="7" applyNumberFormat="1" applyFont="1" applyFill="1" applyProtection="1">
      <protection locked="0"/>
    </xf>
    <xf numFmtId="165" fontId="19" fillId="0" borderId="0" xfId="7" applyNumberFormat="1" applyBorder="1" applyProtection="1">
      <protection locked="0"/>
    </xf>
    <xf numFmtId="14" fontId="13" fillId="0" borderId="7" xfId="7" applyNumberFormat="1" applyFont="1" applyFill="1" applyBorder="1" applyAlignment="1" applyProtection="1">
      <alignment horizontal="left"/>
      <protection locked="0"/>
    </xf>
    <xf numFmtId="0" fontId="17" fillId="0" borderId="10" xfId="7" applyFont="1" applyBorder="1" applyProtection="1">
      <protection locked="0"/>
    </xf>
    <xf numFmtId="0" fontId="17" fillId="0" borderId="8" xfId="7" applyFont="1" applyBorder="1" applyProtection="1">
      <protection locked="0"/>
    </xf>
    <xf numFmtId="0" fontId="17" fillId="0" borderId="9" xfId="7" applyFont="1" applyBorder="1" applyProtection="1">
      <protection locked="0"/>
    </xf>
    <xf numFmtId="0" fontId="69" fillId="0" borderId="8" xfId="7" applyFont="1" applyBorder="1" applyAlignment="1" applyProtection="1">
      <alignment horizontal="center"/>
      <protection locked="0"/>
    </xf>
    <xf numFmtId="165" fontId="17" fillId="4" borderId="0" xfId="7" applyNumberFormat="1" applyFont="1" applyFill="1" applyBorder="1" applyProtection="1">
      <protection locked="0"/>
    </xf>
    <xf numFmtId="0" fontId="17" fillId="4" borderId="0" xfId="7" applyFont="1" applyFill="1" applyBorder="1" applyProtection="1">
      <protection locked="0"/>
    </xf>
    <xf numFmtId="0" fontId="19" fillId="0" borderId="0" xfId="7" applyBorder="1" applyProtection="1">
      <protection locked="0"/>
    </xf>
    <xf numFmtId="0" fontId="45" fillId="4" borderId="0" xfId="7" applyNumberFormat="1" applyFont="1" applyFill="1" applyBorder="1" applyAlignment="1" applyProtection="1">
      <alignment horizontal="center"/>
      <protection locked="0"/>
    </xf>
    <xf numFmtId="3" fontId="50" fillId="4" borderId="11" xfId="7" applyNumberFormat="1" applyFont="1" applyFill="1" applyBorder="1" applyProtection="1">
      <protection locked="0"/>
    </xf>
    <xf numFmtId="169" fontId="13" fillId="4" borderId="0" xfId="7" applyNumberFormat="1" applyFont="1" applyFill="1" applyBorder="1" applyAlignment="1" applyProtection="1">
      <alignment horizontal="center"/>
      <protection locked="0"/>
    </xf>
    <xf numFmtId="0" fontId="13" fillId="4" borderId="0" xfId="7" applyNumberFormat="1" applyFont="1" applyFill="1" applyBorder="1" applyAlignment="1" applyProtection="1">
      <alignment horizontal="center"/>
      <protection locked="0"/>
    </xf>
    <xf numFmtId="0" fontId="45" fillId="0" borderId="7" xfId="7" applyFont="1" applyFill="1" applyBorder="1" applyProtection="1">
      <protection locked="0"/>
    </xf>
    <xf numFmtId="4" fontId="30" fillId="4" borderId="7" xfId="7" applyNumberFormat="1" applyFont="1" applyFill="1" applyBorder="1" applyAlignment="1" applyProtection="1">
      <alignment horizontal="right"/>
    </xf>
    <xf numFmtId="4" fontId="30" fillId="4" borderId="7" xfId="7" applyNumberFormat="1" applyFont="1" applyFill="1" applyBorder="1" applyAlignment="1" applyProtection="1">
      <alignment horizontal="right"/>
      <protection locked="0"/>
    </xf>
    <xf numFmtId="4" fontId="30" fillId="4" borderId="4" xfId="7" applyNumberFormat="1" applyFont="1" applyFill="1" applyBorder="1" applyAlignment="1" applyProtection="1">
      <alignment horizontal="right"/>
    </xf>
    <xf numFmtId="0" fontId="36" fillId="0" borderId="0" xfId="7" applyFont="1" applyBorder="1" applyProtection="1">
      <protection locked="0"/>
    </xf>
    <xf numFmtId="0" fontId="36" fillId="0" borderId="0" xfId="7" applyFont="1" applyProtection="1">
      <protection locked="0"/>
    </xf>
    <xf numFmtId="0" fontId="53" fillId="0" borderId="0" xfId="7" applyFont="1" applyBorder="1" applyProtection="1">
      <protection locked="0"/>
    </xf>
    <xf numFmtId="0" fontId="53" fillId="0" borderId="0" xfId="7" applyFont="1" applyProtection="1">
      <protection locked="0"/>
    </xf>
    <xf numFmtId="2" fontId="30" fillId="4" borderId="3" xfId="850" applyNumberFormat="1" applyFont="1" applyFill="1" applyBorder="1" applyAlignment="1" applyProtection="1">
      <alignment horizontal="right"/>
    </xf>
    <xf numFmtId="4" fontId="30" fillId="4" borderId="3" xfId="0" applyNumberFormat="1" applyFont="1" applyFill="1" applyBorder="1" applyAlignment="1" applyProtection="1">
      <alignment horizontal="right"/>
    </xf>
    <xf numFmtId="3" fontId="30" fillId="4" borderId="3" xfId="7" applyNumberFormat="1" applyFont="1" applyFill="1" applyBorder="1" applyAlignment="1" applyProtection="1">
      <alignment horizontal="right"/>
    </xf>
    <xf numFmtId="3" fontId="30" fillId="4" borderId="4" xfId="7" applyNumberFormat="1" applyFont="1" applyFill="1" applyBorder="1" applyAlignment="1" applyProtection="1">
      <alignment horizontal="right"/>
    </xf>
    <xf numFmtId="3" fontId="30" fillId="4" borderId="11" xfId="7" applyNumberFormat="1" applyFont="1" applyFill="1" applyBorder="1" applyAlignment="1" applyProtection="1">
      <alignment horizontal="right"/>
    </xf>
    <xf numFmtId="3" fontId="15" fillId="0" borderId="6" xfId="1" applyNumberFormat="1" applyFont="1" applyFill="1" applyBorder="1"/>
    <xf numFmtId="3" fontId="15" fillId="0" borderId="11" xfId="1" applyNumberFormat="1" applyFont="1" applyFill="1" applyBorder="1"/>
    <xf numFmtId="3" fontId="17" fillId="0" borderId="8" xfId="1" applyNumberFormat="1" applyFont="1" applyFill="1" applyBorder="1"/>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1" xfId="1" applyFont="1" applyFill="1" applyBorder="1" applyAlignment="1" applyProtection="1">
      <alignment horizontal="center"/>
      <protection locked="0"/>
    </xf>
    <xf numFmtId="0" fontId="45" fillId="0" borderId="12" xfId="1" applyFont="1" applyFill="1" applyBorder="1" applyAlignment="1" applyProtection="1">
      <alignment horizontal="center"/>
      <protection locked="0"/>
    </xf>
    <xf numFmtId="0" fontId="45" fillId="0" borderId="5" xfId="1" applyFont="1" applyFill="1" applyBorder="1" applyAlignment="1" applyProtection="1">
      <alignment horizontal="center"/>
      <protection locked="0"/>
    </xf>
    <xf numFmtId="0" fontId="45" fillId="0" borderId="1" xfId="1" applyFont="1" applyFill="1" applyBorder="1" applyAlignment="1" applyProtection="1">
      <alignment horizontal="center"/>
      <protection locked="0"/>
    </xf>
    <xf numFmtId="0" fontId="45" fillId="0" borderId="14" xfId="1" applyFont="1" applyFill="1" applyBorder="1" applyAlignment="1" applyProtection="1">
      <alignment horizontal="center"/>
      <protection locked="0"/>
    </xf>
    <xf numFmtId="0" fontId="45" fillId="0" borderId="15" xfId="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4" borderId="0" xfId="7" applyNumberFormat="1" applyFont="1" applyFill="1" applyBorder="1" applyAlignment="1" applyProtection="1">
      <alignment horizontal="center"/>
      <protection locked="0"/>
    </xf>
    <xf numFmtId="0" fontId="45" fillId="0" borderId="11" xfId="7" applyNumberFormat="1" applyFont="1" applyFill="1" applyBorder="1" applyAlignment="1" applyProtection="1">
      <alignment horizontal="center"/>
      <protection locked="0"/>
    </xf>
    <xf numFmtId="0" fontId="45" fillId="0" borderId="12" xfId="7" applyNumberFormat="1" applyFont="1" applyFill="1" applyBorder="1" applyAlignment="1" applyProtection="1">
      <alignment horizontal="center"/>
      <protection locked="0"/>
    </xf>
    <xf numFmtId="0" fontId="45" fillId="0" borderId="5" xfId="7"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Prosent" xfId="850" builtinId="5"/>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15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2018</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Landkreditt Fors.</c:v>
                </c:pt>
                <c:pt idx="13">
                  <c:v>Insr</c:v>
                </c:pt>
                <c:pt idx="14">
                  <c:v>Nordea Liv</c:v>
                </c:pt>
                <c:pt idx="15">
                  <c:v>OPF</c:v>
                </c:pt>
                <c:pt idx="16">
                  <c:v>Protector Fors</c:v>
                </c:pt>
                <c:pt idx="17">
                  <c:v>SpareBank 1</c:v>
                </c:pt>
                <c:pt idx="18">
                  <c:v>Storebrand </c:v>
                </c:pt>
                <c:pt idx="19">
                  <c:v>Telenor Fors</c:v>
                </c:pt>
                <c:pt idx="20">
                  <c:v>Tryg Fors</c:v>
                </c:pt>
              </c:strCache>
            </c:strRef>
          </c:cat>
          <c:val>
            <c:numRef>
              <c:f>Figurer!$M$10:$M$30</c:f>
              <c:numCache>
                <c:formatCode>#,##0</c:formatCode>
                <c:ptCount val="21"/>
                <c:pt idx="0">
                  <c:v>311903.85599999997</c:v>
                </c:pt>
                <c:pt idx="1">
                  <c:v>3693482</c:v>
                </c:pt>
                <c:pt idx="2">
                  <c:v>228170</c:v>
                </c:pt>
                <c:pt idx="3">
                  <c:v>463177</c:v>
                </c:pt>
                <c:pt idx="4">
                  <c:v>6101</c:v>
                </c:pt>
                <c:pt idx="5">
                  <c:v>1376815</c:v>
                </c:pt>
                <c:pt idx="6">
                  <c:v>448350</c:v>
                </c:pt>
                <c:pt idx="7">
                  <c:v>27672</c:v>
                </c:pt>
                <c:pt idx="8">
                  <c:v>354933.20600000001</c:v>
                </c:pt>
                <c:pt idx="9">
                  <c:v>31138078.29101</c:v>
                </c:pt>
                <c:pt idx="10">
                  <c:v>66367</c:v>
                </c:pt>
                <c:pt idx="11">
                  <c:v>126445.98299999999</c:v>
                </c:pt>
                <c:pt idx="12">
                  <c:v>24377</c:v>
                </c:pt>
                <c:pt idx="13">
                  <c:v>1079</c:v>
                </c:pt>
                <c:pt idx="14">
                  <c:v>1223827.0734030721</c:v>
                </c:pt>
                <c:pt idx="15">
                  <c:v>4003368.5150000001</c:v>
                </c:pt>
                <c:pt idx="16">
                  <c:v>299297.71739252901</c:v>
                </c:pt>
                <c:pt idx="17">
                  <c:v>2103059.9592800001</c:v>
                </c:pt>
                <c:pt idx="18">
                  <c:v>4517436.4090000009</c:v>
                </c:pt>
                <c:pt idx="19">
                  <c:v>20446</c:v>
                </c:pt>
                <c:pt idx="20">
                  <c:v>494563</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2019</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Landkreditt Fors.</c:v>
                </c:pt>
                <c:pt idx="13">
                  <c:v>Insr</c:v>
                </c:pt>
                <c:pt idx="14">
                  <c:v>Nordea Liv</c:v>
                </c:pt>
                <c:pt idx="15">
                  <c:v>OPF</c:v>
                </c:pt>
                <c:pt idx="16">
                  <c:v>Protector Fors</c:v>
                </c:pt>
                <c:pt idx="17">
                  <c:v>SpareBank 1</c:v>
                </c:pt>
                <c:pt idx="18">
                  <c:v>Storebrand </c:v>
                </c:pt>
                <c:pt idx="19">
                  <c:v>Telenor Fors</c:v>
                </c:pt>
                <c:pt idx="20">
                  <c:v>Tryg Fors</c:v>
                </c:pt>
              </c:strCache>
            </c:strRef>
          </c:cat>
          <c:val>
            <c:numRef>
              <c:f>Figurer!$N$10:$N$30</c:f>
              <c:numCache>
                <c:formatCode>#,##0</c:formatCode>
                <c:ptCount val="21"/>
                <c:pt idx="0">
                  <c:v>317604.17099999997</c:v>
                </c:pt>
                <c:pt idx="1">
                  <c:v>3715260.49223</c:v>
                </c:pt>
                <c:pt idx="2">
                  <c:v>252371</c:v>
                </c:pt>
                <c:pt idx="3">
                  <c:v>491735</c:v>
                </c:pt>
                <c:pt idx="4">
                  <c:v>6362.2570000000096</c:v>
                </c:pt>
                <c:pt idx="5">
                  <c:v>1365659</c:v>
                </c:pt>
                <c:pt idx="6">
                  <c:v>495734</c:v>
                </c:pt>
                <c:pt idx="7">
                  <c:v>26625.80341</c:v>
                </c:pt>
                <c:pt idx="8">
                  <c:v>368992.59400000004</c:v>
                </c:pt>
                <c:pt idx="9">
                  <c:v>32032545.142410003</c:v>
                </c:pt>
                <c:pt idx="10">
                  <c:v>74207</c:v>
                </c:pt>
                <c:pt idx="11">
                  <c:v>163742.53900000002</c:v>
                </c:pt>
                <c:pt idx="12">
                  <c:v>28648</c:v>
                </c:pt>
                <c:pt idx="13">
                  <c:v>12781.715</c:v>
                </c:pt>
                <c:pt idx="14">
                  <c:v>1234767.86646463</c:v>
                </c:pt>
                <c:pt idx="15">
                  <c:v>4463574</c:v>
                </c:pt>
                <c:pt idx="16">
                  <c:v>298592.88391241134</c:v>
                </c:pt>
                <c:pt idx="17">
                  <c:v>2285218.03632</c:v>
                </c:pt>
                <c:pt idx="18">
                  <c:v>4417928.83</c:v>
                </c:pt>
                <c:pt idx="19">
                  <c:v>0</c:v>
                </c:pt>
                <c:pt idx="20">
                  <c:v>577343.84699999995</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2018</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Figurer!$M$37:$M$46</c:f>
              <c:numCache>
                <c:formatCode>#,##0</c:formatCode>
                <c:ptCount val="10"/>
                <c:pt idx="0">
                  <c:v>1378607.102</c:v>
                </c:pt>
                <c:pt idx="1">
                  <c:v>6459699</c:v>
                </c:pt>
                <c:pt idx="2">
                  <c:v>272300</c:v>
                </c:pt>
                <c:pt idx="3">
                  <c:v>2075074</c:v>
                </c:pt>
                <c:pt idx="4">
                  <c:v>116827.63</c:v>
                </c:pt>
                <c:pt idx="5">
                  <c:v>315306</c:v>
                </c:pt>
                <c:pt idx="6">
                  <c:v>6126379.0115300007</c:v>
                </c:pt>
                <c:pt idx="7">
                  <c:v>108843</c:v>
                </c:pt>
                <c:pt idx="8">
                  <c:v>2837915.8733999999</c:v>
                </c:pt>
                <c:pt idx="9">
                  <c:v>8177309.6540000001</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2019</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Figurer!$N$37:$N$46</c:f>
              <c:numCache>
                <c:formatCode>#,##0</c:formatCode>
                <c:ptCount val="10"/>
                <c:pt idx="0">
                  <c:v>1462527.3599999999</c:v>
                </c:pt>
                <c:pt idx="1">
                  <c:v>7274914.4699999997</c:v>
                </c:pt>
                <c:pt idx="2">
                  <c:v>301589</c:v>
                </c:pt>
                <c:pt idx="3">
                  <c:v>2383693</c:v>
                </c:pt>
                <c:pt idx="4">
                  <c:v>125663.209</c:v>
                </c:pt>
                <c:pt idx="5">
                  <c:v>401210</c:v>
                </c:pt>
                <c:pt idx="6">
                  <c:v>8452097.9891100004</c:v>
                </c:pt>
                <c:pt idx="7">
                  <c:v>97840.428989999986</c:v>
                </c:pt>
                <c:pt idx="8">
                  <c:v>3230081.0362499999</c:v>
                </c:pt>
                <c:pt idx="9">
                  <c:v>8147311.8700000001</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2018</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Figurer!$M$60:$M$74</c:f>
              <c:numCache>
                <c:formatCode>#,##0</c:formatCode>
                <c:ptCount val="15"/>
                <c:pt idx="0">
                  <c:v>1087595.622</c:v>
                </c:pt>
                <c:pt idx="1">
                  <c:v>201016641</c:v>
                </c:pt>
                <c:pt idx="2">
                  <c:v>0</c:v>
                </c:pt>
                <c:pt idx="3">
                  <c:v>833959.8</c:v>
                </c:pt>
                <c:pt idx="4">
                  <c:v>0</c:v>
                </c:pt>
                <c:pt idx="5">
                  <c:v>6474253</c:v>
                </c:pt>
                <c:pt idx="6">
                  <c:v>22959</c:v>
                </c:pt>
                <c:pt idx="7">
                  <c:v>0</c:v>
                </c:pt>
                <c:pt idx="8">
                  <c:v>469261417.09344</c:v>
                </c:pt>
                <c:pt idx="9">
                  <c:v>1682836</c:v>
                </c:pt>
                <c:pt idx="10">
                  <c:v>17207.845999999998</c:v>
                </c:pt>
                <c:pt idx="11">
                  <c:v>50214570.000432804</c:v>
                </c:pt>
                <c:pt idx="12">
                  <c:v>74741399.903610006</c:v>
                </c:pt>
                <c:pt idx="13">
                  <c:v>19235566.757199999</c:v>
                </c:pt>
                <c:pt idx="14">
                  <c:v>181362430.31399998</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2019</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Figurer!$N$60:$N$74</c:f>
              <c:numCache>
                <c:formatCode>#,##0</c:formatCode>
                <c:ptCount val="15"/>
                <c:pt idx="0">
                  <c:v>1147898.6510000001</c:v>
                </c:pt>
                <c:pt idx="1">
                  <c:v>198989780.16319001</c:v>
                </c:pt>
                <c:pt idx="2">
                  <c:v>0</c:v>
                </c:pt>
                <c:pt idx="3">
                  <c:v>950096</c:v>
                </c:pt>
                <c:pt idx="4">
                  <c:v>0</c:v>
                </c:pt>
                <c:pt idx="5">
                  <c:v>7082534</c:v>
                </c:pt>
                <c:pt idx="6">
                  <c:v>28422.660874665598</c:v>
                </c:pt>
                <c:pt idx="7">
                  <c:v>0</c:v>
                </c:pt>
                <c:pt idx="8">
                  <c:v>497212120.95908999</c:v>
                </c:pt>
                <c:pt idx="9">
                  <c:v>1726673</c:v>
                </c:pt>
                <c:pt idx="10">
                  <c:v>34480.175000000003</c:v>
                </c:pt>
                <c:pt idx="11">
                  <c:v>51315530.000145264</c:v>
                </c:pt>
                <c:pt idx="12">
                  <c:v>76175866</c:v>
                </c:pt>
                <c:pt idx="13">
                  <c:v>20850610.60103</c:v>
                </c:pt>
                <c:pt idx="14">
                  <c:v>181032450.26100001</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2018</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Figurer!$M$85:$M$94</c:f>
              <c:numCache>
                <c:formatCode>#,##0</c:formatCode>
                <c:ptCount val="10"/>
                <c:pt idx="0">
                  <c:v>17958434.743000001</c:v>
                </c:pt>
                <c:pt idx="1">
                  <c:v>82380384</c:v>
                </c:pt>
                <c:pt idx="2">
                  <c:v>3471864</c:v>
                </c:pt>
                <c:pt idx="3">
                  <c:v>25237226</c:v>
                </c:pt>
                <c:pt idx="4">
                  <c:v>2478827.29715</c:v>
                </c:pt>
                <c:pt idx="5">
                  <c:v>3400155</c:v>
                </c:pt>
                <c:pt idx="6">
                  <c:v>62133840</c:v>
                </c:pt>
                <c:pt idx="7">
                  <c:v>2249653.4116099998</c:v>
                </c:pt>
                <c:pt idx="8">
                  <c:v>29524731.95205</c:v>
                </c:pt>
                <c:pt idx="9">
                  <c:v>98437461.060000002</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2019</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Figurer!$N$85:$N$94</c:f>
              <c:numCache>
                <c:formatCode>#,##0</c:formatCode>
                <c:ptCount val="10"/>
                <c:pt idx="0">
                  <c:v>19693741.598999999</c:v>
                </c:pt>
                <c:pt idx="1">
                  <c:v>92856889.727000013</c:v>
                </c:pt>
                <c:pt idx="2">
                  <c:v>3966911.3</c:v>
                </c:pt>
                <c:pt idx="3">
                  <c:v>28289547</c:v>
                </c:pt>
                <c:pt idx="4">
                  <c:v>2644541.49015</c:v>
                </c:pt>
                <c:pt idx="5">
                  <c:v>4520776</c:v>
                </c:pt>
                <c:pt idx="6">
                  <c:v>72267840</c:v>
                </c:pt>
                <c:pt idx="7">
                  <c:v>2377643.9235399999</c:v>
                </c:pt>
                <c:pt idx="8">
                  <c:v>33369795.9474</c:v>
                </c:pt>
                <c:pt idx="9">
                  <c:v>107697369.89</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Figurer!$M$110</c:f>
              <c:strCache>
                <c:ptCount val="1"/>
                <c:pt idx="0">
                  <c:v>2018</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Figurer!$M$111:$M$118</c:f>
              <c:numCache>
                <c:formatCode>#,##0</c:formatCode>
                <c:ptCount val="8"/>
                <c:pt idx="0">
                  <c:v>4929.8120000000017</c:v>
                </c:pt>
                <c:pt idx="1">
                  <c:v>107071</c:v>
                </c:pt>
                <c:pt idx="2">
                  <c:v>31387</c:v>
                </c:pt>
                <c:pt idx="3">
                  <c:v>-491426.71799999999</c:v>
                </c:pt>
                <c:pt idx="4">
                  <c:v>2189</c:v>
                </c:pt>
                <c:pt idx="5">
                  <c:v>-146808.55927</c:v>
                </c:pt>
                <c:pt idx="6">
                  <c:v>-34677.96688</c:v>
                </c:pt>
                <c:pt idx="7">
                  <c:v>-330309.92999999993</c:v>
                </c:pt>
              </c:numCache>
            </c:numRef>
          </c:val>
          <c:extLst>
            <c:ext xmlns:c16="http://schemas.microsoft.com/office/drawing/2014/chart" uri="{C3380CC4-5D6E-409C-BE32-E72D297353CC}">
              <c16:uniqueId val="{00000000-2BF8-4278-857F-91A0E7196849}"/>
            </c:ext>
          </c:extLst>
        </c:ser>
        <c:ser>
          <c:idx val="1"/>
          <c:order val="1"/>
          <c:tx>
            <c:strRef>
              <c:f>Figurer!$N$110</c:f>
              <c:strCache>
                <c:ptCount val="1"/>
                <c:pt idx="0">
                  <c:v>2019</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Figurer!$N$111:$N$118</c:f>
              <c:numCache>
                <c:formatCode>#,##0</c:formatCode>
                <c:ptCount val="8"/>
                <c:pt idx="0">
                  <c:v>10954.466</c:v>
                </c:pt>
                <c:pt idx="1">
                  <c:v>159065.88099999999</c:v>
                </c:pt>
                <c:pt idx="2">
                  <c:v>39643</c:v>
                </c:pt>
                <c:pt idx="3">
                  <c:v>-287976.44500000001</c:v>
                </c:pt>
                <c:pt idx="4">
                  <c:v>771</c:v>
                </c:pt>
                <c:pt idx="5">
                  <c:v>-18522.302429999902</c:v>
                </c:pt>
                <c:pt idx="6">
                  <c:v>-22140.237180000004</c:v>
                </c:pt>
                <c:pt idx="7">
                  <c:v>-100940.09700000001</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Figurer!$M$135</c:f>
              <c:strCache>
                <c:ptCount val="1"/>
                <c:pt idx="0">
                  <c:v>2018</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Figurer!$M$136:$M$144</c:f>
              <c:numCache>
                <c:formatCode>#,##0</c:formatCode>
                <c:ptCount val="9"/>
                <c:pt idx="0">
                  <c:v>-127938.38399999996</c:v>
                </c:pt>
                <c:pt idx="1">
                  <c:v>-351863</c:v>
                </c:pt>
                <c:pt idx="2">
                  <c:v>-57824.499999999993</c:v>
                </c:pt>
                <c:pt idx="3">
                  <c:v>234150</c:v>
                </c:pt>
                <c:pt idx="4">
                  <c:v>284074</c:v>
                </c:pt>
                <c:pt idx="5">
                  <c:v>-1085791.4407300001</c:v>
                </c:pt>
                <c:pt idx="6">
                  <c:v>120585</c:v>
                </c:pt>
                <c:pt idx="7">
                  <c:v>1410787.0637000001</c:v>
                </c:pt>
                <c:pt idx="8">
                  <c:v>-503303.25299999979</c:v>
                </c:pt>
              </c:numCache>
            </c:numRef>
          </c:val>
          <c:extLst>
            <c:ext xmlns:c16="http://schemas.microsoft.com/office/drawing/2014/chart" uri="{C3380CC4-5D6E-409C-BE32-E72D297353CC}">
              <c16:uniqueId val="{00000000-B400-4C26-965B-0553A4A37873}"/>
            </c:ext>
          </c:extLst>
        </c:ser>
        <c:ser>
          <c:idx val="1"/>
          <c:order val="1"/>
          <c:tx>
            <c:strRef>
              <c:f>Figurer!$N$135</c:f>
              <c:strCache>
                <c:ptCount val="1"/>
                <c:pt idx="0">
                  <c:v>2019</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Figurer!$N$136:$N$144</c:f>
              <c:numCache>
                <c:formatCode>#,##0</c:formatCode>
                <c:ptCount val="9"/>
                <c:pt idx="0">
                  <c:v>257596.99600000004</c:v>
                </c:pt>
                <c:pt idx="1">
                  <c:v>-385535.37299999967</c:v>
                </c:pt>
                <c:pt idx="2">
                  <c:v>64171</c:v>
                </c:pt>
                <c:pt idx="3">
                  <c:v>-419270</c:v>
                </c:pt>
                <c:pt idx="4">
                  <c:v>302024</c:v>
                </c:pt>
                <c:pt idx="5">
                  <c:v>1135836.2008400001</c:v>
                </c:pt>
                <c:pt idx="6">
                  <c:v>70450.498990000007</c:v>
                </c:pt>
                <c:pt idx="7">
                  <c:v>375750.19088000001</c:v>
                </c:pt>
                <c:pt idx="8">
                  <c:v>-1397198.8170000003</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2019 </a:t>
          </a:r>
          <a:r>
            <a:rPr lang="nb-NO" sz="1100" b="0">
              <a:effectLst/>
              <a:latin typeface="Arial"/>
              <a:ea typeface="ＭＳ 明朝"/>
              <a:cs typeface="Times New Roman"/>
            </a:rPr>
            <a:t>(15.11.2019)</a:t>
          </a:r>
          <a:r>
            <a:rPr lang="nb-NO" sz="1600" b="1">
              <a:effectLst/>
              <a:latin typeface="Arial"/>
              <a:ea typeface="ＭＳ 明朝"/>
              <a:cs typeface="Times New Roman"/>
            </a:rPr>
            <a:t> </a:t>
          </a:r>
        </a:p>
        <a:p>
          <a:pPr>
            <a:spcAft>
              <a:spcPts val="0"/>
            </a:spcAft>
          </a:pPr>
          <a:r>
            <a:rPr lang="nb-NO" sz="1200" b="0">
              <a:effectLst/>
              <a:latin typeface="+mn-lt"/>
              <a:ea typeface="ＭＳ 明朝"/>
              <a:cs typeface="Times New Roman"/>
            </a:rPr>
            <a:t>revidert 28.01.2020</a:t>
          </a: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Insr</a:t>
          </a:r>
          <a:r>
            <a:rPr lang="nb-NO" sz="1200" b="0" i="0" strike="noStrike" baseline="0">
              <a:solidFill>
                <a:srgbClr val="000000"/>
              </a:solidFill>
              <a:latin typeface="Times New Roman"/>
              <a:cs typeface="Times New Roman"/>
            </a:rPr>
            <a:t>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Nemi Forsikring</a:t>
          </a:r>
        </a:p>
        <a:p>
          <a:r>
            <a:rPr lang="nb-NO" sz="1100" u="none">
              <a:latin typeface="Times New Roman" panose="02020603050405020304" pitchFamily="18" charset="0"/>
              <a:cs typeface="Times New Roman" panose="02020603050405020304" pitchFamily="18" charset="0"/>
            </a:rPr>
            <a:t>Porteføljen til selskapet inngår</a:t>
          </a:r>
          <a:r>
            <a:rPr lang="nb-NO" sz="1100" u="none" baseline="0">
              <a:latin typeface="Times New Roman" panose="02020603050405020304" pitchFamily="18" charset="0"/>
              <a:cs typeface="Times New Roman" panose="02020603050405020304" pitchFamily="18" charset="0"/>
            </a:rPr>
            <a:t> i statistikken </a:t>
          </a:r>
          <a:r>
            <a:rPr lang="nb-NO" sz="1100" baseline="0">
              <a:solidFill>
                <a:schemeClr val="dk1"/>
              </a:solidFill>
              <a:effectLst/>
              <a:latin typeface="+mn-lt"/>
              <a:ea typeface="+mn-ea"/>
              <a:cs typeface="+mn-cs"/>
            </a:rPr>
            <a:t>fra og med </a:t>
          </a:r>
          <a:r>
            <a:rPr lang="nb-NO" sz="1100">
              <a:solidFill>
                <a:schemeClr val="dk1"/>
              </a:solidFill>
              <a:effectLst/>
              <a:latin typeface="+mn-lt"/>
              <a:ea typeface="+mn-ea"/>
              <a:cs typeface="+mn-cs"/>
            </a:rPr>
            <a:t>3. kvartal 2019 s</a:t>
          </a:r>
          <a:r>
            <a:rPr lang="nb-NO" sz="1100" u="none" baseline="0">
              <a:latin typeface="Times New Roman" panose="02020603050405020304" pitchFamily="18" charset="0"/>
              <a:cs typeface="Times New Roman" panose="02020603050405020304" pitchFamily="18" charset="0"/>
            </a:rPr>
            <a:t>om del av Insr </a:t>
          </a:r>
          <a:r>
            <a:rPr lang="nb-NO" sz="1100" u="none">
              <a:latin typeface="Times New Roman" panose="02020603050405020304" pitchFamily="18" charset="0"/>
              <a:cs typeface="Times New Roman" panose="02020603050405020304" pitchFamily="18" charset="0"/>
            </a:rPr>
            <a:t>.</a:t>
          </a: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19/Q3-2019/Mottatte/SpareBank%201%20-%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G68">
            <v>3352.7420000000002</v>
          </cell>
        </row>
        <row r="69">
          <cell r="AG69">
            <v>1842.53</v>
          </cell>
        </row>
        <row r="71">
          <cell r="AG71">
            <v>1000</v>
          </cell>
        </row>
        <row r="74">
          <cell r="AG74">
            <v>944.41300000000001</v>
          </cell>
        </row>
        <row r="75">
          <cell r="AG75">
            <v>2204.0650000000001</v>
          </cell>
        </row>
        <row r="78">
          <cell r="AG78">
            <v>753.37601163000022</v>
          </cell>
        </row>
        <row r="79">
          <cell r="AG79">
            <v>25420.270011629997</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J43" sqref="J43"/>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649"/>
      <c r="C43" s="649"/>
      <c r="D43" s="649"/>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126</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228170</v>
      </c>
      <c r="C7" s="306">
        <v>252371</v>
      </c>
      <c r="D7" s="350">
        <f>IF(B7=0, "    ---- ", IF(ABS(ROUND(100/B7*C7-100,1))&lt;999,ROUND(100/B7*C7-100,1),IF(ROUND(100/B7*C7-100,1)&gt;999,999,-999)))</f>
        <v>10.6</v>
      </c>
      <c r="E7" s="11">
        <f>IFERROR(100/'Skjema total MA'!C7*C7,0)</f>
        <v>6.9177985933891106</v>
      </c>
      <c r="F7" s="305"/>
      <c r="G7" s="306"/>
      <c r="H7" s="350"/>
      <c r="I7" s="160"/>
      <c r="J7" s="307">
        <f t="shared" ref="J7:K9" si="0">SUM(B7,F7)</f>
        <v>228170</v>
      </c>
      <c r="K7" s="308">
        <f t="shared" si="0"/>
        <v>252371</v>
      </c>
      <c r="L7" s="374">
        <f>IF(J7=0, "    ---- ", IF(ABS(ROUND(100/J7*K7-100,1))&lt;999,ROUND(100/J7*K7-100,1),IF(ROUND(100/J7*K7-100,1)&gt;999,999,-999)))</f>
        <v>10.6</v>
      </c>
      <c r="M7" s="11">
        <f>IFERROR(100/'Skjema total MA'!I7*K7,0)</f>
        <v>2.3337542059418972</v>
      </c>
    </row>
    <row r="8" spans="1:14" ht="15.75" x14ac:dyDescent="0.2">
      <c r="A8" s="21" t="s">
        <v>25</v>
      </c>
      <c r="B8" s="280">
        <v>122998</v>
      </c>
      <c r="C8" s="281">
        <v>125602</v>
      </c>
      <c r="D8" s="166">
        <f t="shared" ref="D8:D9" si="1">IF(B8=0, "    ---- ", IF(ABS(ROUND(100/B8*C8-100,1))&lt;999,ROUND(100/B8*C8-100,1),IF(ROUND(100/B8*C8-100,1)&gt;999,999,-999)))</f>
        <v>2.1</v>
      </c>
      <c r="E8" s="27">
        <f>IFERROR(100/'Skjema total MA'!C8*C8,0)</f>
        <v>5.7366693955282084</v>
      </c>
      <c r="F8" s="284"/>
      <c r="G8" s="285"/>
      <c r="H8" s="166"/>
      <c r="I8" s="175"/>
      <c r="J8" s="233">
        <f t="shared" si="0"/>
        <v>122998</v>
      </c>
      <c r="K8" s="286">
        <f t="shared" si="0"/>
        <v>125602</v>
      </c>
      <c r="L8" s="166">
        <f t="shared" ref="L8:L9" si="2">IF(J8=0, "    ---- ", IF(ABS(ROUND(100/J8*K8-100,1))&lt;999,ROUND(100/J8*K8-100,1),IF(ROUND(100/J8*K8-100,1)&gt;999,999,-999)))</f>
        <v>2.1</v>
      </c>
      <c r="M8" s="27">
        <f>IFERROR(100/'Skjema total MA'!I8*K8,0)</f>
        <v>5.7366693955282084</v>
      </c>
    </row>
    <row r="9" spans="1:14" ht="15.75" x14ac:dyDescent="0.2">
      <c r="A9" s="21" t="s">
        <v>24</v>
      </c>
      <c r="B9" s="280">
        <v>105172</v>
      </c>
      <c r="C9" s="281">
        <v>126769</v>
      </c>
      <c r="D9" s="166">
        <f t="shared" si="1"/>
        <v>20.5</v>
      </c>
      <c r="E9" s="27">
        <f>IFERROR(100/'Skjema total MA'!C9*C9,0)</f>
        <v>16.160883057566217</v>
      </c>
      <c r="F9" s="284"/>
      <c r="G9" s="285"/>
      <c r="H9" s="166"/>
      <c r="I9" s="175"/>
      <c r="J9" s="233">
        <f t="shared" si="0"/>
        <v>105172</v>
      </c>
      <c r="K9" s="286">
        <f t="shared" si="0"/>
        <v>126769</v>
      </c>
      <c r="L9" s="166">
        <f t="shared" si="2"/>
        <v>20.5</v>
      </c>
      <c r="M9" s="27">
        <f>IFERROR(100/'Skjema total MA'!I9*K9,0)</f>
        <v>16.160883057566217</v>
      </c>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374"/>
      <c r="E47" s="11"/>
      <c r="F47" s="145"/>
      <c r="G47" s="33"/>
      <c r="H47" s="159"/>
      <c r="I47" s="159"/>
      <c r="J47" s="37"/>
      <c r="K47" s="37"/>
      <c r="L47" s="159"/>
      <c r="M47" s="159"/>
      <c r="N47" s="148"/>
    </row>
    <row r="48" spans="1:14" s="3" customFormat="1" ht="15.75" x14ac:dyDescent="0.2">
      <c r="A48" s="38" t="s">
        <v>379</v>
      </c>
      <c r="B48" s="280"/>
      <c r="C48" s="281"/>
      <c r="D48" s="253"/>
      <c r="E48" s="27"/>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400" priority="132">
      <formula>kvartal &lt; 4</formula>
    </cfRule>
  </conditionalFormatting>
  <conditionalFormatting sqref="B69">
    <cfRule type="expression" dxfId="1399" priority="100">
      <formula>kvartal &lt; 4</formula>
    </cfRule>
  </conditionalFormatting>
  <conditionalFormatting sqref="C69">
    <cfRule type="expression" dxfId="1398" priority="99">
      <formula>kvartal &lt; 4</formula>
    </cfRule>
  </conditionalFormatting>
  <conditionalFormatting sqref="B72">
    <cfRule type="expression" dxfId="1397" priority="98">
      <formula>kvartal &lt; 4</formula>
    </cfRule>
  </conditionalFormatting>
  <conditionalFormatting sqref="C72">
    <cfRule type="expression" dxfId="1396" priority="97">
      <formula>kvartal &lt; 4</formula>
    </cfRule>
  </conditionalFormatting>
  <conditionalFormatting sqref="B80">
    <cfRule type="expression" dxfId="1395" priority="96">
      <formula>kvartal &lt; 4</formula>
    </cfRule>
  </conditionalFormatting>
  <conditionalFormatting sqref="C80">
    <cfRule type="expression" dxfId="1394" priority="95">
      <formula>kvartal &lt; 4</formula>
    </cfRule>
  </conditionalFormatting>
  <conditionalFormatting sqref="B83">
    <cfRule type="expression" dxfId="1393" priority="94">
      <formula>kvartal &lt; 4</formula>
    </cfRule>
  </conditionalFormatting>
  <conditionalFormatting sqref="C83">
    <cfRule type="expression" dxfId="1392" priority="93">
      <formula>kvartal &lt; 4</formula>
    </cfRule>
  </conditionalFormatting>
  <conditionalFormatting sqref="B90">
    <cfRule type="expression" dxfId="1391" priority="84">
      <formula>kvartal &lt; 4</formula>
    </cfRule>
  </conditionalFormatting>
  <conditionalFormatting sqref="C90">
    <cfRule type="expression" dxfId="1390" priority="83">
      <formula>kvartal &lt; 4</formula>
    </cfRule>
  </conditionalFormatting>
  <conditionalFormatting sqref="B93">
    <cfRule type="expression" dxfId="1389" priority="82">
      <formula>kvartal &lt; 4</formula>
    </cfRule>
  </conditionalFormatting>
  <conditionalFormatting sqref="C93">
    <cfRule type="expression" dxfId="1388" priority="81">
      <formula>kvartal &lt; 4</formula>
    </cfRule>
  </conditionalFormatting>
  <conditionalFormatting sqref="B101">
    <cfRule type="expression" dxfId="1387" priority="80">
      <formula>kvartal &lt; 4</formula>
    </cfRule>
  </conditionalFormatting>
  <conditionalFormatting sqref="C101">
    <cfRule type="expression" dxfId="1386" priority="79">
      <formula>kvartal &lt; 4</formula>
    </cfRule>
  </conditionalFormatting>
  <conditionalFormatting sqref="B104">
    <cfRule type="expression" dxfId="1385" priority="78">
      <formula>kvartal &lt; 4</formula>
    </cfRule>
  </conditionalFormatting>
  <conditionalFormatting sqref="C104">
    <cfRule type="expression" dxfId="1384" priority="77">
      <formula>kvartal &lt; 4</formula>
    </cfRule>
  </conditionalFormatting>
  <conditionalFormatting sqref="B115">
    <cfRule type="expression" dxfId="1383" priority="76">
      <formula>kvartal &lt; 4</formula>
    </cfRule>
  </conditionalFormatting>
  <conditionalFormatting sqref="C115">
    <cfRule type="expression" dxfId="1382" priority="75">
      <formula>kvartal &lt; 4</formula>
    </cfRule>
  </conditionalFormatting>
  <conditionalFormatting sqref="B123">
    <cfRule type="expression" dxfId="1381" priority="74">
      <formula>kvartal &lt; 4</formula>
    </cfRule>
  </conditionalFormatting>
  <conditionalFormatting sqref="C123">
    <cfRule type="expression" dxfId="1380" priority="73">
      <formula>kvartal &lt; 4</formula>
    </cfRule>
  </conditionalFormatting>
  <conditionalFormatting sqref="F70">
    <cfRule type="expression" dxfId="1379" priority="72">
      <formula>kvartal &lt; 4</formula>
    </cfRule>
  </conditionalFormatting>
  <conditionalFormatting sqref="G70">
    <cfRule type="expression" dxfId="1378" priority="71">
      <formula>kvartal &lt; 4</formula>
    </cfRule>
  </conditionalFormatting>
  <conditionalFormatting sqref="F71:G71">
    <cfRule type="expression" dxfId="1377" priority="70">
      <formula>kvartal &lt; 4</formula>
    </cfRule>
  </conditionalFormatting>
  <conditionalFormatting sqref="F73:G74">
    <cfRule type="expression" dxfId="1376" priority="69">
      <formula>kvartal &lt; 4</formula>
    </cfRule>
  </conditionalFormatting>
  <conditionalFormatting sqref="F81:G82">
    <cfRule type="expression" dxfId="1375" priority="68">
      <formula>kvartal &lt; 4</formula>
    </cfRule>
  </conditionalFormatting>
  <conditionalFormatting sqref="F84:G85">
    <cfRule type="expression" dxfId="1374" priority="67">
      <formula>kvartal &lt; 4</formula>
    </cfRule>
  </conditionalFormatting>
  <conditionalFormatting sqref="F91:G92">
    <cfRule type="expression" dxfId="1373" priority="62">
      <formula>kvartal &lt; 4</formula>
    </cfRule>
  </conditionalFormatting>
  <conditionalFormatting sqref="F94:G95">
    <cfRule type="expression" dxfId="1372" priority="61">
      <formula>kvartal &lt; 4</formula>
    </cfRule>
  </conditionalFormatting>
  <conditionalFormatting sqref="F102:G103">
    <cfRule type="expression" dxfId="1371" priority="60">
      <formula>kvartal &lt; 4</formula>
    </cfRule>
  </conditionalFormatting>
  <conditionalFormatting sqref="F105:G106">
    <cfRule type="expression" dxfId="1370" priority="59">
      <formula>kvartal &lt; 4</formula>
    </cfRule>
  </conditionalFormatting>
  <conditionalFormatting sqref="F115">
    <cfRule type="expression" dxfId="1369" priority="58">
      <formula>kvartal &lt; 4</formula>
    </cfRule>
  </conditionalFormatting>
  <conditionalFormatting sqref="G115">
    <cfRule type="expression" dxfId="1368" priority="57">
      <formula>kvartal &lt; 4</formula>
    </cfRule>
  </conditionalFormatting>
  <conditionalFormatting sqref="F123:G123">
    <cfRule type="expression" dxfId="1367" priority="56">
      <formula>kvartal &lt; 4</formula>
    </cfRule>
  </conditionalFormatting>
  <conditionalFormatting sqref="F69:G69">
    <cfRule type="expression" dxfId="1366" priority="55">
      <formula>kvartal &lt; 4</formula>
    </cfRule>
  </conditionalFormatting>
  <conditionalFormatting sqref="F72:G72">
    <cfRule type="expression" dxfId="1365" priority="54">
      <formula>kvartal &lt; 4</formula>
    </cfRule>
  </conditionalFormatting>
  <conditionalFormatting sqref="F80:G80">
    <cfRule type="expression" dxfId="1364" priority="53">
      <formula>kvartal &lt; 4</formula>
    </cfRule>
  </conditionalFormatting>
  <conditionalFormatting sqref="F83:G83">
    <cfRule type="expression" dxfId="1363" priority="52">
      <formula>kvartal &lt; 4</formula>
    </cfRule>
  </conditionalFormatting>
  <conditionalFormatting sqref="F90:G90">
    <cfRule type="expression" dxfId="1362" priority="46">
      <formula>kvartal &lt; 4</formula>
    </cfRule>
  </conditionalFormatting>
  <conditionalFormatting sqref="F93">
    <cfRule type="expression" dxfId="1361" priority="45">
      <formula>kvartal &lt; 4</formula>
    </cfRule>
  </conditionalFormatting>
  <conditionalFormatting sqref="G93">
    <cfRule type="expression" dxfId="1360" priority="44">
      <formula>kvartal &lt; 4</formula>
    </cfRule>
  </conditionalFormatting>
  <conditionalFormatting sqref="F101">
    <cfRule type="expression" dxfId="1359" priority="43">
      <formula>kvartal &lt; 4</formula>
    </cfRule>
  </conditionalFormatting>
  <conditionalFormatting sqref="G101">
    <cfRule type="expression" dxfId="1358" priority="42">
      <formula>kvartal &lt; 4</formula>
    </cfRule>
  </conditionalFormatting>
  <conditionalFormatting sqref="G104">
    <cfRule type="expression" dxfId="1357" priority="41">
      <formula>kvartal &lt; 4</formula>
    </cfRule>
  </conditionalFormatting>
  <conditionalFormatting sqref="F104">
    <cfRule type="expression" dxfId="1356" priority="40">
      <formula>kvartal &lt; 4</formula>
    </cfRule>
  </conditionalFormatting>
  <conditionalFormatting sqref="J69:K73">
    <cfRule type="expression" dxfId="1355" priority="39">
      <formula>kvartal &lt; 4</formula>
    </cfRule>
  </conditionalFormatting>
  <conditionalFormatting sqref="J74:K74">
    <cfRule type="expression" dxfId="1354" priority="38">
      <formula>kvartal &lt; 4</formula>
    </cfRule>
  </conditionalFormatting>
  <conditionalFormatting sqref="J80:K85">
    <cfRule type="expression" dxfId="1353" priority="37">
      <formula>kvartal &lt; 4</formula>
    </cfRule>
  </conditionalFormatting>
  <conditionalFormatting sqref="J90:K95">
    <cfRule type="expression" dxfId="1352" priority="34">
      <formula>kvartal &lt; 4</formula>
    </cfRule>
  </conditionalFormatting>
  <conditionalFormatting sqref="J101:K106">
    <cfRule type="expression" dxfId="1351" priority="33">
      <formula>kvartal &lt; 4</formula>
    </cfRule>
  </conditionalFormatting>
  <conditionalFormatting sqref="J115:K115">
    <cfRule type="expression" dxfId="1350" priority="32">
      <formula>kvartal &lt; 4</formula>
    </cfRule>
  </conditionalFormatting>
  <conditionalFormatting sqref="J123:K123">
    <cfRule type="expression" dxfId="1349" priority="31">
      <formula>kvartal &lt; 4</formula>
    </cfRule>
  </conditionalFormatting>
  <conditionalFormatting sqref="A50:A52">
    <cfRule type="expression" dxfId="1348" priority="12">
      <formula>kvartal &lt; 4</formula>
    </cfRule>
  </conditionalFormatting>
  <conditionalFormatting sqref="A69:A74">
    <cfRule type="expression" dxfId="1347" priority="10">
      <formula>kvartal &lt; 4</formula>
    </cfRule>
  </conditionalFormatting>
  <conditionalFormatting sqref="A80:A85">
    <cfRule type="expression" dxfId="1346" priority="9">
      <formula>kvartal &lt; 4</formula>
    </cfRule>
  </conditionalFormatting>
  <conditionalFormatting sqref="A90:A95">
    <cfRule type="expression" dxfId="1345" priority="6">
      <formula>kvartal &lt; 4</formula>
    </cfRule>
  </conditionalFormatting>
  <conditionalFormatting sqref="A101:A106">
    <cfRule type="expression" dxfId="1344" priority="5">
      <formula>kvartal &lt; 4</formula>
    </cfRule>
  </conditionalFormatting>
  <conditionalFormatting sqref="A115">
    <cfRule type="expression" dxfId="1343" priority="4">
      <formula>kvartal &lt; 4</formula>
    </cfRule>
  </conditionalFormatting>
  <conditionalFormatting sqref="A123">
    <cfRule type="expression" dxfId="1342"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137</v>
      </c>
      <c r="B1" s="648"/>
      <c r="C1" s="247" t="s">
        <v>127</v>
      </c>
      <c r="D1" s="26"/>
      <c r="E1" s="26"/>
      <c r="F1" s="26"/>
      <c r="G1" s="26"/>
      <c r="H1" s="26"/>
      <c r="I1" s="26"/>
      <c r="J1" s="26"/>
      <c r="K1" s="26"/>
      <c r="L1" s="26"/>
      <c r="M1" s="26"/>
    </row>
    <row r="2" spans="1:17" ht="15.75" x14ac:dyDescent="0.25">
      <c r="A2" s="165" t="s">
        <v>28</v>
      </c>
      <c r="B2" s="671"/>
      <c r="C2" s="671"/>
      <c r="D2" s="671"/>
      <c r="E2" s="298"/>
      <c r="F2" s="671"/>
      <c r="G2" s="671"/>
      <c r="H2" s="671"/>
      <c r="I2" s="298"/>
      <c r="J2" s="671"/>
      <c r="K2" s="671"/>
      <c r="L2" s="671"/>
      <c r="M2" s="298"/>
    </row>
    <row r="3" spans="1:17" ht="15.75" x14ac:dyDescent="0.25">
      <c r="A3" s="163"/>
      <c r="B3" s="298"/>
      <c r="C3" s="298"/>
      <c r="D3" s="298"/>
      <c r="E3" s="298"/>
      <c r="F3" s="298"/>
      <c r="G3" s="298"/>
      <c r="H3" s="298"/>
      <c r="I3" s="298"/>
      <c r="J3" s="298"/>
      <c r="K3" s="298"/>
      <c r="L3" s="298"/>
      <c r="M3" s="298"/>
    </row>
    <row r="4" spans="1:17" x14ac:dyDescent="0.2">
      <c r="A4" s="144"/>
      <c r="B4" s="672" t="s">
        <v>0</v>
      </c>
      <c r="C4" s="673"/>
      <c r="D4" s="673"/>
      <c r="E4" s="300"/>
      <c r="F4" s="672" t="s">
        <v>1</v>
      </c>
      <c r="G4" s="673"/>
      <c r="H4" s="673"/>
      <c r="I4" s="303"/>
      <c r="J4" s="672" t="s">
        <v>2</v>
      </c>
      <c r="K4" s="673"/>
      <c r="L4" s="673"/>
      <c r="M4" s="303"/>
    </row>
    <row r="5" spans="1:17"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7" x14ac:dyDescent="0.2">
      <c r="A6" s="646"/>
      <c r="B6" s="156"/>
      <c r="C6" s="156"/>
      <c r="D6" s="245" t="s">
        <v>4</v>
      </c>
      <c r="E6" s="156" t="s">
        <v>30</v>
      </c>
      <c r="F6" s="161"/>
      <c r="G6" s="161"/>
      <c r="H6" s="244" t="s">
        <v>4</v>
      </c>
      <c r="I6" s="156" t="s">
        <v>30</v>
      </c>
      <c r="J6" s="161"/>
      <c r="K6" s="161"/>
      <c r="L6" s="244" t="s">
        <v>4</v>
      </c>
      <c r="M6" s="156" t="s">
        <v>30</v>
      </c>
    </row>
    <row r="7" spans="1:17" ht="15.75" x14ac:dyDescent="0.2">
      <c r="A7" s="14" t="s">
        <v>23</v>
      </c>
      <c r="B7" s="305">
        <v>180674</v>
      </c>
      <c r="C7" s="306">
        <v>194970</v>
      </c>
      <c r="D7" s="350">
        <f>IF(B7=0, "    ---- ", IF(ABS(ROUND(100/B7*C7-100,1))&lt;999,ROUND(100/B7*C7-100,1),IF(ROUND(100/B7*C7-100,1)&gt;999,999,-999)))</f>
        <v>7.9</v>
      </c>
      <c r="E7" s="11">
        <f>IFERROR(100/'Skjema total MA'!C7*C7,0)</f>
        <v>5.3443667923536182</v>
      </c>
      <c r="F7" s="305"/>
      <c r="G7" s="306"/>
      <c r="H7" s="350"/>
      <c r="I7" s="160"/>
      <c r="J7" s="307">
        <f t="shared" ref="J7:K10" si="0">SUM(B7,F7)</f>
        <v>180674</v>
      </c>
      <c r="K7" s="308">
        <f t="shared" si="0"/>
        <v>194970</v>
      </c>
      <c r="L7" s="374">
        <f>IF(J7=0, "    ---- ", IF(ABS(ROUND(100/J7*K7-100,1))&lt;999,ROUND(100/J7*K7-100,1),IF(ROUND(100/J7*K7-100,1)&gt;999,999,-999)))</f>
        <v>7.9</v>
      </c>
      <c r="M7" s="11">
        <f>IFERROR(100/'Skjema total MA'!I7*K7,0)</f>
        <v>1.8029490612332306</v>
      </c>
    </row>
    <row r="8" spans="1:17" ht="15.75" x14ac:dyDescent="0.2">
      <c r="A8" s="21" t="s">
        <v>25</v>
      </c>
      <c r="B8" s="280">
        <v>154065.67000000001</v>
      </c>
      <c r="C8" s="281">
        <v>167757</v>
      </c>
      <c r="D8" s="166">
        <f t="shared" ref="D8:D10" si="1">IF(B8=0, "    ---- ", IF(ABS(ROUND(100/B8*C8-100,1))&lt;999,ROUND(100/B8*C8-100,1),IF(ROUND(100/B8*C8-100,1)&gt;999,999,-999)))</f>
        <v>8.9</v>
      </c>
      <c r="E8" s="27">
        <f>IFERROR(100/'Skjema total MA'!C8*C8,0)</f>
        <v>7.6620312398339649</v>
      </c>
      <c r="F8" s="284"/>
      <c r="G8" s="285"/>
      <c r="H8" s="166"/>
      <c r="I8" s="175"/>
      <c r="J8" s="233">
        <f t="shared" si="0"/>
        <v>154065.67000000001</v>
      </c>
      <c r="K8" s="286">
        <f t="shared" si="0"/>
        <v>167757</v>
      </c>
      <c r="L8" s="166">
        <f t="shared" ref="L8:L9" si="2">IF(J8=0, "    ---- ", IF(ABS(ROUND(100/J8*K8-100,1))&lt;999,ROUND(100/J8*K8-100,1),IF(ROUND(100/J8*K8-100,1)&gt;999,999,-999)))</f>
        <v>8.9</v>
      </c>
      <c r="M8" s="27">
        <f>IFERROR(100/'Skjema total MA'!I8*K8,0)</f>
        <v>7.6620312398339649</v>
      </c>
    </row>
    <row r="9" spans="1:17" ht="15.75" x14ac:dyDescent="0.2">
      <c r="A9" s="21" t="s">
        <v>24</v>
      </c>
      <c r="B9" s="280">
        <v>26608.76</v>
      </c>
      <c r="C9" s="281">
        <v>27213</v>
      </c>
      <c r="D9" s="166">
        <f t="shared" si="1"/>
        <v>2.2999999999999998</v>
      </c>
      <c r="E9" s="27">
        <f>IFERROR(100/'Skjema total MA'!C9*C9,0)</f>
        <v>3.4691928677006953</v>
      </c>
      <c r="F9" s="284"/>
      <c r="G9" s="285"/>
      <c r="H9" s="166"/>
      <c r="I9" s="175"/>
      <c r="J9" s="233">
        <f t="shared" si="0"/>
        <v>26608.76</v>
      </c>
      <c r="K9" s="286">
        <f t="shared" si="0"/>
        <v>27213</v>
      </c>
      <c r="L9" s="166">
        <f t="shared" si="2"/>
        <v>2.2999999999999998</v>
      </c>
      <c r="M9" s="27">
        <f>IFERROR(100/'Skjema total MA'!I9*K9,0)</f>
        <v>3.4691928677006953</v>
      </c>
    </row>
    <row r="10" spans="1:17" ht="15.75" x14ac:dyDescent="0.2">
      <c r="A10" s="13" t="s">
        <v>368</v>
      </c>
      <c r="B10" s="309">
        <v>113522</v>
      </c>
      <c r="C10" s="310">
        <v>122098</v>
      </c>
      <c r="D10" s="171">
        <f t="shared" si="1"/>
        <v>7.6</v>
      </c>
      <c r="E10" s="11">
        <f>IFERROR(100/'Skjema total MA'!C10*C10,0)</f>
        <v>0.63234570921108857</v>
      </c>
      <c r="F10" s="309"/>
      <c r="G10" s="310"/>
      <c r="H10" s="171"/>
      <c r="I10" s="160"/>
      <c r="J10" s="307">
        <f t="shared" si="0"/>
        <v>113522</v>
      </c>
      <c r="K10" s="308">
        <f t="shared" si="0"/>
        <v>122098</v>
      </c>
      <c r="L10" s="375">
        <f t="shared" ref="L10" si="3">IF(J10=0, "    ---- ", IF(ABS(ROUND(100/J10*K10-100,1))&lt;999,ROUND(100/J10*K10-100,1),IF(ROUND(100/J10*K10-100,1)&gt;999,999,-999)))</f>
        <v>7.6</v>
      </c>
      <c r="M10" s="11">
        <f>IFERROR(100/'Skjema total MA'!I10*K10,0)</f>
        <v>0.17811042353732912</v>
      </c>
    </row>
    <row r="11" spans="1:17" s="43" customFormat="1" ht="15.75" x14ac:dyDescent="0.2">
      <c r="A11" s="13" t="s">
        <v>369</v>
      </c>
      <c r="B11" s="309"/>
      <c r="C11" s="310"/>
      <c r="D11" s="171"/>
      <c r="E11" s="11"/>
      <c r="F11" s="309"/>
      <c r="G11" s="310"/>
      <c r="H11" s="171"/>
      <c r="I11" s="160"/>
      <c r="J11" s="307"/>
      <c r="K11" s="308"/>
      <c r="L11" s="375"/>
      <c r="M11" s="11"/>
      <c r="N11" s="143"/>
      <c r="Q11" s="143"/>
    </row>
    <row r="12" spans="1:17" s="43" customFormat="1" ht="15.75" x14ac:dyDescent="0.2">
      <c r="A12" s="41" t="s">
        <v>370</v>
      </c>
      <c r="B12" s="311"/>
      <c r="C12" s="312"/>
      <c r="D12" s="169"/>
      <c r="E12" s="36"/>
      <c r="F12" s="311"/>
      <c r="G12" s="312"/>
      <c r="H12" s="169"/>
      <c r="I12" s="169"/>
      <c r="J12" s="313"/>
      <c r="K12" s="314"/>
      <c r="L12" s="376"/>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278</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174786</v>
      </c>
      <c r="C22" s="309">
        <v>182758</v>
      </c>
      <c r="D22" s="350">
        <f t="shared" ref="D22:D30" si="4">IF(B22=0, "    ---- ", IF(ABS(ROUND(100/B22*C22-100,1))&lt;999,ROUND(100/B22*C22-100,1),IF(ROUND(100/B22*C22-100,1)&gt;999,999,-999)))</f>
        <v>4.5999999999999996</v>
      </c>
      <c r="E22" s="11">
        <f>IFERROR(100/'Skjema total MA'!C22*C22,0)</f>
        <v>13.410795820125994</v>
      </c>
      <c r="F22" s="317">
        <v>9309</v>
      </c>
      <c r="G22" s="317">
        <v>9168</v>
      </c>
      <c r="H22" s="350">
        <f t="shared" ref="H22:H29" si="5">IF(F22=0, "    ---- ", IF(ABS(ROUND(100/F22*G22-100,1))&lt;999,ROUND(100/F22*G22-100,1),IF(ROUND(100/F22*G22-100,1)&gt;999,999,-999)))</f>
        <v>-1.5</v>
      </c>
      <c r="I22" s="11">
        <f>IFERROR(100/'Skjema total MA'!F22*G22,0)</f>
        <v>1.1477616252305534</v>
      </c>
      <c r="J22" s="315">
        <f t="shared" ref="J22:K29" si="6">SUM(B22,F22)</f>
        <v>184095</v>
      </c>
      <c r="K22" s="315">
        <f t="shared" si="6"/>
        <v>191926</v>
      </c>
      <c r="L22" s="374">
        <f t="shared" ref="L22:L30" si="7">IF(J22=0, "    ---- ", IF(ABS(ROUND(100/J22*K22-100,1))&lt;999,ROUND(100/J22*K22-100,1),IF(ROUND(100/J22*K22-100,1)&gt;999,999,-999)))</f>
        <v>4.3</v>
      </c>
      <c r="M22" s="24">
        <f>IFERROR(100/'Skjema total MA'!I22*K22,0)</f>
        <v>8.8791329705029085</v>
      </c>
    </row>
    <row r="23" spans="1:14" ht="15.75" x14ac:dyDescent="0.2">
      <c r="A23" s="562" t="s">
        <v>371</v>
      </c>
      <c r="B23" s="280">
        <v>174236</v>
      </c>
      <c r="C23" s="280">
        <v>182208</v>
      </c>
      <c r="D23" s="166">
        <f t="shared" si="4"/>
        <v>4.5999999999999996</v>
      </c>
      <c r="E23" s="11">
        <f>IFERROR(100/'Skjema total MA'!C23*C23,0)</f>
        <v>18.412156629791163</v>
      </c>
      <c r="F23" s="289"/>
      <c r="G23" s="289"/>
      <c r="H23" s="166"/>
      <c r="I23" s="366"/>
      <c r="J23" s="289">
        <f t="shared" ref="J23:J26" si="8">SUM(B23,F23)</f>
        <v>174236</v>
      </c>
      <c r="K23" s="289">
        <f t="shared" ref="K23:K26" si="9">SUM(C23,G23)</f>
        <v>182208</v>
      </c>
      <c r="L23" s="166">
        <f t="shared" si="7"/>
        <v>4.5999999999999996</v>
      </c>
      <c r="M23" s="23">
        <f>IFERROR(100/'Skjema total MA'!I23*K23,0)</f>
        <v>17.414861590776436</v>
      </c>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v>550</v>
      </c>
      <c r="C25" s="280">
        <v>550</v>
      </c>
      <c r="D25" s="166">
        <f t="shared" ref="D25" si="10">IF(B25=0, "    ---- ", IF(ABS(ROUND(100/B25*C25-100,1))&lt;999,ROUND(100/B25*C25-100,1),IF(ROUND(100/B25*C25-100,1)&gt;999,999,-999)))</f>
        <v>0</v>
      </c>
      <c r="E25" s="11">
        <f>IFERROR(100/'Skjema total MA'!C25*C25,0)</f>
        <v>2.3108132953609286</v>
      </c>
      <c r="F25" s="289">
        <v>3266</v>
      </c>
      <c r="G25" s="289">
        <v>2917</v>
      </c>
      <c r="H25" s="166">
        <f t="shared" ref="H25:H26" si="11">IF(F25=0, "    ---- ", IF(ABS(ROUND(100/F25*G25-100,1))&lt;999,ROUND(100/F25*G25-100,1),IF(ROUND(100/F25*G25-100,1)&gt;999,999,-999)))</f>
        <v>-10.7</v>
      </c>
      <c r="I25" s="366">
        <f>IFERROR(100/'Skjema total MA'!F25*G25,0)</f>
        <v>10.540698191117107</v>
      </c>
      <c r="J25" s="289">
        <f t="shared" si="8"/>
        <v>3816</v>
      </c>
      <c r="K25" s="289">
        <f t="shared" si="9"/>
        <v>3467</v>
      </c>
      <c r="L25" s="166">
        <f t="shared" ref="L25:L26" si="12">IF(J25=0, "    ---- ", IF(ABS(ROUND(100/J25*K25-100,1))&lt;999,ROUND(100/J25*K25-100,1),IF(ROUND(100/J25*K25-100,1)&gt;999,999,-999)))</f>
        <v>-9.1</v>
      </c>
      <c r="M25" s="23">
        <f>IFERROR(100/'Skjema total MA'!I25*K25,0)</f>
        <v>6.7353302980120846</v>
      </c>
    </row>
    <row r="26" spans="1:14" ht="15.75" x14ac:dyDescent="0.2">
      <c r="A26" s="562" t="s">
        <v>374</v>
      </c>
      <c r="B26" s="280"/>
      <c r="C26" s="280"/>
      <c r="D26" s="166"/>
      <c r="E26" s="11"/>
      <c r="F26" s="289">
        <v>6043</v>
      </c>
      <c r="G26" s="289">
        <v>6251</v>
      </c>
      <c r="H26" s="166">
        <f t="shared" si="11"/>
        <v>3.4</v>
      </c>
      <c r="I26" s="366">
        <f>IFERROR(100/'Skjema total MA'!F26*G26,0)</f>
        <v>0.87665990858701015</v>
      </c>
      <c r="J26" s="289">
        <f t="shared" si="8"/>
        <v>6043</v>
      </c>
      <c r="K26" s="289">
        <f t="shared" si="9"/>
        <v>6251</v>
      </c>
      <c r="L26" s="166">
        <f t="shared" si="12"/>
        <v>3.4</v>
      </c>
      <c r="M26" s="23">
        <f>IFERROR(100/'Skjema total MA'!I26*K26,0)</f>
        <v>0.87665990858701015</v>
      </c>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174236</v>
      </c>
      <c r="C28" s="286">
        <v>182208</v>
      </c>
      <c r="D28" s="166">
        <f t="shared" si="4"/>
        <v>4.5999999999999996</v>
      </c>
      <c r="E28" s="11">
        <f>IFERROR(100/'Skjema total MA'!C28*C28,0)</f>
        <v>12.530127847166476</v>
      </c>
      <c r="F28" s="233"/>
      <c r="G28" s="286"/>
      <c r="H28" s="166"/>
      <c r="I28" s="27"/>
      <c r="J28" s="44">
        <f t="shared" si="6"/>
        <v>174236</v>
      </c>
      <c r="K28" s="44">
        <f t="shared" si="6"/>
        <v>182208</v>
      </c>
      <c r="L28" s="253">
        <f t="shared" si="7"/>
        <v>4.5999999999999996</v>
      </c>
      <c r="M28" s="23">
        <f>IFERROR(100/'Skjema total MA'!I28*K28,0)</f>
        <v>12.530127847166476</v>
      </c>
    </row>
    <row r="29" spans="1:14" s="3" customFormat="1" ht="15.75" x14ac:dyDescent="0.2">
      <c r="A29" s="13" t="s">
        <v>368</v>
      </c>
      <c r="B29" s="235">
        <v>556771.80000000005</v>
      </c>
      <c r="C29" s="235">
        <v>636309</v>
      </c>
      <c r="D29" s="171">
        <f t="shared" si="4"/>
        <v>14.3</v>
      </c>
      <c r="E29" s="11">
        <f>IFERROR(100/'Skjema total MA'!C29*C29,0)</f>
        <v>1.3549372465884042</v>
      </c>
      <c r="F29" s="307">
        <v>122708</v>
      </c>
      <c r="G29" s="307">
        <v>141777.29999999999</v>
      </c>
      <c r="H29" s="171">
        <f t="shared" si="5"/>
        <v>15.5</v>
      </c>
      <c r="I29" s="11">
        <f>IFERROR(100/'Skjema total MA'!F29*G29,0)</f>
        <v>0.66572282583116515</v>
      </c>
      <c r="J29" s="235">
        <f t="shared" si="6"/>
        <v>679479.8</v>
      </c>
      <c r="K29" s="235">
        <f t="shared" si="6"/>
        <v>778086.3</v>
      </c>
      <c r="L29" s="375">
        <f t="shared" si="7"/>
        <v>14.5</v>
      </c>
      <c r="M29" s="24">
        <f>IFERROR(100/'Skjema total MA'!I29*K29,0)</f>
        <v>1.1399029560055483</v>
      </c>
      <c r="N29" s="148"/>
    </row>
    <row r="30" spans="1:14" s="3" customFormat="1" ht="15.75" x14ac:dyDescent="0.2">
      <c r="A30" s="562" t="s">
        <v>371</v>
      </c>
      <c r="B30" s="280">
        <v>554886.40000000002</v>
      </c>
      <c r="C30" s="280">
        <v>634489</v>
      </c>
      <c r="D30" s="166">
        <f t="shared" si="4"/>
        <v>14.3</v>
      </c>
      <c r="E30" s="11">
        <f>IFERROR(100/'Skjema total MA'!C30*C30,0)</f>
        <v>6.1365283692213799</v>
      </c>
      <c r="F30" s="289"/>
      <c r="G30" s="289"/>
      <c r="H30" s="166"/>
      <c r="I30" s="366"/>
      <c r="J30" s="289">
        <f t="shared" ref="J30:J33" si="13">SUM(B30,F30)</f>
        <v>554886.40000000002</v>
      </c>
      <c r="K30" s="289">
        <f t="shared" ref="K30:K33" si="14">SUM(C30,G30)</f>
        <v>634489</v>
      </c>
      <c r="L30" s="166">
        <f t="shared" si="7"/>
        <v>14.3</v>
      </c>
      <c r="M30" s="23">
        <f>IFERROR(100/'Skjema total MA'!I30*K30,0)</f>
        <v>4.3365908441456948</v>
      </c>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v>1885.4</v>
      </c>
      <c r="C32" s="280">
        <v>1820</v>
      </c>
      <c r="D32" s="166">
        <f t="shared" ref="D32" si="15">IF(B32=0, "    ---- ", IF(ABS(ROUND(100/B32*C32-100,1))&lt;999,ROUND(100/B32*C32-100,1),IF(ROUND(100/B32*C32-100,1)&gt;999,999,-999)))</f>
        <v>-3.5</v>
      </c>
      <c r="E32" s="11">
        <f>IFERROR(100/'Skjema total MA'!C32*C32,0)</f>
        <v>0.11848774631074646</v>
      </c>
      <c r="F32" s="289">
        <v>104134</v>
      </c>
      <c r="G32" s="289">
        <v>108970.7</v>
      </c>
      <c r="H32" s="166">
        <f t="shared" ref="H32:H33" si="16">IF(F32=0, "    ---- ", IF(ABS(ROUND(100/F32*G32-100,1))&lt;999,ROUND(100/F32*G32-100,1),IF(ROUND(100/F32*G32-100,1)&gt;999,999,-999)))</f>
        <v>4.5999999999999996</v>
      </c>
      <c r="I32" s="366">
        <f>IFERROR(100/'Skjema total MA'!F32*G32,0)</f>
        <v>2.4525391408279655</v>
      </c>
      <c r="J32" s="289">
        <f t="shared" si="13"/>
        <v>106019.4</v>
      </c>
      <c r="K32" s="289">
        <f t="shared" si="14"/>
        <v>110790.7</v>
      </c>
      <c r="L32" s="166">
        <f t="shared" ref="L32:L33" si="17">IF(J32=0, "    ---- ", IF(ABS(ROUND(100/J32*K32-100,1))&lt;999,ROUND(100/J32*K32-100,1),IF(ROUND(100/J32*K32-100,1)&gt;999,999,-999)))</f>
        <v>4.5</v>
      </c>
      <c r="M32" s="23">
        <f>IFERROR(100/'Skjema total MA'!I32*K32,0)</f>
        <v>1.8529343546796537</v>
      </c>
    </row>
    <row r="33" spans="1:14" ht="15.75" x14ac:dyDescent="0.2">
      <c r="A33" s="562" t="s">
        <v>374</v>
      </c>
      <c r="B33" s="280"/>
      <c r="C33" s="280"/>
      <c r="D33" s="166"/>
      <c r="E33" s="11"/>
      <c r="F33" s="289">
        <v>18574</v>
      </c>
      <c r="G33" s="289">
        <v>32806.6</v>
      </c>
      <c r="H33" s="166">
        <f t="shared" si="16"/>
        <v>76.599999999999994</v>
      </c>
      <c r="I33" s="366">
        <f>IFERROR(100/'Skjema total MA'!F33*G33,0)</f>
        <v>1.1646581404329832</v>
      </c>
      <c r="J33" s="289">
        <f t="shared" si="13"/>
        <v>18574</v>
      </c>
      <c r="K33" s="289">
        <f t="shared" si="14"/>
        <v>32806.6</v>
      </c>
      <c r="L33" s="166">
        <f t="shared" si="17"/>
        <v>76.599999999999994</v>
      </c>
      <c r="M33" s="23">
        <f>IFERROR(100/'Skjema total MA'!I33*K33,0)</f>
        <v>1.1646581404329832</v>
      </c>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32100</v>
      </c>
      <c r="C47" s="310">
        <v>33252</v>
      </c>
      <c r="D47" s="374">
        <f t="shared" ref="D47:D48" si="18">IF(B47=0, "    ---- ", IF(ABS(ROUND(100/B47*C47-100,1))&lt;999,ROUND(100/B47*C47-100,1),IF(ROUND(100/B47*C47-100,1)&gt;999,999,-999)))</f>
        <v>3.6</v>
      </c>
      <c r="E47" s="11">
        <f>IFERROR(100/'Skjema total MA'!C47*C47,0)</f>
        <v>0.8690408723666897</v>
      </c>
      <c r="F47" s="145"/>
      <c r="G47" s="33"/>
      <c r="H47" s="159"/>
      <c r="I47" s="159"/>
      <c r="J47" s="37"/>
      <c r="K47" s="37"/>
      <c r="L47" s="159"/>
      <c r="M47" s="159"/>
      <c r="N47" s="148"/>
    </row>
    <row r="48" spans="1:14" s="3" customFormat="1" ht="15.75" x14ac:dyDescent="0.2">
      <c r="A48" s="38" t="s">
        <v>379</v>
      </c>
      <c r="B48" s="280">
        <v>32100</v>
      </c>
      <c r="C48" s="281">
        <v>33252</v>
      </c>
      <c r="D48" s="253">
        <f t="shared" si="18"/>
        <v>3.6</v>
      </c>
      <c r="E48" s="27">
        <f>IFERROR(100/'Skjema total MA'!C48*C48,0)</f>
        <v>1.535231363437771</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v>75617</v>
      </c>
      <c r="C66" s="353">
        <v>80755</v>
      </c>
      <c r="D66" s="350">
        <f t="shared" ref="D66:D111" si="19">IF(B66=0, "    ---- ", IF(ABS(ROUND(100/B66*C66-100,1))&lt;999,ROUND(100/B66*C66-100,1),IF(ROUND(100/B66*C66-100,1)&gt;999,999,-999)))</f>
        <v>6.8</v>
      </c>
      <c r="E66" s="11">
        <f>IFERROR(100/'Skjema total MA'!C66*C66,0)</f>
        <v>1.1356380605177931</v>
      </c>
      <c r="F66" s="352">
        <v>262991</v>
      </c>
      <c r="G66" s="352">
        <v>292421</v>
      </c>
      <c r="H66" s="350">
        <f t="shared" ref="H66:H111" si="20">IF(F66=0, "    ---- ", IF(ABS(ROUND(100/F66*G66-100,1))&lt;999,ROUND(100/F66*G66-100,1),IF(ROUND(100/F66*G66-100,1)&gt;999,999,-999)))</f>
        <v>11.2</v>
      </c>
      <c r="I66" s="11">
        <f>IFERROR(100/'Skjema total MA'!F66*G66,0)</f>
        <v>1.2293474837057163</v>
      </c>
      <c r="J66" s="308">
        <f t="shared" ref="J66:K79" si="21">SUM(B66,F66)</f>
        <v>338608</v>
      </c>
      <c r="K66" s="315">
        <f t="shared" si="21"/>
        <v>373176</v>
      </c>
      <c r="L66" s="375">
        <f t="shared" ref="L66:L111" si="22">IF(J66=0, "    ---- ", IF(ABS(ROUND(100/J66*K66-100,1))&lt;999,ROUND(100/J66*K66-100,1),IF(ROUND(100/J66*K66-100,1)&gt;999,999,-999)))</f>
        <v>10.199999999999999</v>
      </c>
      <c r="M66" s="11">
        <f>IFERROR(100/'Skjema total MA'!I66*K66,0)</f>
        <v>1.2077806149052754</v>
      </c>
    </row>
    <row r="67" spans="1:14" x14ac:dyDescent="0.2">
      <c r="A67" s="368" t="s">
        <v>9</v>
      </c>
      <c r="B67" s="44"/>
      <c r="C67" s="145"/>
      <c r="D67" s="166"/>
      <c r="E67" s="27"/>
      <c r="F67" s="233"/>
      <c r="G67" s="145"/>
      <c r="H67" s="166"/>
      <c r="I67" s="27"/>
      <c r="J67" s="286"/>
      <c r="K67" s="44"/>
      <c r="L67" s="253"/>
      <c r="M67" s="27"/>
    </row>
    <row r="68" spans="1:14" x14ac:dyDescent="0.2">
      <c r="A68" s="21" t="s">
        <v>10</v>
      </c>
      <c r="B68" s="291">
        <v>75617</v>
      </c>
      <c r="C68" s="292">
        <v>80755</v>
      </c>
      <c r="D68" s="166">
        <f t="shared" si="19"/>
        <v>6.8</v>
      </c>
      <c r="E68" s="27">
        <f>IFERROR(100/'Skjema total MA'!C68*C68,0)</f>
        <v>61.790667682363996</v>
      </c>
      <c r="F68" s="291">
        <v>262991</v>
      </c>
      <c r="G68" s="292">
        <v>292421</v>
      </c>
      <c r="H68" s="166">
        <f t="shared" si="20"/>
        <v>11.2</v>
      </c>
      <c r="I68" s="27">
        <f>IFERROR(100/'Skjema total MA'!F68*G68,0)</f>
        <v>1.2459071785553715</v>
      </c>
      <c r="J68" s="286">
        <f t="shared" si="21"/>
        <v>338608</v>
      </c>
      <c r="K68" s="44">
        <f t="shared" si="21"/>
        <v>373176</v>
      </c>
      <c r="L68" s="253">
        <f t="shared" si="22"/>
        <v>10.199999999999999</v>
      </c>
      <c r="M68" s="27">
        <f>IFERROR(100/'Skjema total MA'!I68*K68,0)</f>
        <v>1.5811725119380489</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v>75617</v>
      </c>
      <c r="C77" s="233">
        <v>80755</v>
      </c>
      <c r="D77" s="166">
        <f t="shared" si="19"/>
        <v>6.8</v>
      </c>
      <c r="E77" s="27">
        <f>IFERROR(100/'Skjema total MA'!C77*C77,0)</f>
        <v>1.4732686741343739</v>
      </c>
      <c r="F77" s="233">
        <v>262991</v>
      </c>
      <c r="G77" s="145">
        <v>292421</v>
      </c>
      <c r="H77" s="166">
        <f t="shared" si="20"/>
        <v>11.2</v>
      </c>
      <c r="I77" s="27">
        <f>IFERROR(100/'Skjema total MA'!F77*G77,0)</f>
        <v>1.2464359609186613</v>
      </c>
      <c r="J77" s="286">
        <f t="shared" si="21"/>
        <v>338608</v>
      </c>
      <c r="K77" s="44">
        <f t="shared" si="21"/>
        <v>373176</v>
      </c>
      <c r="L77" s="253">
        <f t="shared" si="22"/>
        <v>10.199999999999999</v>
      </c>
      <c r="M77" s="27">
        <f>IFERROR(100/'Skjema total MA'!I77*K77,0)</f>
        <v>1.2893961125558575</v>
      </c>
    </row>
    <row r="78" spans="1:14" x14ac:dyDescent="0.2">
      <c r="A78" s="21" t="s">
        <v>9</v>
      </c>
      <c r="B78" s="233"/>
      <c r="C78" s="145"/>
      <c r="D78" s="166"/>
      <c r="E78" s="27"/>
      <c r="F78" s="233"/>
      <c r="G78" s="145"/>
      <c r="H78" s="166"/>
      <c r="I78" s="27"/>
      <c r="J78" s="286"/>
      <c r="K78" s="44"/>
      <c r="L78" s="253"/>
      <c r="M78" s="27"/>
    </row>
    <row r="79" spans="1:14" x14ac:dyDescent="0.2">
      <c r="A79" s="21" t="s">
        <v>10</v>
      </c>
      <c r="B79" s="291">
        <v>75617</v>
      </c>
      <c r="C79" s="292">
        <v>80755</v>
      </c>
      <c r="D79" s="166">
        <f t="shared" si="19"/>
        <v>6.8</v>
      </c>
      <c r="E79" s="27">
        <f>IFERROR(100/'Skjema total MA'!C79*C79,0)</f>
        <v>63.268648607459738</v>
      </c>
      <c r="F79" s="291">
        <v>262991</v>
      </c>
      <c r="G79" s="292">
        <v>292421</v>
      </c>
      <c r="H79" s="166">
        <f t="shared" si="20"/>
        <v>11.2</v>
      </c>
      <c r="I79" s="27">
        <f>IFERROR(100/'Skjema total MA'!F79*G79,0)</f>
        <v>1.2464359609186613</v>
      </c>
      <c r="J79" s="286">
        <f t="shared" si="21"/>
        <v>338608</v>
      </c>
      <c r="K79" s="44">
        <f t="shared" si="21"/>
        <v>373176</v>
      </c>
      <c r="L79" s="253">
        <f t="shared" si="22"/>
        <v>10.199999999999999</v>
      </c>
      <c r="M79" s="27">
        <f>IFERROR(100/'Skjema total MA'!I79*K79,0)</f>
        <v>1.5820446045495342</v>
      </c>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v>163666</v>
      </c>
      <c r="C87" s="353">
        <v>191689</v>
      </c>
      <c r="D87" s="171">
        <f t="shared" si="19"/>
        <v>17.100000000000001</v>
      </c>
      <c r="E87" s="11">
        <f>IFERROR(100/'Skjema total MA'!C87*C87,0)</f>
        <v>4.91143648702215E-2</v>
      </c>
      <c r="F87" s="352">
        <v>3349156</v>
      </c>
      <c r="G87" s="352">
        <v>3825134</v>
      </c>
      <c r="H87" s="171">
        <f t="shared" si="20"/>
        <v>14.2</v>
      </c>
      <c r="I87" s="11">
        <f>IFERROR(100/'Skjema total MA'!F87*G87,0)</f>
        <v>1.2988541542556513</v>
      </c>
      <c r="J87" s="308">
        <f t="shared" ref="J87:K111" si="23">SUM(B87,F87)</f>
        <v>3512822</v>
      </c>
      <c r="K87" s="235">
        <f t="shared" si="23"/>
        <v>4016823</v>
      </c>
      <c r="L87" s="375">
        <f t="shared" si="22"/>
        <v>14.3</v>
      </c>
      <c r="M87" s="11">
        <f>IFERROR(100/'Skjema total MA'!I87*K87,0)</f>
        <v>0.58657583216616205</v>
      </c>
    </row>
    <row r="88" spans="1:13" x14ac:dyDescent="0.2">
      <c r="A88" s="21" t="s">
        <v>9</v>
      </c>
      <c r="B88" s="233"/>
      <c r="C88" s="145"/>
      <c r="D88" s="166"/>
      <c r="E88" s="27"/>
      <c r="F88" s="233"/>
      <c r="G88" s="145"/>
      <c r="H88" s="166"/>
      <c r="I88" s="27"/>
      <c r="J88" s="286"/>
      <c r="K88" s="44"/>
      <c r="L88" s="253"/>
      <c r="M88" s="27"/>
    </row>
    <row r="89" spans="1:13" x14ac:dyDescent="0.2">
      <c r="A89" s="21" t="s">
        <v>10</v>
      </c>
      <c r="B89" s="233">
        <v>163666</v>
      </c>
      <c r="C89" s="145">
        <v>191689</v>
      </c>
      <c r="D89" s="166">
        <f t="shared" si="19"/>
        <v>17.100000000000001</v>
      </c>
      <c r="E89" s="27">
        <f>IFERROR(100/'Skjema total MA'!C89*C89,0)</f>
        <v>6.3192884653334414</v>
      </c>
      <c r="F89" s="233">
        <v>3349156</v>
      </c>
      <c r="G89" s="145">
        <v>3825134</v>
      </c>
      <c r="H89" s="166">
        <f t="shared" si="20"/>
        <v>14.2</v>
      </c>
      <c r="I89" s="27">
        <f>IFERROR(100/'Skjema total MA'!F89*G89,0)</f>
        <v>1.305038844327707</v>
      </c>
      <c r="J89" s="286">
        <f t="shared" si="23"/>
        <v>3512822</v>
      </c>
      <c r="K89" s="44">
        <f t="shared" si="23"/>
        <v>4016823</v>
      </c>
      <c r="L89" s="253">
        <f t="shared" si="22"/>
        <v>14.3</v>
      </c>
      <c r="M89" s="27">
        <f>IFERROR(100/'Skjema total MA'!I89*K89,0)</f>
        <v>1.3564006465851137</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v>163666</v>
      </c>
      <c r="C98" s="233">
        <v>191689</v>
      </c>
      <c r="D98" s="166">
        <f t="shared" si="19"/>
        <v>17.100000000000001</v>
      </c>
      <c r="E98" s="27">
        <f>IFERROR(100/'Skjema total MA'!C98*C98,0)</f>
        <v>5.055954122434448E-2</v>
      </c>
      <c r="F98" s="291">
        <v>3349156</v>
      </c>
      <c r="G98" s="291">
        <v>3825134</v>
      </c>
      <c r="H98" s="166">
        <f t="shared" si="20"/>
        <v>14.2</v>
      </c>
      <c r="I98" s="27">
        <f>IFERROR(100/'Skjema total MA'!F98*G98,0)</f>
        <v>1.3086545563256573</v>
      </c>
      <c r="J98" s="286">
        <f t="shared" si="23"/>
        <v>3512822</v>
      </c>
      <c r="K98" s="44">
        <f t="shared" si="23"/>
        <v>4016823</v>
      </c>
      <c r="L98" s="253">
        <f t="shared" si="22"/>
        <v>14.3</v>
      </c>
      <c r="M98" s="27">
        <f>IFERROR(100/'Skjema total MA'!I98*K98,0)</f>
        <v>0.59824866685662637</v>
      </c>
    </row>
    <row r="99" spans="1:13" x14ac:dyDescent="0.2">
      <c r="A99" s="21" t="s">
        <v>9</v>
      </c>
      <c r="B99" s="291"/>
      <c r="C99" s="292"/>
      <c r="D99" s="166"/>
      <c r="E99" s="27"/>
      <c r="F99" s="233"/>
      <c r="G99" s="145"/>
      <c r="H99" s="166"/>
      <c r="I99" s="27"/>
      <c r="J99" s="286"/>
      <c r="K99" s="44"/>
      <c r="L99" s="253"/>
      <c r="M99" s="27"/>
    </row>
    <row r="100" spans="1:13" x14ac:dyDescent="0.2">
      <c r="A100" s="21" t="s">
        <v>10</v>
      </c>
      <c r="B100" s="291">
        <v>163666</v>
      </c>
      <c r="C100" s="292">
        <v>191689</v>
      </c>
      <c r="D100" s="166">
        <f t="shared" si="19"/>
        <v>17.100000000000001</v>
      </c>
      <c r="E100" s="27">
        <f>IFERROR(100/'Skjema total MA'!C100*C100,0)</f>
        <v>6.3192884653334414</v>
      </c>
      <c r="F100" s="233">
        <v>3349156</v>
      </c>
      <c r="G100" s="233">
        <v>3825134</v>
      </c>
      <c r="H100" s="166">
        <f t="shared" si="20"/>
        <v>14.2</v>
      </c>
      <c r="I100" s="27">
        <f>IFERROR(100/'Skjema total MA'!F100*G100,0)</f>
        <v>1.3086545563256573</v>
      </c>
      <c r="J100" s="286">
        <f t="shared" si="23"/>
        <v>3512822</v>
      </c>
      <c r="K100" s="44">
        <f t="shared" si="23"/>
        <v>4016823</v>
      </c>
      <c r="L100" s="253">
        <f t="shared" si="22"/>
        <v>14.3</v>
      </c>
      <c r="M100" s="27">
        <f>IFERROR(100/'Skjema total MA'!I100*K100,0)</f>
        <v>1.3601200609424695</v>
      </c>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v>1303142</v>
      </c>
      <c r="H109" s="166" t="str">
        <f t="shared" si="20"/>
        <v xml:space="preserve">    ---- </v>
      </c>
      <c r="I109" s="27">
        <f>IFERROR(100/'Skjema total MA'!F109*G109,0)</f>
        <v>1.3036359648655658</v>
      </c>
      <c r="J109" s="286">
        <f>SUM(B109,F10)</f>
        <v>0</v>
      </c>
      <c r="K109" s="44">
        <f t="shared" si="23"/>
        <v>1303142</v>
      </c>
      <c r="L109" s="253" t="str">
        <f t="shared" si="22"/>
        <v xml:space="preserve">    ---- </v>
      </c>
      <c r="M109" s="27">
        <f>IFERROR(100/'Skjema total MA'!I109*K109,0)</f>
        <v>1.2909977404321631</v>
      </c>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v>516.6</v>
      </c>
      <c r="C111" s="159">
        <v>1047</v>
      </c>
      <c r="D111" s="171">
        <f t="shared" si="19"/>
        <v>102.7</v>
      </c>
      <c r="E111" s="11">
        <f>IFERROR(100/'Skjema total MA'!C111*C111,0)</f>
        <v>0.27622370745879371</v>
      </c>
      <c r="F111" s="307">
        <v>47639.4</v>
      </c>
      <c r="G111" s="159">
        <v>139823</v>
      </c>
      <c r="H111" s="171">
        <f t="shared" si="20"/>
        <v>193.5</v>
      </c>
      <c r="I111" s="11">
        <f>IFERROR(100/'Skjema total MA'!F111*G111,0)</f>
        <v>1.2669687030190797</v>
      </c>
      <c r="J111" s="308">
        <f t="shared" si="23"/>
        <v>48156</v>
      </c>
      <c r="K111" s="235">
        <f t="shared" si="23"/>
        <v>140870</v>
      </c>
      <c r="L111" s="375">
        <f t="shared" si="22"/>
        <v>192.5</v>
      </c>
      <c r="M111" s="11">
        <f>IFERROR(100/'Skjema total MA'!I111*K111,0)</f>
        <v>1.2340707288205903</v>
      </c>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v>516.6</v>
      </c>
      <c r="C113" s="145">
        <v>1047</v>
      </c>
      <c r="D113" s="166">
        <f t="shared" ref="D113:D121" si="24">IF(B113=0, "    ---- ", IF(ABS(ROUND(100/B113*C113-100,1))&lt;999,ROUND(100/B113*C113-100,1),IF(ROUND(100/B113*C113-100,1)&gt;999,999,-999)))</f>
        <v>102.7</v>
      </c>
      <c r="E113" s="27">
        <f>IFERROR(100/'Skjema total MA'!C113*C113,0)</f>
        <v>75.183739688760141</v>
      </c>
      <c r="F113" s="233">
        <v>47639.4</v>
      </c>
      <c r="G113" s="145">
        <v>139823</v>
      </c>
      <c r="H113" s="166">
        <f t="shared" ref="H113:H121" si="25">IF(F113=0, "    ---- ", IF(ABS(ROUND(100/F113*G113-100,1))&lt;999,ROUND(100/F113*G113-100,1),IF(ROUND(100/F113*G113-100,1)&gt;999,999,-999)))</f>
        <v>193.5</v>
      </c>
      <c r="I113" s="27">
        <f>IFERROR(100/'Skjema total MA'!F113*G113,0)</f>
        <v>1.2712026170594368</v>
      </c>
      <c r="J113" s="286">
        <f t="shared" ref="J113:K121" si="26">SUM(B113,F113)</f>
        <v>48156</v>
      </c>
      <c r="K113" s="44">
        <f t="shared" si="26"/>
        <v>140870</v>
      </c>
      <c r="L113" s="253">
        <f t="shared" ref="L113:L121" si="27">IF(J113=0, "    ---- ", IF(ABS(ROUND(100/J113*K113-100,1))&lt;999,ROUND(100/J113*K113-100,1),IF(ROUND(100/J113*K113-100,1)&gt;999,999,-999)))</f>
        <v>192.5</v>
      </c>
      <c r="M113" s="27">
        <f>IFERROR(100/'Skjema total MA'!I113*K113,0)</f>
        <v>1.2805593029116249</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v>3071.2</v>
      </c>
      <c r="C119" s="159">
        <v>1775</v>
      </c>
      <c r="D119" s="171">
        <f t="shared" si="24"/>
        <v>-42.2</v>
      </c>
      <c r="E119" s="11">
        <f>IFERROR(100/'Skjema total MA'!C119*C119,0)</f>
        <v>0.45704731280912131</v>
      </c>
      <c r="F119" s="307">
        <v>105463.9</v>
      </c>
      <c r="G119" s="159">
        <v>75652</v>
      </c>
      <c r="H119" s="171">
        <f t="shared" si="25"/>
        <v>-28.3</v>
      </c>
      <c r="I119" s="11">
        <f>IFERROR(100/'Skjema total MA'!F119*G119,0)</f>
        <v>0.68382977351427021</v>
      </c>
      <c r="J119" s="308">
        <f t="shared" si="26"/>
        <v>108535.09999999999</v>
      </c>
      <c r="K119" s="235">
        <f t="shared" si="26"/>
        <v>77427</v>
      </c>
      <c r="L119" s="375">
        <f t="shared" si="27"/>
        <v>-28.7</v>
      </c>
      <c r="M119" s="11">
        <f>IFERROR(100/'Skjema total MA'!I119*K119,0)</f>
        <v>0.6761386464149034</v>
      </c>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v>3071.2</v>
      </c>
      <c r="C121" s="145">
        <v>1775</v>
      </c>
      <c r="D121" s="166">
        <f t="shared" si="24"/>
        <v>-42.2</v>
      </c>
      <c r="E121" s="27">
        <f>IFERROR(100/'Skjema total MA'!C121*C121,0)</f>
        <v>5.0983060484938054</v>
      </c>
      <c r="F121" s="233">
        <v>105463.9</v>
      </c>
      <c r="G121" s="145">
        <v>75652</v>
      </c>
      <c r="H121" s="166">
        <f t="shared" si="25"/>
        <v>-28.3</v>
      </c>
      <c r="I121" s="27">
        <f>IFERROR(100/'Skjema total MA'!F121*G121,0)</f>
        <v>0.68382977351427021</v>
      </c>
      <c r="J121" s="286">
        <f t="shared" si="26"/>
        <v>108535.09999999999</v>
      </c>
      <c r="K121" s="44">
        <f t="shared" si="26"/>
        <v>77427</v>
      </c>
      <c r="L121" s="253">
        <f t="shared" si="27"/>
        <v>-28.7</v>
      </c>
      <c r="M121" s="27">
        <f>IFERROR(100/'Skjema total MA'!I121*K121,0)</f>
        <v>0.69767865328518774</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341" priority="132">
      <formula>kvartal &lt; 4</formula>
    </cfRule>
  </conditionalFormatting>
  <conditionalFormatting sqref="B69">
    <cfRule type="expression" dxfId="1340" priority="100">
      <formula>kvartal &lt; 4</formula>
    </cfRule>
  </conditionalFormatting>
  <conditionalFormatting sqref="C69">
    <cfRule type="expression" dxfId="1339" priority="99">
      <formula>kvartal &lt; 4</formula>
    </cfRule>
  </conditionalFormatting>
  <conditionalFormatting sqref="B72">
    <cfRule type="expression" dxfId="1338" priority="98">
      <formula>kvartal &lt; 4</formula>
    </cfRule>
  </conditionalFormatting>
  <conditionalFormatting sqref="C72">
    <cfRule type="expression" dxfId="1337" priority="97">
      <formula>kvartal &lt; 4</formula>
    </cfRule>
  </conditionalFormatting>
  <conditionalFormatting sqref="B80">
    <cfRule type="expression" dxfId="1336" priority="96">
      <formula>kvartal &lt; 4</formula>
    </cfRule>
  </conditionalFormatting>
  <conditionalFormatting sqref="C80">
    <cfRule type="expression" dxfId="1335" priority="95">
      <formula>kvartal &lt; 4</formula>
    </cfRule>
  </conditionalFormatting>
  <conditionalFormatting sqref="B83">
    <cfRule type="expression" dxfId="1334" priority="94">
      <formula>kvartal &lt; 4</formula>
    </cfRule>
  </conditionalFormatting>
  <conditionalFormatting sqref="C83">
    <cfRule type="expression" dxfId="1333" priority="93">
      <formula>kvartal &lt; 4</formula>
    </cfRule>
  </conditionalFormatting>
  <conditionalFormatting sqref="B90">
    <cfRule type="expression" dxfId="1332" priority="84">
      <formula>kvartal &lt; 4</formula>
    </cfRule>
  </conditionalFormatting>
  <conditionalFormatting sqref="C90">
    <cfRule type="expression" dxfId="1331" priority="83">
      <formula>kvartal &lt; 4</formula>
    </cfRule>
  </conditionalFormatting>
  <conditionalFormatting sqref="B93">
    <cfRule type="expression" dxfId="1330" priority="82">
      <formula>kvartal &lt; 4</formula>
    </cfRule>
  </conditionalFormatting>
  <conditionalFormatting sqref="C93">
    <cfRule type="expression" dxfId="1329" priority="81">
      <formula>kvartal &lt; 4</formula>
    </cfRule>
  </conditionalFormatting>
  <conditionalFormatting sqref="B101">
    <cfRule type="expression" dxfId="1328" priority="80">
      <formula>kvartal &lt; 4</formula>
    </cfRule>
  </conditionalFormatting>
  <conditionalFormatting sqref="C101">
    <cfRule type="expression" dxfId="1327" priority="79">
      <formula>kvartal &lt; 4</formula>
    </cfRule>
  </conditionalFormatting>
  <conditionalFormatting sqref="B104">
    <cfRule type="expression" dxfId="1326" priority="78">
      <formula>kvartal &lt; 4</formula>
    </cfRule>
  </conditionalFormatting>
  <conditionalFormatting sqref="C104">
    <cfRule type="expression" dxfId="1325" priority="77">
      <formula>kvartal &lt; 4</formula>
    </cfRule>
  </conditionalFormatting>
  <conditionalFormatting sqref="B115">
    <cfRule type="expression" dxfId="1324" priority="76">
      <formula>kvartal &lt; 4</formula>
    </cfRule>
  </conditionalFormatting>
  <conditionalFormatting sqref="C115">
    <cfRule type="expression" dxfId="1323" priority="75">
      <formula>kvartal &lt; 4</formula>
    </cfRule>
  </conditionalFormatting>
  <conditionalFormatting sqref="B123">
    <cfRule type="expression" dxfId="1322" priority="74">
      <formula>kvartal &lt; 4</formula>
    </cfRule>
  </conditionalFormatting>
  <conditionalFormatting sqref="C123">
    <cfRule type="expression" dxfId="1321" priority="73">
      <formula>kvartal &lt; 4</formula>
    </cfRule>
  </conditionalFormatting>
  <conditionalFormatting sqref="F70">
    <cfRule type="expression" dxfId="1320" priority="72">
      <formula>kvartal &lt; 4</formula>
    </cfRule>
  </conditionalFormatting>
  <conditionalFormatting sqref="G70">
    <cfRule type="expression" dxfId="1319" priority="71">
      <formula>kvartal &lt; 4</formula>
    </cfRule>
  </conditionalFormatting>
  <conditionalFormatting sqref="F71:G71">
    <cfRule type="expression" dxfId="1318" priority="70">
      <formula>kvartal &lt; 4</formula>
    </cfRule>
  </conditionalFormatting>
  <conditionalFormatting sqref="F73:G74">
    <cfRule type="expression" dxfId="1317" priority="69">
      <formula>kvartal &lt; 4</formula>
    </cfRule>
  </conditionalFormatting>
  <conditionalFormatting sqref="F81:G82">
    <cfRule type="expression" dxfId="1316" priority="68">
      <formula>kvartal &lt; 4</formula>
    </cfRule>
  </conditionalFormatting>
  <conditionalFormatting sqref="F84:G85">
    <cfRule type="expression" dxfId="1315" priority="67">
      <formula>kvartal &lt; 4</formula>
    </cfRule>
  </conditionalFormatting>
  <conditionalFormatting sqref="F91:G92">
    <cfRule type="expression" dxfId="1314" priority="62">
      <formula>kvartal &lt; 4</formula>
    </cfRule>
  </conditionalFormatting>
  <conditionalFormatting sqref="F94:G95">
    <cfRule type="expression" dxfId="1313" priority="61">
      <formula>kvartal &lt; 4</formula>
    </cfRule>
  </conditionalFormatting>
  <conditionalFormatting sqref="F102:G103">
    <cfRule type="expression" dxfId="1312" priority="60">
      <formula>kvartal &lt; 4</formula>
    </cfRule>
  </conditionalFormatting>
  <conditionalFormatting sqref="F105:G106">
    <cfRule type="expression" dxfId="1311" priority="59">
      <formula>kvartal &lt; 4</formula>
    </cfRule>
  </conditionalFormatting>
  <conditionalFormatting sqref="F115">
    <cfRule type="expression" dxfId="1310" priority="58">
      <formula>kvartal &lt; 4</formula>
    </cfRule>
  </conditionalFormatting>
  <conditionalFormatting sqref="G115">
    <cfRule type="expression" dxfId="1309" priority="57">
      <formula>kvartal &lt; 4</formula>
    </cfRule>
  </conditionalFormatting>
  <conditionalFormatting sqref="F123:G123">
    <cfRule type="expression" dxfId="1308" priority="56">
      <formula>kvartal &lt; 4</formula>
    </cfRule>
  </conditionalFormatting>
  <conditionalFormatting sqref="F69:G69">
    <cfRule type="expression" dxfId="1307" priority="55">
      <formula>kvartal &lt; 4</formula>
    </cfRule>
  </conditionalFormatting>
  <conditionalFormatting sqref="F72:G72">
    <cfRule type="expression" dxfId="1306" priority="54">
      <formula>kvartal &lt; 4</formula>
    </cfRule>
  </conditionalFormatting>
  <conditionalFormatting sqref="F80:G80">
    <cfRule type="expression" dxfId="1305" priority="53">
      <formula>kvartal &lt; 4</formula>
    </cfRule>
  </conditionalFormatting>
  <conditionalFormatting sqref="F83:G83">
    <cfRule type="expression" dxfId="1304" priority="52">
      <formula>kvartal &lt; 4</formula>
    </cfRule>
  </conditionalFormatting>
  <conditionalFormatting sqref="F90:G90">
    <cfRule type="expression" dxfId="1303" priority="46">
      <formula>kvartal &lt; 4</formula>
    </cfRule>
  </conditionalFormatting>
  <conditionalFormatting sqref="F93">
    <cfRule type="expression" dxfId="1302" priority="45">
      <formula>kvartal &lt; 4</formula>
    </cfRule>
  </conditionalFormatting>
  <conditionalFormatting sqref="G93">
    <cfRule type="expression" dxfId="1301" priority="44">
      <formula>kvartal &lt; 4</formula>
    </cfRule>
  </conditionalFormatting>
  <conditionalFormatting sqref="F101">
    <cfRule type="expression" dxfId="1300" priority="43">
      <formula>kvartal &lt; 4</formula>
    </cfRule>
  </conditionalFormatting>
  <conditionalFormatting sqref="G101">
    <cfRule type="expression" dxfId="1299" priority="42">
      <formula>kvartal &lt; 4</formula>
    </cfRule>
  </conditionalFormatting>
  <conditionalFormatting sqref="G104">
    <cfRule type="expression" dxfId="1298" priority="41">
      <formula>kvartal &lt; 4</formula>
    </cfRule>
  </conditionalFormatting>
  <conditionalFormatting sqref="F104">
    <cfRule type="expression" dxfId="1297" priority="40">
      <formula>kvartal &lt; 4</formula>
    </cfRule>
  </conditionalFormatting>
  <conditionalFormatting sqref="J69:K73">
    <cfRule type="expression" dxfId="1296" priority="39">
      <formula>kvartal &lt; 4</formula>
    </cfRule>
  </conditionalFormatting>
  <conditionalFormatting sqref="J74:K74">
    <cfRule type="expression" dxfId="1295" priority="38">
      <formula>kvartal &lt; 4</formula>
    </cfRule>
  </conditionalFormatting>
  <conditionalFormatting sqref="J80:K85">
    <cfRule type="expression" dxfId="1294" priority="37">
      <formula>kvartal &lt; 4</formula>
    </cfRule>
  </conditionalFormatting>
  <conditionalFormatting sqref="J90:K95">
    <cfRule type="expression" dxfId="1293" priority="34">
      <formula>kvartal &lt; 4</formula>
    </cfRule>
  </conditionalFormatting>
  <conditionalFormatting sqref="J101:K106">
    <cfRule type="expression" dxfId="1292" priority="33">
      <formula>kvartal &lt; 4</formula>
    </cfRule>
  </conditionalFormatting>
  <conditionalFormatting sqref="J115:K115">
    <cfRule type="expression" dxfId="1291" priority="32">
      <formula>kvartal &lt; 4</formula>
    </cfRule>
  </conditionalFormatting>
  <conditionalFormatting sqref="J123:K123">
    <cfRule type="expression" dxfId="1290" priority="31">
      <formula>kvartal &lt; 4</formula>
    </cfRule>
  </conditionalFormatting>
  <conditionalFormatting sqref="A50:A52">
    <cfRule type="expression" dxfId="1289" priority="12">
      <formula>kvartal &lt; 4</formula>
    </cfRule>
  </conditionalFormatting>
  <conditionalFormatting sqref="A69:A74">
    <cfRule type="expression" dxfId="1288" priority="10">
      <formula>kvartal &lt; 4</formula>
    </cfRule>
  </conditionalFormatting>
  <conditionalFormatting sqref="A80:A85">
    <cfRule type="expression" dxfId="1287" priority="9">
      <formula>kvartal &lt; 4</formula>
    </cfRule>
  </conditionalFormatting>
  <conditionalFormatting sqref="A90:A95">
    <cfRule type="expression" dxfId="1286" priority="6">
      <formula>kvartal &lt; 4</formula>
    </cfRule>
  </conditionalFormatting>
  <conditionalFormatting sqref="A101:A106">
    <cfRule type="expression" dxfId="1285" priority="5">
      <formula>kvartal &lt; 4</formula>
    </cfRule>
  </conditionalFormatting>
  <conditionalFormatting sqref="A115">
    <cfRule type="expression" dxfId="1284" priority="4">
      <formula>kvartal &lt; 4</formula>
    </cfRule>
  </conditionalFormatting>
  <conditionalFormatting sqref="A123">
    <cfRule type="expression" dxfId="1283" priority="3">
      <formula>kvartal &lt; 4</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128</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c r="G7" s="306"/>
      <c r="H7" s="350"/>
      <c r="I7" s="160"/>
      <c r="J7" s="307"/>
      <c r="K7" s="308"/>
      <c r="L7" s="374"/>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6101</v>
      </c>
      <c r="C47" s="310">
        <v>6362.2570000000096</v>
      </c>
      <c r="D47" s="374">
        <f t="shared" ref="D47:D57" si="0">IF(B47=0, "    ---- ", IF(ABS(ROUND(100/B47*C47-100,1))&lt;999,ROUND(100/B47*C47-100,1),IF(ROUND(100/B47*C47-100,1)&gt;999,999,-999)))</f>
        <v>4.3</v>
      </c>
      <c r="E47" s="11">
        <f>IFERROR(100/'Skjema total MA'!C47*C47,0)</f>
        <v>0.16627755844764483</v>
      </c>
      <c r="F47" s="145"/>
      <c r="G47" s="33"/>
      <c r="H47" s="159"/>
      <c r="I47" s="159"/>
      <c r="J47" s="37"/>
      <c r="K47" s="37"/>
      <c r="L47" s="159"/>
      <c r="M47" s="159"/>
      <c r="N47" s="148"/>
    </row>
    <row r="48" spans="1:14" s="3" customFormat="1" ht="15.75" x14ac:dyDescent="0.2">
      <c r="A48" s="38" t="s">
        <v>379</v>
      </c>
      <c r="B48" s="280">
        <v>6101</v>
      </c>
      <c r="C48" s="281">
        <v>6362.2570000000096</v>
      </c>
      <c r="D48" s="253">
        <f t="shared" si="0"/>
        <v>4.3</v>
      </c>
      <c r="E48" s="27">
        <f>IFERROR(100/'Skjema total MA'!C48*C48,0)</f>
        <v>0.29374282715781058</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1871</v>
      </c>
      <c r="C53" s="310">
        <v>0</v>
      </c>
      <c r="D53" s="375">
        <f t="shared" si="0"/>
        <v>-100</v>
      </c>
      <c r="E53" s="11">
        <f>IFERROR(100/'Skjema total MA'!C53*C53,0)</f>
        <v>0</v>
      </c>
      <c r="F53" s="145"/>
      <c r="G53" s="33"/>
      <c r="H53" s="145"/>
      <c r="I53" s="145"/>
      <c r="J53" s="33"/>
      <c r="K53" s="33"/>
      <c r="L53" s="159"/>
      <c r="M53" s="159"/>
      <c r="N53" s="148"/>
    </row>
    <row r="54" spans="1:14" s="3" customFormat="1" ht="15.75" x14ac:dyDescent="0.2">
      <c r="A54" s="38" t="s">
        <v>379</v>
      </c>
      <c r="B54" s="280">
        <v>1871</v>
      </c>
      <c r="C54" s="281">
        <v>0</v>
      </c>
      <c r="D54" s="253">
        <f t="shared" si="0"/>
        <v>-100</v>
      </c>
      <c r="E54" s="27">
        <f>IFERROR(100/'Skjema total MA'!C54*C54,0)</f>
        <v>0</v>
      </c>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v>325</v>
      </c>
      <c r="C56" s="310">
        <v>0</v>
      </c>
      <c r="D56" s="375">
        <f t="shared" si="0"/>
        <v>-100</v>
      </c>
      <c r="E56" s="11">
        <f>IFERROR(100/'Skjema total MA'!C56*C56,0)</f>
        <v>0</v>
      </c>
      <c r="F56" s="145"/>
      <c r="G56" s="33"/>
      <c r="H56" s="145"/>
      <c r="I56" s="145"/>
      <c r="J56" s="33"/>
      <c r="K56" s="33"/>
      <c r="L56" s="159"/>
      <c r="M56" s="159"/>
      <c r="N56" s="148"/>
    </row>
    <row r="57" spans="1:14" s="3" customFormat="1" ht="15.75" x14ac:dyDescent="0.2">
      <c r="A57" s="38" t="s">
        <v>379</v>
      </c>
      <c r="B57" s="280">
        <v>325</v>
      </c>
      <c r="C57" s="281">
        <v>0</v>
      </c>
      <c r="D57" s="253">
        <f t="shared" si="0"/>
        <v>-100</v>
      </c>
      <c r="E57" s="27">
        <f>IFERROR(100/'Skjema total MA'!C57*C57,0)</f>
        <v>0</v>
      </c>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82" priority="132">
      <formula>kvartal &lt; 4</formula>
    </cfRule>
  </conditionalFormatting>
  <conditionalFormatting sqref="B69">
    <cfRule type="expression" dxfId="1281" priority="100">
      <formula>kvartal &lt; 4</formula>
    </cfRule>
  </conditionalFormatting>
  <conditionalFormatting sqref="C69">
    <cfRule type="expression" dxfId="1280" priority="99">
      <formula>kvartal &lt; 4</formula>
    </cfRule>
  </conditionalFormatting>
  <conditionalFormatting sqref="B72">
    <cfRule type="expression" dxfId="1279" priority="98">
      <formula>kvartal &lt; 4</formula>
    </cfRule>
  </conditionalFormatting>
  <conditionalFormatting sqref="C72">
    <cfRule type="expression" dxfId="1278" priority="97">
      <formula>kvartal &lt; 4</formula>
    </cfRule>
  </conditionalFormatting>
  <conditionalFormatting sqref="B80">
    <cfRule type="expression" dxfId="1277" priority="96">
      <formula>kvartal &lt; 4</formula>
    </cfRule>
  </conditionalFormatting>
  <conditionalFormatting sqref="C80">
    <cfRule type="expression" dxfId="1276" priority="95">
      <formula>kvartal &lt; 4</formula>
    </cfRule>
  </conditionalFormatting>
  <conditionalFormatting sqref="B83">
    <cfRule type="expression" dxfId="1275" priority="94">
      <formula>kvartal &lt; 4</formula>
    </cfRule>
  </conditionalFormatting>
  <conditionalFormatting sqref="C83">
    <cfRule type="expression" dxfId="1274" priority="93">
      <formula>kvartal &lt; 4</formula>
    </cfRule>
  </conditionalFormatting>
  <conditionalFormatting sqref="B90">
    <cfRule type="expression" dxfId="1273" priority="84">
      <formula>kvartal &lt; 4</formula>
    </cfRule>
  </conditionalFormatting>
  <conditionalFormatting sqref="C90">
    <cfRule type="expression" dxfId="1272" priority="83">
      <formula>kvartal &lt; 4</formula>
    </cfRule>
  </conditionalFormatting>
  <conditionalFormatting sqref="B93">
    <cfRule type="expression" dxfId="1271" priority="82">
      <formula>kvartal &lt; 4</formula>
    </cfRule>
  </conditionalFormatting>
  <conditionalFormatting sqref="C93">
    <cfRule type="expression" dxfId="1270" priority="81">
      <formula>kvartal &lt; 4</formula>
    </cfRule>
  </conditionalFormatting>
  <conditionalFormatting sqref="B101">
    <cfRule type="expression" dxfId="1269" priority="80">
      <formula>kvartal &lt; 4</formula>
    </cfRule>
  </conditionalFormatting>
  <conditionalFormatting sqref="C101">
    <cfRule type="expression" dxfId="1268" priority="79">
      <formula>kvartal &lt; 4</formula>
    </cfRule>
  </conditionalFormatting>
  <conditionalFormatting sqref="B104">
    <cfRule type="expression" dxfId="1267" priority="78">
      <formula>kvartal &lt; 4</formula>
    </cfRule>
  </conditionalFormatting>
  <conditionalFormatting sqref="C104">
    <cfRule type="expression" dxfId="1266" priority="77">
      <formula>kvartal &lt; 4</formula>
    </cfRule>
  </conditionalFormatting>
  <conditionalFormatting sqref="B115">
    <cfRule type="expression" dxfId="1265" priority="76">
      <formula>kvartal &lt; 4</formula>
    </cfRule>
  </conditionalFormatting>
  <conditionalFormatting sqref="C115">
    <cfRule type="expression" dxfId="1264" priority="75">
      <formula>kvartal &lt; 4</formula>
    </cfRule>
  </conditionalFormatting>
  <conditionalFormatting sqref="B123">
    <cfRule type="expression" dxfId="1263" priority="74">
      <formula>kvartal &lt; 4</formula>
    </cfRule>
  </conditionalFormatting>
  <conditionalFormatting sqref="C123">
    <cfRule type="expression" dxfId="1262" priority="73">
      <formula>kvartal &lt; 4</formula>
    </cfRule>
  </conditionalFormatting>
  <conditionalFormatting sqref="F70">
    <cfRule type="expression" dxfId="1261" priority="72">
      <formula>kvartal &lt; 4</formula>
    </cfRule>
  </conditionalFormatting>
  <conditionalFormatting sqref="G70">
    <cfRule type="expression" dxfId="1260" priority="71">
      <formula>kvartal &lt; 4</formula>
    </cfRule>
  </conditionalFormatting>
  <conditionalFormatting sqref="F71:G71">
    <cfRule type="expression" dxfId="1259" priority="70">
      <formula>kvartal &lt; 4</formula>
    </cfRule>
  </conditionalFormatting>
  <conditionalFormatting sqref="F73:G74">
    <cfRule type="expression" dxfId="1258" priority="69">
      <formula>kvartal &lt; 4</formula>
    </cfRule>
  </conditionalFormatting>
  <conditionalFormatting sqref="F81:G82">
    <cfRule type="expression" dxfId="1257" priority="68">
      <formula>kvartal &lt; 4</formula>
    </cfRule>
  </conditionalFormatting>
  <conditionalFormatting sqref="F84:G85">
    <cfRule type="expression" dxfId="1256" priority="67">
      <formula>kvartal &lt; 4</formula>
    </cfRule>
  </conditionalFormatting>
  <conditionalFormatting sqref="F91:G92">
    <cfRule type="expression" dxfId="1255" priority="62">
      <formula>kvartal &lt; 4</formula>
    </cfRule>
  </conditionalFormatting>
  <conditionalFormatting sqref="F94:G95">
    <cfRule type="expression" dxfId="1254" priority="61">
      <formula>kvartal &lt; 4</formula>
    </cfRule>
  </conditionalFormatting>
  <conditionalFormatting sqref="F102:G103">
    <cfRule type="expression" dxfId="1253" priority="60">
      <formula>kvartal &lt; 4</formula>
    </cfRule>
  </conditionalFormatting>
  <conditionalFormatting sqref="F105:G106">
    <cfRule type="expression" dxfId="1252" priority="59">
      <formula>kvartal &lt; 4</formula>
    </cfRule>
  </conditionalFormatting>
  <conditionalFormatting sqref="F115">
    <cfRule type="expression" dxfId="1251" priority="58">
      <formula>kvartal &lt; 4</formula>
    </cfRule>
  </conditionalFormatting>
  <conditionalFormatting sqref="G115">
    <cfRule type="expression" dxfId="1250" priority="57">
      <formula>kvartal &lt; 4</formula>
    </cfRule>
  </conditionalFormatting>
  <conditionalFormatting sqref="F123:G123">
    <cfRule type="expression" dxfId="1249" priority="56">
      <formula>kvartal &lt; 4</formula>
    </cfRule>
  </conditionalFormatting>
  <conditionalFormatting sqref="F69:G69">
    <cfRule type="expression" dxfId="1248" priority="55">
      <formula>kvartal &lt; 4</formula>
    </cfRule>
  </conditionalFormatting>
  <conditionalFormatting sqref="F72:G72">
    <cfRule type="expression" dxfId="1247" priority="54">
      <formula>kvartal &lt; 4</formula>
    </cfRule>
  </conditionalFormatting>
  <conditionalFormatting sqref="F80:G80">
    <cfRule type="expression" dxfId="1246" priority="53">
      <formula>kvartal &lt; 4</formula>
    </cfRule>
  </conditionalFormatting>
  <conditionalFormatting sqref="F83:G83">
    <cfRule type="expression" dxfId="1245" priority="52">
      <formula>kvartal &lt; 4</formula>
    </cfRule>
  </conditionalFormatting>
  <conditionalFormatting sqref="F90:G90">
    <cfRule type="expression" dxfId="1244" priority="46">
      <formula>kvartal &lt; 4</formula>
    </cfRule>
  </conditionalFormatting>
  <conditionalFormatting sqref="F93">
    <cfRule type="expression" dxfId="1243" priority="45">
      <formula>kvartal &lt; 4</formula>
    </cfRule>
  </conditionalFormatting>
  <conditionalFormatting sqref="G93">
    <cfRule type="expression" dxfId="1242" priority="44">
      <formula>kvartal &lt; 4</formula>
    </cfRule>
  </conditionalFormatting>
  <conditionalFormatting sqref="F101">
    <cfRule type="expression" dxfId="1241" priority="43">
      <formula>kvartal &lt; 4</formula>
    </cfRule>
  </conditionalFormatting>
  <conditionalFormatting sqref="G101">
    <cfRule type="expression" dxfId="1240" priority="42">
      <formula>kvartal &lt; 4</formula>
    </cfRule>
  </conditionalFormatting>
  <conditionalFormatting sqref="G104">
    <cfRule type="expression" dxfId="1239" priority="41">
      <formula>kvartal &lt; 4</formula>
    </cfRule>
  </conditionalFormatting>
  <conditionalFormatting sqref="F104">
    <cfRule type="expression" dxfId="1238" priority="40">
      <formula>kvartal &lt; 4</formula>
    </cfRule>
  </conditionalFormatting>
  <conditionalFormatting sqref="J69:K73">
    <cfRule type="expression" dxfId="1237" priority="39">
      <formula>kvartal &lt; 4</formula>
    </cfRule>
  </conditionalFormatting>
  <conditionalFormatting sqref="J74:K74">
    <cfRule type="expression" dxfId="1236" priority="38">
      <formula>kvartal &lt; 4</formula>
    </cfRule>
  </conditionalFormatting>
  <conditionalFormatting sqref="J80:K85">
    <cfRule type="expression" dxfId="1235" priority="37">
      <formula>kvartal &lt; 4</formula>
    </cfRule>
  </conditionalFormatting>
  <conditionalFormatting sqref="J90:K95">
    <cfRule type="expression" dxfId="1234" priority="34">
      <formula>kvartal &lt; 4</formula>
    </cfRule>
  </conditionalFormatting>
  <conditionalFormatting sqref="J101:K106">
    <cfRule type="expression" dxfId="1233" priority="33">
      <formula>kvartal &lt; 4</formula>
    </cfRule>
  </conditionalFormatting>
  <conditionalFormatting sqref="J115:K115">
    <cfRule type="expression" dxfId="1232" priority="32">
      <formula>kvartal &lt; 4</formula>
    </cfRule>
  </conditionalFormatting>
  <conditionalFormatting sqref="J123:K123">
    <cfRule type="expression" dxfId="1231" priority="31">
      <formula>kvartal &lt; 4</formula>
    </cfRule>
  </conditionalFormatting>
  <conditionalFormatting sqref="A50:A52">
    <cfRule type="expression" dxfId="1230" priority="12">
      <formula>kvartal &lt; 4</formula>
    </cfRule>
  </conditionalFormatting>
  <conditionalFormatting sqref="A69:A74">
    <cfRule type="expression" dxfId="1229" priority="10">
      <formula>kvartal &lt; 4</formula>
    </cfRule>
  </conditionalFormatting>
  <conditionalFormatting sqref="A80:A85">
    <cfRule type="expression" dxfId="1228" priority="9">
      <formula>kvartal &lt; 4</formula>
    </cfRule>
  </conditionalFormatting>
  <conditionalFormatting sqref="A90:A95">
    <cfRule type="expression" dxfId="1227" priority="6">
      <formula>kvartal &lt; 4</formula>
    </cfRule>
  </conditionalFormatting>
  <conditionalFormatting sqref="A101:A106">
    <cfRule type="expression" dxfId="1226" priority="5">
      <formula>kvartal &lt; 4</formula>
    </cfRule>
  </conditionalFormatting>
  <conditionalFormatting sqref="A115">
    <cfRule type="expression" dxfId="1225" priority="4">
      <formula>kvartal &lt; 4</formula>
    </cfRule>
  </conditionalFormatting>
  <conditionalFormatting sqref="A123">
    <cfRule type="expression" dxfId="1224" priority="3">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election activeCell="D1" sqref="D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129</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627679</v>
      </c>
      <c r="C7" s="306">
        <v>647211</v>
      </c>
      <c r="D7" s="350">
        <f>IF(B7=0, "    ---- ", IF(ABS(ROUND(100/B7*C7-100,1))&lt;999,ROUND(100/B7*C7-100,1),IF(ROUND(100/B7*C7-100,1)&gt;999,999,-999)))</f>
        <v>3.1</v>
      </c>
      <c r="E7" s="11">
        <f>IFERROR(100/'Skjema total MA'!C7*C7,0)</f>
        <v>17.740847186982496</v>
      </c>
      <c r="F7" s="305"/>
      <c r="G7" s="306"/>
      <c r="H7" s="350"/>
      <c r="I7" s="160"/>
      <c r="J7" s="307">
        <f t="shared" ref="J7:K9" si="0">SUM(B7,F7)</f>
        <v>627679</v>
      </c>
      <c r="K7" s="308">
        <f t="shared" si="0"/>
        <v>647211</v>
      </c>
      <c r="L7" s="374">
        <f>IF(J7=0, "    ---- ", IF(ABS(ROUND(100/J7*K7-100,1))&lt;999,ROUND(100/J7*K7-100,1),IF(ROUND(100/J7*K7-100,1)&gt;999,999,-999)))</f>
        <v>3.1</v>
      </c>
      <c r="M7" s="11">
        <f>IFERROR(100/'Skjema total MA'!I7*K7,0)</f>
        <v>5.9849641733077936</v>
      </c>
    </row>
    <row r="8" spans="1:14" ht="15.75" x14ac:dyDescent="0.2">
      <c r="A8" s="21" t="s">
        <v>25</v>
      </c>
      <c r="B8" s="280">
        <v>370772</v>
      </c>
      <c r="C8" s="281">
        <v>386854</v>
      </c>
      <c r="D8" s="166">
        <f t="shared" ref="D8:D9" si="1">IF(B8=0, "    ---- ", IF(ABS(ROUND(100/B8*C8-100,1))&lt;999,ROUND(100/B8*C8-100,1),IF(ROUND(100/B8*C8-100,1)&gt;999,999,-999)))</f>
        <v>4.3</v>
      </c>
      <c r="E8" s="27">
        <f>IFERROR(100/'Skjema total MA'!C8*C8,0)</f>
        <v>17.668934430484143</v>
      </c>
      <c r="F8" s="284"/>
      <c r="G8" s="285"/>
      <c r="H8" s="166"/>
      <c r="I8" s="175"/>
      <c r="J8" s="233">
        <f t="shared" si="0"/>
        <v>370772</v>
      </c>
      <c r="K8" s="286">
        <f t="shared" si="0"/>
        <v>386854</v>
      </c>
      <c r="L8" s="166">
        <f t="shared" ref="L8:L9" si="2">IF(J8=0, "    ---- ", IF(ABS(ROUND(100/J8*K8-100,1))&lt;999,ROUND(100/J8*K8-100,1),IF(ROUND(100/J8*K8-100,1)&gt;999,999,-999)))</f>
        <v>4.3</v>
      </c>
      <c r="M8" s="27">
        <f>IFERROR(100/'Skjema total MA'!I8*K8,0)</f>
        <v>17.668934430484143</v>
      </c>
    </row>
    <row r="9" spans="1:14" ht="15.75" x14ac:dyDescent="0.2">
      <c r="A9" s="21" t="s">
        <v>24</v>
      </c>
      <c r="B9" s="280">
        <v>256907</v>
      </c>
      <c r="C9" s="281">
        <v>260357</v>
      </c>
      <c r="D9" s="166">
        <f t="shared" si="1"/>
        <v>1.3</v>
      </c>
      <c r="E9" s="27">
        <f>IFERROR(100/'Skjema total MA'!C9*C9,0)</f>
        <v>33.191072188143529</v>
      </c>
      <c r="F9" s="284"/>
      <c r="G9" s="285"/>
      <c r="H9" s="166"/>
      <c r="I9" s="175"/>
      <c r="J9" s="233">
        <f t="shared" si="0"/>
        <v>256907</v>
      </c>
      <c r="K9" s="286">
        <f t="shared" si="0"/>
        <v>260357</v>
      </c>
      <c r="L9" s="166">
        <f t="shared" si="2"/>
        <v>1.3</v>
      </c>
      <c r="M9" s="27">
        <f>IFERROR(100/'Skjema total MA'!I9*K9,0)</f>
        <v>33.191072188143529</v>
      </c>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749136</v>
      </c>
      <c r="C47" s="310">
        <v>718448</v>
      </c>
      <c r="D47" s="374">
        <f t="shared" ref="D47:D58" si="3">IF(B47=0, "    ---- ", IF(ABS(ROUND(100/B47*C47-100,1))&lt;999,ROUND(100/B47*C47-100,1),IF(ROUND(100/B47*C47-100,1)&gt;999,999,-999)))</f>
        <v>-4.0999999999999996</v>
      </c>
      <c r="E47" s="11">
        <f>IFERROR(100/'Skjema total MA'!C47*C47,0)</f>
        <v>18.776635290211217</v>
      </c>
      <c r="F47" s="145"/>
      <c r="G47" s="33"/>
      <c r="H47" s="159"/>
      <c r="I47" s="159"/>
      <c r="J47" s="37"/>
      <c r="K47" s="37"/>
      <c r="L47" s="159"/>
      <c r="M47" s="159"/>
      <c r="N47" s="148"/>
    </row>
    <row r="48" spans="1:14" s="3" customFormat="1" ht="15.75" x14ac:dyDescent="0.2">
      <c r="A48" s="38" t="s">
        <v>379</v>
      </c>
      <c r="B48" s="280">
        <v>442283</v>
      </c>
      <c r="C48" s="281">
        <v>461468</v>
      </c>
      <c r="D48" s="253">
        <f t="shared" si="3"/>
        <v>4.3</v>
      </c>
      <c r="E48" s="27">
        <f>IFERROR(100/'Skjema total MA'!C48*C48,0)</f>
        <v>21.305790533588997</v>
      </c>
      <c r="F48" s="145"/>
      <c r="G48" s="33"/>
      <c r="H48" s="145"/>
      <c r="I48" s="145"/>
      <c r="J48" s="33"/>
      <c r="K48" s="33"/>
      <c r="L48" s="159"/>
      <c r="M48" s="159"/>
      <c r="N48" s="148"/>
    </row>
    <row r="49" spans="1:14" s="3" customFormat="1" ht="15.75" x14ac:dyDescent="0.2">
      <c r="A49" s="38" t="s">
        <v>380</v>
      </c>
      <c r="B49" s="44">
        <v>306853</v>
      </c>
      <c r="C49" s="286">
        <v>256980</v>
      </c>
      <c r="D49" s="253">
        <f>IF(B49=0, "    ---- ", IF(ABS(ROUND(100/B49*C49-100,1))&lt;999,ROUND(100/B49*C49-100,1),IF(ROUND(100/B49*C49-100,1)&gt;999,999,-999)))</f>
        <v>-16.3</v>
      </c>
      <c r="E49" s="27">
        <f>IFERROR(100/'Skjema total MA'!C49*C49,0)</f>
        <v>15.477369827082157</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51605</v>
      </c>
      <c r="C53" s="310">
        <v>28458</v>
      </c>
      <c r="D53" s="375">
        <f t="shared" si="3"/>
        <v>-44.9</v>
      </c>
      <c r="E53" s="11">
        <f>IFERROR(100/'Skjema total MA'!C53*C53,0)</f>
        <v>12.506244827545153</v>
      </c>
      <c r="F53" s="145"/>
      <c r="G53" s="33"/>
      <c r="H53" s="145"/>
      <c r="I53" s="145"/>
      <c r="J53" s="33"/>
      <c r="K53" s="33"/>
      <c r="L53" s="159"/>
      <c r="M53" s="159"/>
      <c r="N53" s="148"/>
    </row>
    <row r="54" spans="1:14" s="3" customFormat="1" ht="15.75" x14ac:dyDescent="0.2">
      <c r="A54" s="38" t="s">
        <v>379</v>
      </c>
      <c r="B54" s="280">
        <v>51605</v>
      </c>
      <c r="C54" s="281">
        <v>28458</v>
      </c>
      <c r="D54" s="253">
        <f t="shared" si="3"/>
        <v>-44.9</v>
      </c>
      <c r="E54" s="27">
        <f>IFERROR(100/'Skjema total MA'!C54*C54,0)</f>
        <v>20.63243256140645</v>
      </c>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v>40257</v>
      </c>
      <c r="C56" s="310">
        <v>105850</v>
      </c>
      <c r="D56" s="375">
        <f t="shared" si="3"/>
        <v>162.9</v>
      </c>
      <c r="E56" s="11">
        <f>IFERROR(100/'Skjema total MA'!C56*C56,0)</f>
        <v>63.091434138869779</v>
      </c>
      <c r="F56" s="145"/>
      <c r="G56" s="33"/>
      <c r="H56" s="145"/>
      <c r="I56" s="145"/>
      <c r="J56" s="33"/>
      <c r="K56" s="33"/>
      <c r="L56" s="159"/>
      <c r="M56" s="159"/>
      <c r="N56" s="148"/>
    </row>
    <row r="57" spans="1:14" s="3" customFormat="1" ht="15.75" x14ac:dyDescent="0.2">
      <c r="A57" s="38" t="s">
        <v>379</v>
      </c>
      <c r="B57" s="280">
        <v>40257</v>
      </c>
      <c r="C57" s="281">
        <v>39818</v>
      </c>
      <c r="D57" s="253">
        <f t="shared" si="3"/>
        <v>-1.1000000000000001</v>
      </c>
      <c r="E57" s="27">
        <f>IFERROR(100/'Skjema total MA'!C57*C57,0)</f>
        <v>39.353694875893538</v>
      </c>
      <c r="F57" s="145"/>
      <c r="G57" s="33"/>
      <c r="H57" s="145"/>
      <c r="I57" s="145"/>
      <c r="J57" s="33"/>
      <c r="K57" s="33"/>
      <c r="L57" s="159"/>
      <c r="M57" s="159"/>
      <c r="N57" s="148"/>
    </row>
    <row r="58" spans="1:14" s="3" customFormat="1" ht="15.75" x14ac:dyDescent="0.2">
      <c r="A58" s="46" t="s">
        <v>380</v>
      </c>
      <c r="B58" s="282">
        <v>0</v>
      </c>
      <c r="C58" s="283">
        <v>66032</v>
      </c>
      <c r="D58" s="254" t="str">
        <f t="shared" si="3"/>
        <v xml:space="preserve">    ---- </v>
      </c>
      <c r="E58" s="22">
        <f>IFERROR(100/'Skjema total MA'!C58*C58,0)</f>
        <v>99.158234705313077</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23" priority="132">
      <formula>kvartal &lt; 4</formula>
    </cfRule>
  </conditionalFormatting>
  <conditionalFormatting sqref="B69">
    <cfRule type="expression" dxfId="1222" priority="100">
      <formula>kvartal &lt; 4</formula>
    </cfRule>
  </conditionalFormatting>
  <conditionalFormatting sqref="C69">
    <cfRule type="expression" dxfId="1221" priority="99">
      <formula>kvartal &lt; 4</formula>
    </cfRule>
  </conditionalFormatting>
  <conditionalFormatting sqref="B72">
    <cfRule type="expression" dxfId="1220" priority="98">
      <formula>kvartal &lt; 4</formula>
    </cfRule>
  </conditionalFormatting>
  <conditionalFormatting sqref="C72">
    <cfRule type="expression" dxfId="1219" priority="97">
      <formula>kvartal &lt; 4</formula>
    </cfRule>
  </conditionalFormatting>
  <conditionalFormatting sqref="B80">
    <cfRule type="expression" dxfId="1218" priority="96">
      <formula>kvartal &lt; 4</formula>
    </cfRule>
  </conditionalFormatting>
  <conditionalFormatting sqref="C80">
    <cfRule type="expression" dxfId="1217" priority="95">
      <formula>kvartal &lt; 4</formula>
    </cfRule>
  </conditionalFormatting>
  <conditionalFormatting sqref="B83">
    <cfRule type="expression" dxfId="1216" priority="94">
      <formula>kvartal &lt; 4</formula>
    </cfRule>
  </conditionalFormatting>
  <conditionalFormatting sqref="C83">
    <cfRule type="expression" dxfId="1215" priority="93">
      <formula>kvartal &lt; 4</formula>
    </cfRule>
  </conditionalFormatting>
  <conditionalFormatting sqref="B90">
    <cfRule type="expression" dxfId="1214" priority="84">
      <formula>kvartal &lt; 4</formula>
    </cfRule>
  </conditionalFormatting>
  <conditionalFormatting sqref="C90">
    <cfRule type="expression" dxfId="1213" priority="83">
      <formula>kvartal &lt; 4</formula>
    </cfRule>
  </conditionalFormatting>
  <conditionalFormatting sqref="B93">
    <cfRule type="expression" dxfId="1212" priority="82">
      <formula>kvartal &lt; 4</formula>
    </cfRule>
  </conditionalFormatting>
  <conditionalFormatting sqref="C93">
    <cfRule type="expression" dxfId="1211" priority="81">
      <formula>kvartal &lt; 4</formula>
    </cfRule>
  </conditionalFormatting>
  <conditionalFormatting sqref="B101">
    <cfRule type="expression" dxfId="1210" priority="80">
      <formula>kvartal &lt; 4</formula>
    </cfRule>
  </conditionalFormatting>
  <conditionalFormatting sqref="C101">
    <cfRule type="expression" dxfId="1209" priority="79">
      <formula>kvartal &lt; 4</formula>
    </cfRule>
  </conditionalFormatting>
  <conditionalFormatting sqref="B104">
    <cfRule type="expression" dxfId="1208" priority="78">
      <formula>kvartal &lt; 4</formula>
    </cfRule>
  </conditionalFormatting>
  <conditionalFormatting sqref="C104">
    <cfRule type="expression" dxfId="1207" priority="77">
      <formula>kvartal &lt; 4</formula>
    </cfRule>
  </conditionalFormatting>
  <conditionalFormatting sqref="B115">
    <cfRule type="expression" dxfId="1206" priority="76">
      <formula>kvartal &lt; 4</formula>
    </cfRule>
  </conditionalFormatting>
  <conditionalFormatting sqref="C115">
    <cfRule type="expression" dxfId="1205" priority="75">
      <formula>kvartal &lt; 4</formula>
    </cfRule>
  </conditionalFormatting>
  <conditionalFormatting sqref="B123">
    <cfRule type="expression" dxfId="1204" priority="74">
      <formula>kvartal &lt; 4</formula>
    </cfRule>
  </conditionalFormatting>
  <conditionalFormatting sqref="C123">
    <cfRule type="expression" dxfId="1203" priority="73">
      <formula>kvartal &lt; 4</formula>
    </cfRule>
  </conditionalFormatting>
  <conditionalFormatting sqref="F70">
    <cfRule type="expression" dxfId="1202" priority="72">
      <formula>kvartal &lt; 4</formula>
    </cfRule>
  </conditionalFormatting>
  <conditionalFormatting sqref="G70">
    <cfRule type="expression" dxfId="1201" priority="71">
      <formula>kvartal &lt; 4</formula>
    </cfRule>
  </conditionalFormatting>
  <conditionalFormatting sqref="F71:G71">
    <cfRule type="expression" dxfId="1200" priority="70">
      <formula>kvartal &lt; 4</formula>
    </cfRule>
  </conditionalFormatting>
  <conditionalFormatting sqref="F73:G74">
    <cfRule type="expression" dxfId="1199" priority="69">
      <formula>kvartal &lt; 4</formula>
    </cfRule>
  </conditionalFormatting>
  <conditionalFormatting sqref="F81:G82">
    <cfRule type="expression" dxfId="1198" priority="68">
      <formula>kvartal &lt; 4</formula>
    </cfRule>
  </conditionalFormatting>
  <conditionalFormatting sqref="F84:G85">
    <cfRule type="expression" dxfId="1197" priority="67">
      <formula>kvartal &lt; 4</formula>
    </cfRule>
  </conditionalFormatting>
  <conditionalFormatting sqref="F91:G92">
    <cfRule type="expression" dxfId="1196" priority="62">
      <formula>kvartal &lt; 4</formula>
    </cfRule>
  </conditionalFormatting>
  <conditionalFormatting sqref="F94:G95">
    <cfRule type="expression" dxfId="1195" priority="61">
      <formula>kvartal &lt; 4</formula>
    </cfRule>
  </conditionalFormatting>
  <conditionalFormatting sqref="F102:G103">
    <cfRule type="expression" dxfId="1194" priority="60">
      <formula>kvartal &lt; 4</formula>
    </cfRule>
  </conditionalFormatting>
  <conditionalFormatting sqref="F105:G106">
    <cfRule type="expression" dxfId="1193" priority="59">
      <formula>kvartal &lt; 4</formula>
    </cfRule>
  </conditionalFormatting>
  <conditionalFormatting sqref="F115">
    <cfRule type="expression" dxfId="1192" priority="58">
      <formula>kvartal &lt; 4</formula>
    </cfRule>
  </conditionalFormatting>
  <conditionalFormatting sqref="G115">
    <cfRule type="expression" dxfId="1191" priority="57">
      <formula>kvartal &lt; 4</formula>
    </cfRule>
  </conditionalFormatting>
  <conditionalFormatting sqref="F123:G123">
    <cfRule type="expression" dxfId="1190" priority="56">
      <formula>kvartal &lt; 4</formula>
    </cfRule>
  </conditionalFormatting>
  <conditionalFormatting sqref="F69:G69">
    <cfRule type="expression" dxfId="1189" priority="55">
      <formula>kvartal &lt; 4</formula>
    </cfRule>
  </conditionalFormatting>
  <conditionalFormatting sqref="F72:G72">
    <cfRule type="expression" dxfId="1188" priority="54">
      <formula>kvartal &lt; 4</formula>
    </cfRule>
  </conditionalFormatting>
  <conditionalFormatting sqref="F80:G80">
    <cfRule type="expression" dxfId="1187" priority="53">
      <formula>kvartal &lt; 4</formula>
    </cfRule>
  </conditionalFormatting>
  <conditionalFormatting sqref="F83:G83">
    <cfRule type="expression" dxfId="1186" priority="52">
      <formula>kvartal &lt; 4</formula>
    </cfRule>
  </conditionalFormatting>
  <conditionalFormatting sqref="F90:G90">
    <cfRule type="expression" dxfId="1185" priority="46">
      <formula>kvartal &lt; 4</formula>
    </cfRule>
  </conditionalFormatting>
  <conditionalFormatting sqref="F93">
    <cfRule type="expression" dxfId="1184" priority="45">
      <formula>kvartal &lt; 4</formula>
    </cfRule>
  </conditionalFormatting>
  <conditionalFormatting sqref="G93">
    <cfRule type="expression" dxfId="1183" priority="44">
      <formula>kvartal &lt; 4</formula>
    </cfRule>
  </conditionalFormatting>
  <conditionalFormatting sqref="F101">
    <cfRule type="expression" dxfId="1182" priority="43">
      <formula>kvartal &lt; 4</formula>
    </cfRule>
  </conditionalFormatting>
  <conditionalFormatting sqref="G101">
    <cfRule type="expression" dxfId="1181" priority="42">
      <formula>kvartal &lt; 4</formula>
    </cfRule>
  </conditionalFormatting>
  <conditionalFormatting sqref="G104">
    <cfRule type="expression" dxfId="1180" priority="41">
      <formula>kvartal &lt; 4</formula>
    </cfRule>
  </conditionalFormatting>
  <conditionalFormatting sqref="F104">
    <cfRule type="expression" dxfId="1179" priority="40">
      <formula>kvartal &lt; 4</formula>
    </cfRule>
  </conditionalFormatting>
  <conditionalFormatting sqref="J69:K73">
    <cfRule type="expression" dxfId="1178" priority="39">
      <formula>kvartal &lt; 4</formula>
    </cfRule>
  </conditionalFormatting>
  <conditionalFormatting sqref="J74:K74">
    <cfRule type="expression" dxfId="1177" priority="38">
      <formula>kvartal &lt; 4</formula>
    </cfRule>
  </conditionalFormatting>
  <conditionalFormatting sqref="J80:K85">
    <cfRule type="expression" dxfId="1176" priority="37">
      <formula>kvartal &lt; 4</formula>
    </cfRule>
  </conditionalFormatting>
  <conditionalFormatting sqref="J90:K95">
    <cfRule type="expression" dxfId="1175" priority="34">
      <formula>kvartal &lt; 4</formula>
    </cfRule>
  </conditionalFormatting>
  <conditionalFormatting sqref="J101:K106">
    <cfRule type="expression" dxfId="1174" priority="33">
      <formula>kvartal &lt; 4</formula>
    </cfRule>
  </conditionalFormatting>
  <conditionalFormatting sqref="J115:K115">
    <cfRule type="expression" dxfId="1173" priority="32">
      <formula>kvartal &lt; 4</formula>
    </cfRule>
  </conditionalFormatting>
  <conditionalFormatting sqref="J123:K123">
    <cfRule type="expression" dxfId="1172" priority="31">
      <formula>kvartal &lt; 4</formula>
    </cfRule>
  </conditionalFormatting>
  <conditionalFormatting sqref="A50:A52">
    <cfRule type="expression" dxfId="1171" priority="12">
      <formula>kvartal &lt; 4</formula>
    </cfRule>
  </conditionalFormatting>
  <conditionalFormatting sqref="A69:A74">
    <cfRule type="expression" dxfId="1170" priority="10">
      <formula>kvartal &lt; 4</formula>
    </cfRule>
  </conditionalFormatting>
  <conditionalFormatting sqref="A80:A85">
    <cfRule type="expression" dxfId="1169" priority="9">
      <formula>kvartal &lt; 4</formula>
    </cfRule>
  </conditionalFormatting>
  <conditionalFormatting sqref="A90:A95">
    <cfRule type="expression" dxfId="1168" priority="6">
      <formula>kvartal &lt; 4</formula>
    </cfRule>
  </conditionalFormatting>
  <conditionalFormatting sqref="A101:A106">
    <cfRule type="expression" dxfId="1167" priority="5">
      <formula>kvartal &lt; 4</formula>
    </cfRule>
  </conditionalFormatting>
  <conditionalFormatting sqref="A115">
    <cfRule type="expression" dxfId="1166" priority="4">
      <formula>kvartal &lt; 4</formula>
    </cfRule>
  </conditionalFormatting>
  <conditionalFormatting sqref="A123">
    <cfRule type="expression" dxfId="1165"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election activeCell="D1" sqref="D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130</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v>71622</v>
      </c>
      <c r="G7" s="306">
        <v>102692</v>
      </c>
      <c r="H7" s="350">
        <f>IF(F7=0, "    ---- ", IF(ABS(ROUND(100/F7*G7-100,1))&lt;999,ROUND(100/F7*G7-100,1),IF(ROUND(100/F7*G7-100,1)&gt;999,999,-999)))</f>
        <v>43.4</v>
      </c>
      <c r="I7" s="160">
        <f>IFERROR(100/'Skjema total MA'!F7*G7,0)</f>
        <v>1.433083107054858</v>
      </c>
      <c r="J7" s="307">
        <f t="shared" ref="J7:K12" si="0">SUM(B7,F7)</f>
        <v>71622</v>
      </c>
      <c r="K7" s="308">
        <f t="shared" si="0"/>
        <v>102692</v>
      </c>
      <c r="L7" s="374">
        <f>IF(J7=0, "    ---- ", IF(ABS(ROUND(100/J7*K7-100,1))&lt;999,ROUND(100/J7*K7-100,1),IF(ROUND(100/J7*K7-100,1)&gt;999,999,-999)))</f>
        <v>43.4</v>
      </c>
      <c r="M7" s="11">
        <f>IFERROR(100/'Skjema total MA'!I7*K7,0)</f>
        <v>0.94962530130872913</v>
      </c>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v>572648</v>
      </c>
      <c r="G10" s="310">
        <v>609724</v>
      </c>
      <c r="H10" s="171">
        <f t="shared" ref="H10:H12" si="1">IF(F10=0, "    ---- ", IF(ABS(ROUND(100/F10*G10-100,1))&lt;999,ROUND(100/F10*G10-100,1),IF(ROUND(100/F10*G10-100,1)&gt;999,999,-999)))</f>
        <v>6.5</v>
      </c>
      <c r="I10" s="160">
        <f>IFERROR(100/'Skjema total MA'!F10*G10,0)</f>
        <v>1.2381914035413444</v>
      </c>
      <c r="J10" s="307">
        <f t="shared" si="0"/>
        <v>572648</v>
      </c>
      <c r="K10" s="308">
        <f t="shared" si="0"/>
        <v>609724</v>
      </c>
      <c r="L10" s="375">
        <f t="shared" ref="L10:L12" si="2">IF(J10=0, "    ---- ", IF(ABS(ROUND(100/J10*K10-100,1))&lt;999,ROUND(100/J10*K10-100,1),IF(ROUND(100/J10*K10-100,1)&gt;999,999,-999)))</f>
        <v>6.5</v>
      </c>
      <c r="M10" s="11">
        <f>IFERROR(100/'Skjema total MA'!I10*K10,0)</f>
        <v>0.88943471539971541</v>
      </c>
    </row>
    <row r="11" spans="1:14" s="43" customFormat="1" ht="15.75" x14ac:dyDescent="0.2">
      <c r="A11" s="13" t="s">
        <v>369</v>
      </c>
      <c r="B11" s="309"/>
      <c r="C11" s="310"/>
      <c r="D11" s="171"/>
      <c r="E11" s="11"/>
      <c r="F11" s="309">
        <v>3991</v>
      </c>
      <c r="G11" s="310">
        <v>4596</v>
      </c>
      <c r="H11" s="171">
        <f t="shared" si="1"/>
        <v>15.2</v>
      </c>
      <c r="I11" s="160">
        <f>IFERROR(100/'Skjema total MA'!F11*G11,0)</f>
        <v>1.9926789238213924</v>
      </c>
      <c r="J11" s="307">
        <f t="shared" si="0"/>
        <v>3991</v>
      </c>
      <c r="K11" s="308">
        <f t="shared" si="0"/>
        <v>4596</v>
      </c>
      <c r="L11" s="375">
        <f t="shared" si="2"/>
        <v>15.2</v>
      </c>
      <c r="M11" s="11">
        <f>IFERROR(100/'Skjema total MA'!I11*K11,0)</f>
        <v>1.6642158578799962</v>
      </c>
      <c r="N11" s="143"/>
    </row>
    <row r="12" spans="1:14" s="43" customFormat="1" ht="15.75" x14ac:dyDescent="0.2">
      <c r="A12" s="41" t="s">
        <v>370</v>
      </c>
      <c r="B12" s="311"/>
      <c r="C12" s="312"/>
      <c r="D12" s="169"/>
      <c r="E12" s="36"/>
      <c r="F12" s="311">
        <v>2092</v>
      </c>
      <c r="G12" s="312">
        <v>12919</v>
      </c>
      <c r="H12" s="169">
        <f t="shared" si="1"/>
        <v>517.5</v>
      </c>
      <c r="I12" s="169">
        <f>IFERROR(100/'Skjema total MA'!F12*G12,0)</f>
        <v>7.6645066064183265</v>
      </c>
      <c r="J12" s="313">
        <f t="shared" si="0"/>
        <v>2092</v>
      </c>
      <c r="K12" s="314">
        <f t="shared" si="0"/>
        <v>12919</v>
      </c>
      <c r="L12" s="376">
        <f t="shared" si="2"/>
        <v>517.5</v>
      </c>
      <c r="M12" s="36">
        <f>IFERROR(100/'Skjema total MA'!I12*K12,0)</f>
        <v>7.4478615454656829</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273881</v>
      </c>
      <c r="C22" s="309">
        <v>303125</v>
      </c>
      <c r="D22" s="350">
        <f t="shared" ref="D22:D29" si="3">IF(B22=0, "    ---- ", IF(ABS(ROUND(100/B22*C22-100,1))&lt;999,ROUND(100/B22*C22-100,1),IF(ROUND(100/B22*C22-100,1)&gt;999,999,-999)))</f>
        <v>10.7</v>
      </c>
      <c r="E22" s="11">
        <f>IFERROR(100/'Skjema total MA'!C22*C22,0)</f>
        <v>22.243335355911597</v>
      </c>
      <c r="F22" s="317">
        <v>37167</v>
      </c>
      <c r="G22" s="317">
        <v>45722</v>
      </c>
      <c r="H22" s="350">
        <f t="shared" ref="H22:H35" si="4">IF(F22=0, "    ---- ", IF(ABS(ROUND(100/F22*G22-100,1))&lt;999,ROUND(100/F22*G22-100,1),IF(ROUND(100/F22*G22-100,1)&gt;999,999,-999)))</f>
        <v>23</v>
      </c>
      <c r="I22" s="11">
        <f>IFERROR(100/'Skjema total MA'!F22*G22,0)</f>
        <v>5.7240354525295984</v>
      </c>
      <c r="J22" s="315">
        <f t="shared" ref="J22:K35" si="5">SUM(B22,F22)</f>
        <v>311048</v>
      </c>
      <c r="K22" s="315">
        <f t="shared" si="5"/>
        <v>348847</v>
      </c>
      <c r="L22" s="374">
        <f t="shared" ref="L22:L35" si="6">IF(J22=0, "    ---- ", IF(ABS(ROUND(100/J22*K22-100,1))&lt;999,ROUND(100/J22*K22-100,1),IF(ROUND(100/J22*K22-100,1)&gt;999,999,-999)))</f>
        <v>12.2</v>
      </c>
      <c r="M22" s="24">
        <f>IFERROR(100/'Skjema total MA'!I22*K22,0)</f>
        <v>16.138818603842253</v>
      </c>
    </row>
    <row r="23" spans="1:14" ht="15.75" x14ac:dyDescent="0.2">
      <c r="A23" s="562" t="s">
        <v>371</v>
      </c>
      <c r="B23" s="280"/>
      <c r="C23" s="280"/>
      <c r="D23" s="166"/>
      <c r="E23" s="11"/>
      <c r="F23" s="289">
        <v>11</v>
      </c>
      <c r="G23" s="289">
        <v>10</v>
      </c>
      <c r="H23" s="166">
        <f t="shared" si="4"/>
        <v>-9.1</v>
      </c>
      <c r="I23" s="366">
        <f>IFERROR(100/'Skjema total MA'!F23*G23,0)</f>
        <v>1.7645484523501346E-2</v>
      </c>
      <c r="J23" s="289">
        <f t="shared" ref="J23:J26" si="7">SUM(B23,F23)</f>
        <v>11</v>
      </c>
      <c r="K23" s="289">
        <f t="shared" ref="K23:K26" si="8">SUM(C23,G23)</f>
        <v>10</v>
      </c>
      <c r="L23" s="166">
        <f t="shared" si="6"/>
        <v>-9.1</v>
      </c>
      <c r="M23" s="23">
        <f>IFERROR(100/'Skjema total MA'!I23*K23,0)</f>
        <v>9.5576822042810607E-4</v>
      </c>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v>333</v>
      </c>
      <c r="G25" s="289">
        <v>0</v>
      </c>
      <c r="H25" s="166">
        <f t="shared" ref="H25" si="9">IF(F25=0, "    ---- ", IF(ABS(ROUND(100/F25*G25-100,1))&lt;999,ROUND(100/F25*G25-100,1),IF(ROUND(100/F25*G25-100,1)&gt;999,999,-999)))</f>
        <v>-100</v>
      </c>
      <c r="I25" s="366">
        <f>IFERROR(100/'Skjema total MA'!F25*G25,0)</f>
        <v>0</v>
      </c>
      <c r="J25" s="289">
        <f t="shared" si="7"/>
        <v>333</v>
      </c>
      <c r="K25" s="289">
        <f t="shared" si="8"/>
        <v>0</v>
      </c>
      <c r="L25" s="166">
        <f t="shared" ref="L25:L26" si="10">IF(J25=0, "    ---- ", IF(ABS(ROUND(100/J25*K25-100,1))&lt;999,ROUND(100/J25*K25-100,1),IF(ROUND(100/J25*K25-100,1)&gt;999,999,-999)))</f>
        <v>-100</v>
      </c>
      <c r="M25" s="23">
        <f>IFERROR(100/'Skjema total MA'!I25*K25,0)</f>
        <v>0</v>
      </c>
    </row>
    <row r="26" spans="1:14" ht="15.75" x14ac:dyDescent="0.2">
      <c r="A26" s="562" t="s">
        <v>374</v>
      </c>
      <c r="B26" s="280"/>
      <c r="C26" s="280"/>
      <c r="D26" s="166"/>
      <c r="E26" s="11"/>
      <c r="F26" s="289">
        <v>36823</v>
      </c>
      <c r="G26" s="289">
        <v>45712</v>
      </c>
      <c r="H26" s="166">
        <f t="shared" ref="H26" si="11">IF(F26=0, "    ---- ", IF(ABS(ROUND(100/F26*G26-100,1))&lt;999,ROUND(100/F26*G26-100,1),IF(ROUND(100/F26*G26-100,1)&gt;999,999,-999)))</f>
        <v>24.1</v>
      </c>
      <c r="I26" s="366">
        <f>IFERROR(100/'Skjema total MA'!F26*G26,0)</f>
        <v>6.4107947114588715</v>
      </c>
      <c r="J26" s="289">
        <f t="shared" si="7"/>
        <v>36823</v>
      </c>
      <c r="K26" s="289">
        <f t="shared" si="8"/>
        <v>45712</v>
      </c>
      <c r="L26" s="166">
        <f t="shared" si="10"/>
        <v>24.1</v>
      </c>
      <c r="M26" s="23">
        <f>IFERROR(100/'Skjema total MA'!I26*K26,0)</f>
        <v>6.4107947114588715</v>
      </c>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273881</v>
      </c>
      <c r="C28" s="286">
        <v>303125</v>
      </c>
      <c r="D28" s="166">
        <f t="shared" si="3"/>
        <v>10.7</v>
      </c>
      <c r="E28" s="11">
        <f>IFERROR(100/'Skjema total MA'!C28*C28,0)</f>
        <v>20.845380025423349</v>
      </c>
      <c r="F28" s="233"/>
      <c r="G28" s="286"/>
      <c r="H28" s="166"/>
      <c r="I28" s="27"/>
      <c r="J28" s="44">
        <f t="shared" si="5"/>
        <v>273881</v>
      </c>
      <c r="K28" s="44">
        <f t="shared" si="5"/>
        <v>303125</v>
      </c>
      <c r="L28" s="253">
        <f t="shared" si="6"/>
        <v>10.7</v>
      </c>
      <c r="M28" s="23">
        <f>IFERROR(100/'Skjema total MA'!I28*K28,0)</f>
        <v>20.845380025423349</v>
      </c>
    </row>
    <row r="29" spans="1:14" s="3" customFormat="1" ht="15.75" x14ac:dyDescent="0.2">
      <c r="A29" s="13" t="s">
        <v>368</v>
      </c>
      <c r="B29" s="235">
        <v>1522695</v>
      </c>
      <c r="C29" s="235">
        <v>1845676</v>
      </c>
      <c r="D29" s="171">
        <f t="shared" si="3"/>
        <v>21.2</v>
      </c>
      <c r="E29" s="11">
        <f>IFERROR(100/'Skjema total MA'!C29*C29,0)</f>
        <v>3.930126962740272</v>
      </c>
      <c r="F29" s="307">
        <v>1569348</v>
      </c>
      <c r="G29" s="307">
        <v>1548474</v>
      </c>
      <c r="H29" s="171">
        <f t="shared" si="4"/>
        <v>-1.3</v>
      </c>
      <c r="I29" s="11">
        <f>IFERROR(100/'Skjema total MA'!F29*G29,0)</f>
        <v>7.2709417304892083</v>
      </c>
      <c r="J29" s="235">
        <f t="shared" si="5"/>
        <v>3092043</v>
      </c>
      <c r="K29" s="235">
        <f t="shared" si="5"/>
        <v>3394150</v>
      </c>
      <c r="L29" s="375">
        <f t="shared" si="6"/>
        <v>9.8000000000000007</v>
      </c>
      <c r="M29" s="24">
        <f>IFERROR(100/'Skjema total MA'!I29*K29,0)</f>
        <v>4.9724582197710347</v>
      </c>
      <c r="N29" s="148"/>
    </row>
    <row r="30" spans="1:14" s="3" customFormat="1" ht="15.75" x14ac:dyDescent="0.2">
      <c r="A30" s="562" t="s">
        <v>371</v>
      </c>
      <c r="B30" s="280"/>
      <c r="C30" s="280"/>
      <c r="D30" s="166"/>
      <c r="E30" s="11"/>
      <c r="F30" s="289">
        <v>31061</v>
      </c>
      <c r="G30" s="289">
        <v>28160</v>
      </c>
      <c r="H30" s="166">
        <f t="shared" si="4"/>
        <v>-9.3000000000000007</v>
      </c>
      <c r="I30" s="366">
        <f>IFERROR(100/'Skjema total MA'!F30*G30,0)</f>
        <v>0.65617898417977893</v>
      </c>
      <c r="J30" s="289">
        <f t="shared" ref="J30:J33" si="12">SUM(B30,F30)</f>
        <v>31061</v>
      </c>
      <c r="K30" s="289">
        <f t="shared" ref="K30:K33" si="13">SUM(C30,G30)</f>
        <v>28160</v>
      </c>
      <c r="L30" s="166">
        <f t="shared" si="6"/>
        <v>-9.3000000000000007</v>
      </c>
      <c r="M30" s="23">
        <f>IFERROR(100/'Skjema total MA'!I30*K30,0)</f>
        <v>0.19246732121619567</v>
      </c>
      <c r="N30" s="148"/>
    </row>
    <row r="31" spans="1:14" s="3" customFormat="1" ht="15.75" x14ac:dyDescent="0.2">
      <c r="A31" s="562" t="s">
        <v>372</v>
      </c>
      <c r="B31" s="280"/>
      <c r="C31" s="280"/>
      <c r="D31" s="166"/>
      <c r="E31" s="11"/>
      <c r="F31" s="289">
        <v>1293555</v>
      </c>
      <c r="G31" s="289">
        <v>1173731</v>
      </c>
      <c r="H31" s="166">
        <f t="shared" si="4"/>
        <v>-9.3000000000000007</v>
      </c>
      <c r="I31" s="366">
        <f>IFERROR(100/'Skjema total MA'!F31*G31,0)</f>
        <v>12.044181899170702</v>
      </c>
      <c r="J31" s="289">
        <f t="shared" si="12"/>
        <v>1293555</v>
      </c>
      <c r="K31" s="289">
        <f t="shared" si="13"/>
        <v>1173731</v>
      </c>
      <c r="L31" s="166">
        <f t="shared" si="6"/>
        <v>-9.3000000000000007</v>
      </c>
      <c r="M31" s="23">
        <f>IFERROR(100/'Skjema total MA'!I31*K31,0)</f>
        <v>2.7382550703779063</v>
      </c>
      <c r="N31" s="148"/>
    </row>
    <row r="32" spans="1:14" ht="15.75" x14ac:dyDescent="0.2">
      <c r="A32" s="562" t="s">
        <v>373</v>
      </c>
      <c r="B32" s="280"/>
      <c r="C32" s="280"/>
      <c r="D32" s="166"/>
      <c r="E32" s="11"/>
      <c r="F32" s="289">
        <v>124813</v>
      </c>
      <c r="G32" s="289">
        <v>123934</v>
      </c>
      <c r="H32" s="166">
        <f t="shared" si="4"/>
        <v>-0.7</v>
      </c>
      <c r="I32" s="366">
        <f>IFERROR(100/'Skjema total MA'!F32*G32,0)</f>
        <v>2.7893092902897116</v>
      </c>
      <c r="J32" s="289">
        <f t="shared" si="12"/>
        <v>124813</v>
      </c>
      <c r="K32" s="289">
        <f t="shared" si="13"/>
        <v>123934</v>
      </c>
      <c r="L32" s="166">
        <f t="shared" si="6"/>
        <v>-0.7</v>
      </c>
      <c r="M32" s="23">
        <f>IFERROR(100/'Skjema total MA'!I32*K32,0)</f>
        <v>2.0727512897099505</v>
      </c>
    </row>
    <row r="33" spans="1:14" ht="15.75" x14ac:dyDescent="0.2">
      <c r="A33" s="562" t="s">
        <v>374</v>
      </c>
      <c r="B33" s="280"/>
      <c r="C33" s="280"/>
      <c r="D33" s="166"/>
      <c r="E33" s="11"/>
      <c r="F33" s="289">
        <v>119919</v>
      </c>
      <c r="G33" s="289">
        <v>222649</v>
      </c>
      <c r="H33" s="166">
        <f t="shared" si="4"/>
        <v>85.7</v>
      </c>
      <c r="I33" s="366">
        <f>IFERROR(100/'Skjema total MA'!F33*G33,0)</f>
        <v>7.9042012981919276</v>
      </c>
      <c r="J33" s="289">
        <f t="shared" si="12"/>
        <v>119919</v>
      </c>
      <c r="K33" s="289">
        <f t="shared" si="13"/>
        <v>222649</v>
      </c>
      <c r="L33" s="166">
        <f t="shared" si="6"/>
        <v>85.7</v>
      </c>
      <c r="M33" s="23">
        <f>IFERROR(100/'Skjema total MA'!I33*K33,0)</f>
        <v>7.9042012981919276</v>
      </c>
    </row>
    <row r="34" spans="1:14" ht="15.75" x14ac:dyDescent="0.2">
      <c r="A34" s="13" t="s">
        <v>369</v>
      </c>
      <c r="B34" s="235"/>
      <c r="C34" s="308"/>
      <c r="D34" s="171"/>
      <c r="E34" s="11"/>
      <c r="F34" s="307">
        <v>7439</v>
      </c>
      <c r="G34" s="308">
        <v>7733</v>
      </c>
      <c r="H34" s="171">
        <f t="shared" si="4"/>
        <v>4</v>
      </c>
      <c r="I34" s="11">
        <f>IFERROR(100/'Skjema total MA'!F34*G34,0)</f>
        <v>13.636255846252192</v>
      </c>
      <c r="J34" s="235">
        <f t="shared" si="5"/>
        <v>7439</v>
      </c>
      <c r="K34" s="235">
        <f t="shared" si="5"/>
        <v>7733</v>
      </c>
      <c r="L34" s="375">
        <f t="shared" si="6"/>
        <v>4</v>
      </c>
      <c r="M34" s="24">
        <f>IFERROR(100/'Skjema total MA'!I34*K34,0)</f>
        <v>9.84821084561408</v>
      </c>
    </row>
    <row r="35" spans="1:14" ht="15.75" x14ac:dyDescent="0.2">
      <c r="A35" s="13" t="s">
        <v>370</v>
      </c>
      <c r="B35" s="235"/>
      <c r="C35" s="308"/>
      <c r="D35" s="171"/>
      <c r="E35" s="11"/>
      <c r="F35" s="307">
        <v>5390</v>
      </c>
      <c r="G35" s="308">
        <v>7975</v>
      </c>
      <c r="H35" s="171">
        <f t="shared" si="4"/>
        <v>48</v>
      </c>
      <c r="I35" s="11">
        <f>IFERROR(100/'Skjema total MA'!F35*G35,0)</f>
        <v>9.0612934671513088</v>
      </c>
      <c r="J35" s="235">
        <f t="shared" si="5"/>
        <v>5390</v>
      </c>
      <c r="K35" s="235">
        <f t="shared" si="5"/>
        <v>7975</v>
      </c>
      <c r="L35" s="375">
        <f t="shared" si="6"/>
        <v>48</v>
      </c>
      <c r="M35" s="24">
        <f>IFERROR(100/'Skjema total MA'!I35*K35,0)</f>
        <v>10.922298510778729</v>
      </c>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374"/>
      <c r="E47" s="11"/>
      <c r="F47" s="145"/>
      <c r="G47" s="33"/>
      <c r="H47" s="159"/>
      <c r="I47" s="159"/>
      <c r="J47" s="37"/>
      <c r="K47" s="37"/>
      <c r="L47" s="159"/>
      <c r="M47" s="159"/>
      <c r="N47" s="148"/>
    </row>
    <row r="48" spans="1:14" s="3" customFormat="1" ht="15.75" x14ac:dyDescent="0.2">
      <c r="A48" s="38" t="s">
        <v>379</v>
      </c>
      <c r="B48" s="280"/>
      <c r="C48" s="281"/>
      <c r="D48" s="253"/>
      <c r="E48" s="27"/>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v>174469</v>
      </c>
      <c r="C66" s="353">
        <v>192609</v>
      </c>
      <c r="D66" s="350">
        <f t="shared" ref="D66:D111" si="14">IF(B66=0, "    ---- ", IF(ABS(ROUND(100/B66*C66-100,1))&lt;999,ROUND(100/B66*C66-100,1),IF(ROUND(100/B66*C66-100,1)&gt;999,999,-999)))</f>
        <v>10.4</v>
      </c>
      <c r="E66" s="11">
        <f>IFERROR(100/'Skjema total MA'!C66*C66,0)</f>
        <v>2.7086138467992273</v>
      </c>
      <c r="F66" s="352">
        <v>1966285</v>
      </c>
      <c r="G66" s="352">
        <v>2235279</v>
      </c>
      <c r="H66" s="350">
        <f t="shared" ref="H66:H111" si="15">IF(F66=0, "    ---- ", IF(ABS(ROUND(100/F66*G66-100,1))&lt;999,ROUND(100/F66*G66-100,1),IF(ROUND(100/F66*G66-100,1)&gt;999,999,-999)))</f>
        <v>13.7</v>
      </c>
      <c r="I66" s="11">
        <f>IFERROR(100/'Skjema total MA'!F66*G66,0)</f>
        <v>9.397186296573194</v>
      </c>
      <c r="J66" s="308">
        <f t="shared" ref="J66:K79" si="16">SUM(B66,F66)</f>
        <v>2140754</v>
      </c>
      <c r="K66" s="315">
        <f t="shared" si="16"/>
        <v>2427888</v>
      </c>
      <c r="L66" s="375">
        <f t="shared" ref="L66:L111" si="17">IF(J66=0, "    ---- ", IF(ABS(ROUND(100/J66*K66-100,1))&lt;999,ROUND(100/J66*K66-100,1),IF(ROUND(100/J66*K66-100,1)&gt;999,999,-999)))</f>
        <v>13.4</v>
      </c>
      <c r="M66" s="11">
        <f>IFERROR(100/'Skjema total MA'!I66*K66,0)</f>
        <v>7.8578366817832315</v>
      </c>
    </row>
    <row r="67" spans="1:14" x14ac:dyDescent="0.2">
      <c r="A67" s="368" t="s">
        <v>9</v>
      </c>
      <c r="B67" s="44">
        <v>174469</v>
      </c>
      <c r="C67" s="145">
        <v>192609</v>
      </c>
      <c r="D67" s="166">
        <f t="shared" si="14"/>
        <v>10.4</v>
      </c>
      <c r="E67" s="27">
        <f>IFERROR(100/'Skjema total MA'!C67*C67,0)</f>
        <v>3.5434315623804542</v>
      </c>
      <c r="F67" s="233"/>
      <c r="G67" s="145"/>
      <c r="H67" s="166"/>
      <c r="I67" s="27"/>
      <c r="J67" s="286">
        <f t="shared" si="16"/>
        <v>174469</v>
      </c>
      <c r="K67" s="44">
        <f t="shared" si="16"/>
        <v>192609</v>
      </c>
      <c r="L67" s="253">
        <f t="shared" si="17"/>
        <v>10.4</v>
      </c>
      <c r="M67" s="27">
        <f>IFERROR(100/'Skjema total MA'!I67*K67,0)</f>
        <v>3.5434315623804542</v>
      </c>
    </row>
    <row r="68" spans="1:14" x14ac:dyDescent="0.2">
      <c r="A68" s="21" t="s">
        <v>10</v>
      </c>
      <c r="B68" s="291"/>
      <c r="C68" s="292"/>
      <c r="D68" s="166"/>
      <c r="E68" s="27"/>
      <c r="F68" s="291">
        <v>1966285</v>
      </c>
      <c r="G68" s="292">
        <v>2235279</v>
      </c>
      <c r="H68" s="166">
        <f t="shared" si="15"/>
        <v>13.7</v>
      </c>
      <c r="I68" s="27">
        <f>IFERROR(100/'Skjema total MA'!F68*G68,0)</f>
        <v>9.5237693331671522</v>
      </c>
      <c r="J68" s="286">
        <f t="shared" si="16"/>
        <v>1966285</v>
      </c>
      <c r="K68" s="44">
        <f t="shared" si="16"/>
        <v>2235279</v>
      </c>
      <c r="L68" s="253">
        <f t="shared" si="17"/>
        <v>13.7</v>
      </c>
      <c r="M68" s="27">
        <f>IFERROR(100/'Skjema total MA'!I68*K68,0)</f>
        <v>9.4710316615011951</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v>174469</v>
      </c>
      <c r="C77" s="233">
        <v>192609</v>
      </c>
      <c r="D77" s="166">
        <f t="shared" si="14"/>
        <v>10.4</v>
      </c>
      <c r="E77" s="27">
        <f>IFERROR(100/'Skjema total MA'!C77*C77,0)</f>
        <v>3.5138976664769688</v>
      </c>
      <c r="F77" s="233">
        <v>1966285</v>
      </c>
      <c r="G77" s="145">
        <v>2235279</v>
      </c>
      <c r="H77" s="166">
        <f t="shared" si="15"/>
        <v>13.7</v>
      </c>
      <c r="I77" s="27">
        <f>IFERROR(100/'Skjema total MA'!F77*G77,0)</f>
        <v>9.5278113688356996</v>
      </c>
      <c r="J77" s="286">
        <f t="shared" si="16"/>
        <v>2140754</v>
      </c>
      <c r="K77" s="44">
        <f t="shared" si="16"/>
        <v>2427888</v>
      </c>
      <c r="L77" s="253">
        <f t="shared" si="17"/>
        <v>13.4</v>
      </c>
      <c r="M77" s="27">
        <f>IFERROR(100/'Skjema total MA'!I77*K77,0)</f>
        <v>8.3888281907759765</v>
      </c>
    </row>
    <row r="78" spans="1:14" x14ac:dyDescent="0.2">
      <c r="A78" s="21" t="s">
        <v>9</v>
      </c>
      <c r="B78" s="233">
        <v>174469</v>
      </c>
      <c r="C78" s="145">
        <v>192609</v>
      </c>
      <c r="D78" s="166">
        <f t="shared" si="14"/>
        <v>10.4</v>
      </c>
      <c r="E78" s="27">
        <f>IFERROR(100/'Skjema total MA'!C78*C78,0)</f>
        <v>3.5976727862629474</v>
      </c>
      <c r="F78" s="233"/>
      <c r="G78" s="145"/>
      <c r="H78" s="166"/>
      <c r="I78" s="27"/>
      <c r="J78" s="286">
        <f t="shared" si="16"/>
        <v>174469</v>
      </c>
      <c r="K78" s="44">
        <f t="shared" si="16"/>
        <v>192609</v>
      </c>
      <c r="L78" s="253">
        <f t="shared" si="17"/>
        <v>10.4</v>
      </c>
      <c r="M78" s="27">
        <f>IFERROR(100/'Skjema total MA'!I78*K78,0)</f>
        <v>3.5976727862629474</v>
      </c>
    </row>
    <row r="79" spans="1:14" x14ac:dyDescent="0.2">
      <c r="A79" s="21" t="s">
        <v>10</v>
      </c>
      <c r="B79" s="291"/>
      <c r="C79" s="292"/>
      <c r="D79" s="166"/>
      <c r="E79" s="27"/>
      <c r="F79" s="291">
        <v>1966285</v>
      </c>
      <c r="G79" s="292">
        <v>2235279</v>
      </c>
      <c r="H79" s="166">
        <f t="shared" si="15"/>
        <v>13.7</v>
      </c>
      <c r="I79" s="27">
        <f>IFERROR(100/'Skjema total MA'!F79*G79,0)</f>
        <v>9.5278113688356996</v>
      </c>
      <c r="J79" s="286">
        <f t="shared" si="16"/>
        <v>1966285</v>
      </c>
      <c r="K79" s="44">
        <f t="shared" si="16"/>
        <v>2235279</v>
      </c>
      <c r="L79" s="253">
        <f t="shared" si="17"/>
        <v>13.7</v>
      </c>
      <c r="M79" s="27">
        <f>IFERROR(100/'Skjema total MA'!I79*K79,0)</f>
        <v>9.4762553905205014</v>
      </c>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v>4951558</v>
      </c>
      <c r="C87" s="353">
        <v>5236858</v>
      </c>
      <c r="D87" s="171">
        <f t="shared" si="14"/>
        <v>5.8</v>
      </c>
      <c r="E87" s="11">
        <f>IFERROR(100/'Skjema total MA'!C87*C87,0)</f>
        <v>1.3417825466538946</v>
      </c>
      <c r="F87" s="352">
        <v>23095230</v>
      </c>
      <c r="G87" s="352">
        <v>26131349</v>
      </c>
      <c r="H87" s="171">
        <f t="shared" si="15"/>
        <v>13.1</v>
      </c>
      <c r="I87" s="11">
        <f>IFERROR(100/'Skjema total MA'!F87*G87,0)</f>
        <v>8.8731038455003812</v>
      </c>
      <c r="J87" s="308">
        <f t="shared" ref="J87:K111" si="18">SUM(B87,F87)</f>
        <v>28046788</v>
      </c>
      <c r="K87" s="235">
        <f t="shared" si="18"/>
        <v>31368207</v>
      </c>
      <c r="L87" s="375">
        <f t="shared" si="17"/>
        <v>11.8</v>
      </c>
      <c r="M87" s="11">
        <f>IFERROR(100/'Skjema total MA'!I87*K87,0)</f>
        <v>4.5806927824764569</v>
      </c>
    </row>
    <row r="88" spans="1:13" x14ac:dyDescent="0.2">
      <c r="A88" s="21" t="s">
        <v>9</v>
      </c>
      <c r="B88" s="233">
        <v>4951558</v>
      </c>
      <c r="C88" s="145">
        <v>5236858</v>
      </c>
      <c r="D88" s="166">
        <f t="shared" si="14"/>
        <v>5.8</v>
      </c>
      <c r="E88" s="27">
        <f>IFERROR(100/'Skjema total MA'!C88*C88,0)</f>
        <v>1.3750902611936264</v>
      </c>
      <c r="F88" s="233"/>
      <c r="G88" s="145"/>
      <c r="H88" s="166"/>
      <c r="I88" s="27"/>
      <c r="J88" s="286">
        <f t="shared" si="18"/>
        <v>4951558</v>
      </c>
      <c r="K88" s="44">
        <f t="shared" si="18"/>
        <v>5236858</v>
      </c>
      <c r="L88" s="253">
        <f t="shared" si="17"/>
        <v>5.8</v>
      </c>
      <c r="M88" s="27">
        <f>IFERROR(100/'Skjema total MA'!I88*K88,0)</f>
        <v>1.3750902611936264</v>
      </c>
    </row>
    <row r="89" spans="1:13" x14ac:dyDescent="0.2">
      <c r="A89" s="21" t="s">
        <v>10</v>
      </c>
      <c r="B89" s="233"/>
      <c r="C89" s="145"/>
      <c r="D89" s="166"/>
      <c r="E89" s="27"/>
      <c r="F89" s="233">
        <v>23095230</v>
      </c>
      <c r="G89" s="145">
        <v>26131349</v>
      </c>
      <c r="H89" s="166">
        <f t="shared" si="15"/>
        <v>13.1</v>
      </c>
      <c r="I89" s="27">
        <f>IFERROR(100/'Skjema total MA'!F89*G89,0)</f>
        <v>8.9153544685451482</v>
      </c>
      <c r="J89" s="286">
        <f t="shared" si="18"/>
        <v>23095230</v>
      </c>
      <c r="K89" s="44">
        <f t="shared" si="18"/>
        <v>26131349</v>
      </c>
      <c r="L89" s="253">
        <f t="shared" si="17"/>
        <v>13.1</v>
      </c>
      <c r="M89" s="27">
        <f>IFERROR(100/'Skjema total MA'!I89*K89,0)</f>
        <v>8.8240329931742725</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v>4951558</v>
      </c>
      <c r="C98" s="233">
        <v>5236858</v>
      </c>
      <c r="D98" s="166">
        <f t="shared" si="14"/>
        <v>5.8</v>
      </c>
      <c r="E98" s="27">
        <f>IFERROR(100/'Skjema total MA'!C98*C98,0)</f>
        <v>1.3812641202001064</v>
      </c>
      <c r="F98" s="291">
        <v>23095230</v>
      </c>
      <c r="G98" s="291">
        <v>26131349</v>
      </c>
      <c r="H98" s="166">
        <f t="shared" si="15"/>
        <v>13.1</v>
      </c>
      <c r="I98" s="27">
        <f>IFERROR(100/'Skjema total MA'!F98*G98,0)</f>
        <v>8.9400551540902633</v>
      </c>
      <c r="J98" s="286">
        <f t="shared" si="18"/>
        <v>28046788</v>
      </c>
      <c r="K98" s="44">
        <f t="shared" si="18"/>
        <v>31368207</v>
      </c>
      <c r="L98" s="253">
        <f t="shared" si="17"/>
        <v>11.8</v>
      </c>
      <c r="M98" s="27">
        <f>IFERROR(100/'Skjema total MA'!I98*K98,0)</f>
        <v>4.6718483785401288</v>
      </c>
    </row>
    <row r="99" spans="1:13" x14ac:dyDescent="0.2">
      <c r="A99" s="21" t="s">
        <v>9</v>
      </c>
      <c r="B99" s="291">
        <v>4951558</v>
      </c>
      <c r="C99" s="292">
        <v>5236858</v>
      </c>
      <c r="D99" s="166">
        <f t="shared" si="14"/>
        <v>5.8</v>
      </c>
      <c r="E99" s="27">
        <f>IFERROR(100/'Skjema total MA'!C99*C99,0)</f>
        <v>1.3924045094356943</v>
      </c>
      <c r="F99" s="233"/>
      <c r="G99" s="145"/>
      <c r="H99" s="166"/>
      <c r="I99" s="27"/>
      <c r="J99" s="286">
        <f t="shared" si="18"/>
        <v>4951558</v>
      </c>
      <c r="K99" s="44">
        <f t="shared" si="18"/>
        <v>5236858</v>
      </c>
      <c r="L99" s="253">
        <f t="shared" si="17"/>
        <v>5.8</v>
      </c>
      <c r="M99" s="27">
        <f>IFERROR(100/'Skjema total MA'!I99*K99,0)</f>
        <v>1.3924045094356943</v>
      </c>
    </row>
    <row r="100" spans="1:13" x14ac:dyDescent="0.2">
      <c r="A100" s="21" t="s">
        <v>10</v>
      </c>
      <c r="B100" s="291"/>
      <c r="C100" s="292"/>
      <c r="D100" s="166"/>
      <c r="E100" s="27"/>
      <c r="F100" s="233">
        <v>23095230</v>
      </c>
      <c r="G100" s="233">
        <v>26131349</v>
      </c>
      <c r="H100" s="166">
        <f t="shared" si="15"/>
        <v>13.1</v>
      </c>
      <c r="I100" s="27">
        <f>IFERROR(100/'Skjema total MA'!F100*G100,0)</f>
        <v>8.9400551540902633</v>
      </c>
      <c r="J100" s="286">
        <f t="shared" si="18"/>
        <v>23095230</v>
      </c>
      <c r="K100" s="44">
        <f t="shared" si="18"/>
        <v>26131349</v>
      </c>
      <c r="L100" s="253">
        <f t="shared" si="17"/>
        <v>13.1</v>
      </c>
      <c r="M100" s="27">
        <f>IFERROR(100/'Skjema total MA'!I100*K100,0)</f>
        <v>8.8482295571373033</v>
      </c>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v>4068614</v>
      </c>
      <c r="C108" s="233">
        <v>4147811</v>
      </c>
      <c r="D108" s="166">
        <f t="shared" si="14"/>
        <v>1.9</v>
      </c>
      <c r="E108" s="27">
        <f>IFERROR(100/'Skjema total MA'!C108*C108,0)</f>
        <v>1.3123794900493175</v>
      </c>
      <c r="F108" s="233"/>
      <c r="G108" s="233"/>
      <c r="H108" s="166"/>
      <c r="I108" s="27"/>
      <c r="J108" s="286">
        <f t="shared" si="18"/>
        <v>4068614</v>
      </c>
      <c r="K108" s="44">
        <f t="shared" si="18"/>
        <v>4147811</v>
      </c>
      <c r="L108" s="253">
        <f t="shared" si="17"/>
        <v>1.9</v>
      </c>
      <c r="M108" s="27">
        <f>IFERROR(100/'Skjema total MA'!I108*K108,0)</f>
        <v>1.2472663327374203</v>
      </c>
    </row>
    <row r="109" spans="1:13" ht="15.75" x14ac:dyDescent="0.2">
      <c r="A109" s="21" t="s">
        <v>388</v>
      </c>
      <c r="B109" s="233"/>
      <c r="C109" s="233"/>
      <c r="D109" s="166"/>
      <c r="E109" s="27"/>
      <c r="F109" s="233">
        <v>7945919</v>
      </c>
      <c r="G109" s="233">
        <v>9165954</v>
      </c>
      <c r="H109" s="166">
        <f t="shared" si="15"/>
        <v>15.4</v>
      </c>
      <c r="I109" s="27">
        <f>IFERROR(100/'Skjema total MA'!F109*G109,0)</f>
        <v>9.169428417396869</v>
      </c>
      <c r="J109" s="286">
        <f t="shared" si="18"/>
        <v>7945919</v>
      </c>
      <c r="K109" s="44">
        <f t="shared" si="18"/>
        <v>9165954</v>
      </c>
      <c r="L109" s="253">
        <f t="shared" si="17"/>
        <v>15.4</v>
      </c>
      <c r="M109" s="27">
        <f>IFERROR(100/'Skjema total MA'!I109*K109,0)</f>
        <v>9.0805345103642949</v>
      </c>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v>46155</v>
      </c>
      <c r="C111" s="159">
        <v>71509</v>
      </c>
      <c r="D111" s="171">
        <f t="shared" si="14"/>
        <v>54.9</v>
      </c>
      <c r="E111" s="11">
        <f>IFERROR(100/'Skjema total MA'!C111*C111,0)</f>
        <v>18.865789013057192</v>
      </c>
      <c r="F111" s="307">
        <v>1232085</v>
      </c>
      <c r="G111" s="159">
        <v>1380660</v>
      </c>
      <c r="H111" s="171">
        <f t="shared" si="15"/>
        <v>12.1</v>
      </c>
      <c r="I111" s="11">
        <f>IFERROR(100/'Skjema total MA'!F111*G111,0)</f>
        <v>12.510481176275166</v>
      </c>
      <c r="J111" s="308">
        <f t="shared" si="18"/>
        <v>1278240</v>
      </c>
      <c r="K111" s="235">
        <f t="shared" si="18"/>
        <v>1452169</v>
      </c>
      <c r="L111" s="375">
        <f t="shared" si="17"/>
        <v>13.6</v>
      </c>
      <c r="M111" s="11">
        <f>IFERROR(100/'Skjema total MA'!I111*K111,0)</f>
        <v>12.721511011575693</v>
      </c>
    </row>
    <row r="112" spans="1:13" x14ac:dyDescent="0.2">
      <c r="A112" s="21" t="s">
        <v>9</v>
      </c>
      <c r="B112" s="233">
        <v>46155</v>
      </c>
      <c r="C112" s="145">
        <v>71509</v>
      </c>
      <c r="D112" s="166">
        <f t="shared" ref="D112:D120" si="19">IF(B112=0, "    ---- ", IF(ABS(ROUND(100/B112*C112-100,1))&lt;999,ROUND(100/B112*C112-100,1),IF(ROUND(100/B112*C112-100,1)&gt;999,999,-999)))</f>
        <v>54.9</v>
      </c>
      <c r="E112" s="27">
        <f>IFERROR(100/'Skjema total MA'!C112*C112,0)</f>
        <v>23.638705418661921</v>
      </c>
      <c r="F112" s="233"/>
      <c r="G112" s="145"/>
      <c r="H112" s="166"/>
      <c r="I112" s="27"/>
      <c r="J112" s="286">
        <f t="shared" ref="J112:K125" si="20">SUM(B112,F112)</f>
        <v>46155</v>
      </c>
      <c r="K112" s="44">
        <f t="shared" si="20"/>
        <v>71509</v>
      </c>
      <c r="L112" s="253">
        <f t="shared" ref="L112:L125" si="21">IF(J112=0, "    ---- ", IF(ABS(ROUND(100/J112*K112-100,1))&lt;999,ROUND(100/J112*K112-100,1),IF(ROUND(100/J112*K112-100,1)&gt;999,999,-999)))</f>
        <v>54.9</v>
      </c>
      <c r="M112" s="27">
        <f>IFERROR(100/'Skjema total MA'!I112*K112,0)</f>
        <v>23.188663239655284</v>
      </c>
    </row>
    <row r="113" spans="1:14" x14ac:dyDescent="0.2">
      <c r="A113" s="21" t="s">
        <v>10</v>
      </c>
      <c r="B113" s="233"/>
      <c r="C113" s="145"/>
      <c r="D113" s="166"/>
      <c r="E113" s="27"/>
      <c r="F113" s="233">
        <v>1232085</v>
      </c>
      <c r="G113" s="145">
        <v>1380660</v>
      </c>
      <c r="H113" s="166">
        <f t="shared" ref="H113:H125" si="22">IF(F113=0, "    ---- ", IF(ABS(ROUND(100/F113*G113-100,1))&lt;999,ROUND(100/F113*G113-100,1),IF(ROUND(100/F113*G113-100,1)&gt;999,999,-999)))</f>
        <v>12.1</v>
      </c>
      <c r="I113" s="27">
        <f>IFERROR(100/'Skjema total MA'!F113*G113,0)</f>
        <v>12.552288287830201</v>
      </c>
      <c r="J113" s="286">
        <f t="shared" si="20"/>
        <v>1232085</v>
      </c>
      <c r="K113" s="44">
        <f t="shared" si="20"/>
        <v>1380660</v>
      </c>
      <c r="L113" s="253">
        <f t="shared" si="21"/>
        <v>12.1</v>
      </c>
      <c r="M113" s="27">
        <f>IFERROR(100/'Skjema total MA'!I113*K113,0)</f>
        <v>12.550699277049507</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v>5910</v>
      </c>
      <c r="C116" s="233">
        <v>12498</v>
      </c>
      <c r="D116" s="166">
        <f t="shared" si="19"/>
        <v>111.5</v>
      </c>
      <c r="E116" s="27">
        <f>IFERROR(100/'Skjema total MA'!C116*C116,0)</f>
        <v>11.413061361270678</v>
      </c>
      <c r="F116" s="233"/>
      <c r="G116" s="233"/>
      <c r="H116" s="166"/>
      <c r="I116" s="27"/>
      <c r="J116" s="286">
        <f t="shared" si="20"/>
        <v>5910</v>
      </c>
      <c r="K116" s="44">
        <f t="shared" si="20"/>
        <v>12498</v>
      </c>
      <c r="L116" s="253">
        <f t="shared" si="21"/>
        <v>111.5</v>
      </c>
      <c r="M116" s="27">
        <f>IFERROR(100/'Skjema total MA'!I116*K116,0)</f>
        <v>10.832301119317856</v>
      </c>
    </row>
    <row r="117" spans="1:14" ht="15.75" x14ac:dyDescent="0.2">
      <c r="A117" s="21" t="s">
        <v>391</v>
      </c>
      <c r="B117" s="233"/>
      <c r="C117" s="233"/>
      <c r="D117" s="166"/>
      <c r="E117" s="27"/>
      <c r="F117" s="233">
        <v>157817</v>
      </c>
      <c r="G117" s="233">
        <v>163678</v>
      </c>
      <c r="H117" s="166">
        <f t="shared" si="22"/>
        <v>3.7</v>
      </c>
      <c r="I117" s="27">
        <f>IFERROR(100/'Skjema total MA'!F117*G117,0)</f>
        <v>7.6240657181247453</v>
      </c>
      <c r="J117" s="286">
        <f t="shared" si="20"/>
        <v>157817</v>
      </c>
      <c r="K117" s="44">
        <f t="shared" si="20"/>
        <v>163678</v>
      </c>
      <c r="L117" s="253">
        <f t="shared" si="21"/>
        <v>3.7</v>
      </c>
      <c r="M117" s="27">
        <f>IFERROR(100/'Skjema total MA'!I117*K117,0)</f>
        <v>7.6240657181247453</v>
      </c>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v>14768</v>
      </c>
      <c r="C119" s="159">
        <v>31866</v>
      </c>
      <c r="D119" s="171">
        <f t="shared" si="19"/>
        <v>115.8</v>
      </c>
      <c r="E119" s="11">
        <f>IFERROR(100/'Skjema total MA'!C119*C119,0)</f>
        <v>8.20522234928195</v>
      </c>
      <c r="F119" s="307">
        <v>1001883</v>
      </c>
      <c r="G119" s="159">
        <v>1791365</v>
      </c>
      <c r="H119" s="171">
        <f t="shared" si="22"/>
        <v>78.8</v>
      </c>
      <c r="I119" s="11">
        <f>IFERROR(100/'Skjema total MA'!F119*G119,0)</f>
        <v>16.192416885626166</v>
      </c>
      <c r="J119" s="308">
        <f t="shared" si="20"/>
        <v>1016651</v>
      </c>
      <c r="K119" s="235">
        <f t="shared" si="20"/>
        <v>1823231</v>
      </c>
      <c r="L119" s="375">
        <f t="shared" si="21"/>
        <v>79.3</v>
      </c>
      <c r="M119" s="11">
        <f>IFERROR(100/'Skjema total MA'!I119*K119,0)</f>
        <v>15.921538228805078</v>
      </c>
    </row>
    <row r="120" spans="1:14" x14ac:dyDescent="0.2">
      <c r="A120" s="21" t="s">
        <v>9</v>
      </c>
      <c r="B120" s="233">
        <v>14768</v>
      </c>
      <c r="C120" s="145">
        <v>31866</v>
      </c>
      <c r="D120" s="166">
        <f t="shared" si="19"/>
        <v>115.8</v>
      </c>
      <c r="E120" s="27">
        <f>IFERROR(100/'Skjema total MA'!C120*C120,0)</f>
        <v>15.199571607977864</v>
      </c>
      <c r="F120" s="233"/>
      <c r="G120" s="145"/>
      <c r="H120" s="166"/>
      <c r="I120" s="27"/>
      <c r="J120" s="286">
        <f t="shared" si="20"/>
        <v>14768</v>
      </c>
      <c r="K120" s="44">
        <f t="shared" si="20"/>
        <v>31866</v>
      </c>
      <c r="L120" s="253">
        <f t="shared" si="21"/>
        <v>115.8</v>
      </c>
      <c r="M120" s="27">
        <f>IFERROR(100/'Skjema total MA'!I120*K120,0)</f>
        <v>15.199571607977864</v>
      </c>
    </row>
    <row r="121" spans="1:14" x14ac:dyDescent="0.2">
      <c r="A121" s="21" t="s">
        <v>10</v>
      </c>
      <c r="B121" s="233"/>
      <c r="C121" s="145"/>
      <c r="D121" s="166"/>
      <c r="E121" s="27"/>
      <c r="F121" s="233">
        <v>1001883</v>
      </c>
      <c r="G121" s="145">
        <v>1791365</v>
      </c>
      <c r="H121" s="166">
        <f t="shared" si="22"/>
        <v>78.8</v>
      </c>
      <c r="I121" s="27">
        <f>IFERROR(100/'Skjema total MA'!F121*G121,0)</f>
        <v>16.192416885626166</v>
      </c>
      <c r="J121" s="286">
        <f t="shared" si="20"/>
        <v>1001883</v>
      </c>
      <c r="K121" s="44">
        <f t="shared" si="20"/>
        <v>1791365</v>
      </c>
      <c r="L121" s="253">
        <f t="shared" si="21"/>
        <v>78.8</v>
      </c>
      <c r="M121" s="27">
        <f>IFERROR(100/'Skjema total MA'!I121*K121,0)</f>
        <v>16.14161882472807</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v>197082</v>
      </c>
      <c r="G125" s="233">
        <v>503473</v>
      </c>
      <c r="H125" s="166">
        <f t="shared" si="22"/>
        <v>155.5</v>
      </c>
      <c r="I125" s="27">
        <f>IFERROR(100/'Skjema total MA'!F125*G125,0)</f>
        <v>22.345144481975787</v>
      </c>
      <c r="J125" s="286">
        <f t="shared" si="20"/>
        <v>197082</v>
      </c>
      <c r="K125" s="44">
        <f t="shared" si="20"/>
        <v>503473</v>
      </c>
      <c r="L125" s="253">
        <f t="shared" si="21"/>
        <v>155.5</v>
      </c>
      <c r="M125" s="27">
        <f>IFERROR(100/'Skjema total MA'!I125*K125,0)</f>
        <v>22.319256979411318</v>
      </c>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64" priority="132">
      <formula>kvartal &lt; 4</formula>
    </cfRule>
  </conditionalFormatting>
  <conditionalFormatting sqref="B69">
    <cfRule type="expression" dxfId="1163" priority="100">
      <formula>kvartal &lt; 4</formula>
    </cfRule>
  </conditionalFormatting>
  <conditionalFormatting sqref="C69">
    <cfRule type="expression" dxfId="1162" priority="99">
      <formula>kvartal &lt; 4</formula>
    </cfRule>
  </conditionalFormatting>
  <conditionalFormatting sqref="B72">
    <cfRule type="expression" dxfId="1161" priority="98">
      <formula>kvartal &lt; 4</formula>
    </cfRule>
  </conditionalFormatting>
  <conditionalFormatting sqref="C72">
    <cfRule type="expression" dxfId="1160" priority="97">
      <formula>kvartal &lt; 4</formula>
    </cfRule>
  </conditionalFormatting>
  <conditionalFormatting sqref="B80">
    <cfRule type="expression" dxfId="1159" priority="96">
      <formula>kvartal &lt; 4</formula>
    </cfRule>
  </conditionalFormatting>
  <conditionalFormatting sqref="C80">
    <cfRule type="expression" dxfId="1158" priority="95">
      <formula>kvartal &lt; 4</formula>
    </cfRule>
  </conditionalFormatting>
  <conditionalFormatting sqref="B83">
    <cfRule type="expression" dxfId="1157" priority="94">
      <formula>kvartal &lt; 4</formula>
    </cfRule>
  </conditionalFormatting>
  <conditionalFormatting sqref="C83">
    <cfRule type="expression" dxfId="1156" priority="93">
      <formula>kvartal &lt; 4</formula>
    </cfRule>
  </conditionalFormatting>
  <conditionalFormatting sqref="B90">
    <cfRule type="expression" dxfId="1155" priority="84">
      <formula>kvartal &lt; 4</formula>
    </cfRule>
  </conditionalFormatting>
  <conditionalFormatting sqref="C90">
    <cfRule type="expression" dxfId="1154" priority="83">
      <formula>kvartal &lt; 4</formula>
    </cfRule>
  </conditionalFormatting>
  <conditionalFormatting sqref="B93">
    <cfRule type="expression" dxfId="1153" priority="82">
      <formula>kvartal &lt; 4</formula>
    </cfRule>
  </conditionalFormatting>
  <conditionalFormatting sqref="C93">
    <cfRule type="expression" dxfId="1152" priority="81">
      <formula>kvartal &lt; 4</formula>
    </cfRule>
  </conditionalFormatting>
  <conditionalFormatting sqref="B101">
    <cfRule type="expression" dxfId="1151" priority="80">
      <formula>kvartal &lt; 4</formula>
    </cfRule>
  </conditionalFormatting>
  <conditionalFormatting sqref="C101">
    <cfRule type="expression" dxfId="1150" priority="79">
      <formula>kvartal &lt; 4</formula>
    </cfRule>
  </conditionalFormatting>
  <conditionalFormatting sqref="B104">
    <cfRule type="expression" dxfId="1149" priority="78">
      <formula>kvartal &lt; 4</formula>
    </cfRule>
  </conditionalFormatting>
  <conditionalFormatting sqref="C104">
    <cfRule type="expression" dxfId="1148" priority="77">
      <formula>kvartal &lt; 4</formula>
    </cfRule>
  </conditionalFormatting>
  <conditionalFormatting sqref="B115">
    <cfRule type="expression" dxfId="1147" priority="76">
      <formula>kvartal &lt; 4</formula>
    </cfRule>
  </conditionalFormatting>
  <conditionalFormatting sqref="C115">
    <cfRule type="expression" dxfId="1146" priority="75">
      <formula>kvartal &lt; 4</formula>
    </cfRule>
  </conditionalFormatting>
  <conditionalFormatting sqref="B123">
    <cfRule type="expression" dxfId="1145" priority="74">
      <formula>kvartal &lt; 4</formula>
    </cfRule>
  </conditionalFormatting>
  <conditionalFormatting sqref="C123">
    <cfRule type="expression" dxfId="1144" priority="73">
      <formula>kvartal &lt; 4</formula>
    </cfRule>
  </conditionalFormatting>
  <conditionalFormatting sqref="F70">
    <cfRule type="expression" dxfId="1143" priority="72">
      <formula>kvartal &lt; 4</formula>
    </cfRule>
  </conditionalFormatting>
  <conditionalFormatting sqref="G70">
    <cfRule type="expression" dxfId="1142" priority="71">
      <formula>kvartal &lt; 4</formula>
    </cfRule>
  </conditionalFormatting>
  <conditionalFormatting sqref="F71:G71">
    <cfRule type="expression" dxfId="1141" priority="70">
      <formula>kvartal &lt; 4</formula>
    </cfRule>
  </conditionalFormatting>
  <conditionalFormatting sqref="F73:G74">
    <cfRule type="expression" dxfId="1140" priority="69">
      <formula>kvartal &lt; 4</formula>
    </cfRule>
  </conditionalFormatting>
  <conditionalFormatting sqref="F81:G82">
    <cfRule type="expression" dxfId="1139" priority="68">
      <formula>kvartal &lt; 4</formula>
    </cfRule>
  </conditionalFormatting>
  <conditionalFormatting sqref="F84:G85">
    <cfRule type="expression" dxfId="1138" priority="67">
      <formula>kvartal &lt; 4</formula>
    </cfRule>
  </conditionalFormatting>
  <conditionalFormatting sqref="F91:G92">
    <cfRule type="expression" dxfId="1137" priority="62">
      <formula>kvartal &lt; 4</formula>
    </cfRule>
  </conditionalFormatting>
  <conditionalFormatting sqref="F94:G95">
    <cfRule type="expression" dxfId="1136" priority="61">
      <formula>kvartal &lt; 4</formula>
    </cfRule>
  </conditionalFormatting>
  <conditionalFormatting sqref="F102:G103">
    <cfRule type="expression" dxfId="1135" priority="60">
      <formula>kvartal &lt; 4</formula>
    </cfRule>
  </conditionalFormatting>
  <conditionalFormatting sqref="F105:G106">
    <cfRule type="expression" dxfId="1134" priority="59">
      <formula>kvartal &lt; 4</formula>
    </cfRule>
  </conditionalFormatting>
  <conditionalFormatting sqref="F115">
    <cfRule type="expression" dxfId="1133" priority="58">
      <formula>kvartal &lt; 4</formula>
    </cfRule>
  </conditionalFormatting>
  <conditionalFormatting sqref="G115">
    <cfRule type="expression" dxfId="1132" priority="57">
      <formula>kvartal &lt; 4</formula>
    </cfRule>
  </conditionalFormatting>
  <conditionalFormatting sqref="F123:G123">
    <cfRule type="expression" dxfId="1131" priority="56">
      <formula>kvartal &lt; 4</formula>
    </cfRule>
  </conditionalFormatting>
  <conditionalFormatting sqref="F69:G69">
    <cfRule type="expression" dxfId="1130" priority="55">
      <formula>kvartal &lt; 4</formula>
    </cfRule>
  </conditionalFormatting>
  <conditionalFormatting sqref="F72:G72">
    <cfRule type="expression" dxfId="1129" priority="54">
      <formula>kvartal &lt; 4</formula>
    </cfRule>
  </conditionalFormatting>
  <conditionalFormatting sqref="F80:G80">
    <cfRule type="expression" dxfId="1128" priority="53">
      <formula>kvartal &lt; 4</formula>
    </cfRule>
  </conditionalFormatting>
  <conditionalFormatting sqref="F83:G83">
    <cfRule type="expression" dxfId="1127" priority="52">
      <formula>kvartal &lt; 4</formula>
    </cfRule>
  </conditionalFormatting>
  <conditionalFormatting sqref="F90:G90">
    <cfRule type="expression" dxfId="1126" priority="46">
      <formula>kvartal &lt; 4</formula>
    </cfRule>
  </conditionalFormatting>
  <conditionalFormatting sqref="F93">
    <cfRule type="expression" dxfId="1125" priority="45">
      <formula>kvartal &lt; 4</formula>
    </cfRule>
  </conditionalFormatting>
  <conditionalFormatting sqref="G93">
    <cfRule type="expression" dxfId="1124" priority="44">
      <formula>kvartal &lt; 4</formula>
    </cfRule>
  </conditionalFormatting>
  <conditionalFormatting sqref="F101">
    <cfRule type="expression" dxfId="1123" priority="43">
      <formula>kvartal &lt; 4</formula>
    </cfRule>
  </conditionalFormatting>
  <conditionalFormatting sqref="G101">
    <cfRule type="expression" dxfId="1122" priority="42">
      <formula>kvartal &lt; 4</formula>
    </cfRule>
  </conditionalFormatting>
  <conditionalFormatting sqref="G104">
    <cfRule type="expression" dxfId="1121" priority="41">
      <formula>kvartal &lt; 4</formula>
    </cfRule>
  </conditionalFormatting>
  <conditionalFormatting sqref="F104">
    <cfRule type="expression" dxfId="1120" priority="40">
      <formula>kvartal &lt; 4</formula>
    </cfRule>
  </conditionalFormatting>
  <conditionalFormatting sqref="J69:K73">
    <cfRule type="expression" dxfId="1119" priority="39">
      <formula>kvartal &lt; 4</formula>
    </cfRule>
  </conditionalFormatting>
  <conditionalFormatting sqref="J74:K74">
    <cfRule type="expression" dxfId="1118" priority="38">
      <formula>kvartal &lt; 4</formula>
    </cfRule>
  </conditionalFormatting>
  <conditionalFormatting sqref="J80:K85">
    <cfRule type="expression" dxfId="1117" priority="37">
      <formula>kvartal &lt; 4</formula>
    </cfRule>
  </conditionalFormatting>
  <conditionalFormatting sqref="J90:K95">
    <cfRule type="expression" dxfId="1116" priority="34">
      <formula>kvartal &lt; 4</formula>
    </cfRule>
  </conditionalFormatting>
  <conditionalFormatting sqref="J101:K106">
    <cfRule type="expression" dxfId="1115" priority="33">
      <formula>kvartal &lt; 4</formula>
    </cfRule>
  </conditionalFormatting>
  <conditionalFormatting sqref="J115:K115">
    <cfRule type="expression" dxfId="1114" priority="32">
      <formula>kvartal &lt; 4</formula>
    </cfRule>
  </conditionalFormatting>
  <conditionalFormatting sqref="J123:K123">
    <cfRule type="expression" dxfId="1113" priority="31">
      <formula>kvartal &lt; 4</formula>
    </cfRule>
  </conditionalFormatting>
  <conditionalFormatting sqref="A50:A52">
    <cfRule type="expression" dxfId="1112" priority="12">
      <formula>kvartal &lt; 4</formula>
    </cfRule>
  </conditionalFormatting>
  <conditionalFormatting sqref="A69:A74">
    <cfRule type="expression" dxfId="1111" priority="10">
      <formula>kvartal &lt; 4</formula>
    </cfRule>
  </conditionalFormatting>
  <conditionalFormatting sqref="A80:A85">
    <cfRule type="expression" dxfId="1110" priority="9">
      <formula>kvartal &lt; 4</formula>
    </cfRule>
  </conditionalFormatting>
  <conditionalFormatting sqref="A90:A95">
    <cfRule type="expression" dxfId="1109" priority="6">
      <formula>kvartal &lt; 4</formula>
    </cfRule>
  </conditionalFormatting>
  <conditionalFormatting sqref="A101:A106">
    <cfRule type="expression" dxfId="1108" priority="5">
      <formula>kvartal &lt; 4</formula>
    </cfRule>
  </conditionalFormatting>
  <conditionalFormatting sqref="A115">
    <cfRule type="expression" dxfId="1107" priority="4">
      <formula>kvartal &lt; 4</formula>
    </cfRule>
  </conditionalFormatting>
  <conditionalFormatting sqref="A123">
    <cfRule type="expression" dxfId="1106" priority="3">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91</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27508</v>
      </c>
      <c r="C7" s="306">
        <v>26473.682000000001</v>
      </c>
      <c r="D7" s="350">
        <f>IF(B7=0, "    ---- ", IF(ABS(ROUND(100/B7*C7-100,1))&lt;999,ROUND(100/B7*C7-100,1),IF(ROUND(100/B7*C7-100,1)&gt;999,999,-999)))</f>
        <v>-3.8</v>
      </c>
      <c r="E7" s="11">
        <f>IFERROR(100/'Skjema total MA'!C7*C7,0)</f>
        <v>0.7256760883834934</v>
      </c>
      <c r="F7" s="305"/>
      <c r="G7" s="306"/>
      <c r="H7" s="350"/>
      <c r="I7" s="160"/>
      <c r="J7" s="307">
        <f t="shared" ref="J7:K10" si="0">SUM(B7,F7)</f>
        <v>27508</v>
      </c>
      <c r="K7" s="308">
        <f t="shared" si="0"/>
        <v>26473.682000000001</v>
      </c>
      <c r="L7" s="374">
        <f>IF(J7=0, "    ---- ", IF(ABS(ROUND(100/J7*K7-100,1))&lt;999,ROUND(100/J7*K7-100,1),IF(ROUND(100/J7*K7-100,1)&gt;999,999,-999)))</f>
        <v>-3.8</v>
      </c>
      <c r="M7" s="11">
        <f>IFERROR(100/'Skjema total MA'!I7*K7,0)</f>
        <v>0.24481048422468624</v>
      </c>
    </row>
    <row r="8" spans="1:14" ht="15.75" x14ac:dyDescent="0.2">
      <c r="A8" s="21" t="s">
        <v>25</v>
      </c>
      <c r="B8" s="280">
        <v>14744</v>
      </c>
      <c r="C8" s="281">
        <v>16314.1776749</v>
      </c>
      <c r="D8" s="166">
        <f t="shared" ref="D8:D10" si="1">IF(B8=0, "    ---- ", IF(ABS(ROUND(100/B8*C8-100,1))&lt;999,ROUND(100/B8*C8-100,1),IF(ROUND(100/B8*C8-100,1)&gt;999,999,-999)))</f>
        <v>10.6</v>
      </c>
      <c r="E8" s="27">
        <f>IFERROR(100/'Skjema total MA'!C8*C8,0)</f>
        <v>0.74512383386258474</v>
      </c>
      <c r="F8" s="284"/>
      <c r="G8" s="285"/>
      <c r="H8" s="166"/>
      <c r="I8" s="175"/>
      <c r="J8" s="233">
        <f t="shared" si="0"/>
        <v>14744</v>
      </c>
      <c r="K8" s="286">
        <f t="shared" si="0"/>
        <v>16314.1776749</v>
      </c>
      <c r="L8" s="166">
        <f t="shared" ref="L8:L9" si="2">IF(J8=0, "    ---- ", IF(ABS(ROUND(100/J8*K8-100,1))&lt;999,ROUND(100/J8*K8-100,1),IF(ROUND(100/J8*K8-100,1)&gt;999,999,-999)))</f>
        <v>10.6</v>
      </c>
      <c r="M8" s="27">
        <f>IFERROR(100/'Skjema total MA'!I8*K8,0)</f>
        <v>0.74512383386258474</v>
      </c>
    </row>
    <row r="9" spans="1:14" ht="15.75" x14ac:dyDescent="0.2">
      <c r="A9" s="21" t="s">
        <v>24</v>
      </c>
      <c r="B9" s="280">
        <v>8989</v>
      </c>
      <c r="C9" s="281">
        <v>9789.5200932999996</v>
      </c>
      <c r="D9" s="166">
        <f t="shared" si="1"/>
        <v>8.9</v>
      </c>
      <c r="E9" s="27">
        <f>IFERROR(100/'Skjema total MA'!C9*C9,0)</f>
        <v>1.2479966665155993</v>
      </c>
      <c r="F9" s="284"/>
      <c r="G9" s="285"/>
      <c r="H9" s="166"/>
      <c r="I9" s="175"/>
      <c r="J9" s="233">
        <f t="shared" si="0"/>
        <v>8989</v>
      </c>
      <c r="K9" s="286">
        <f t="shared" si="0"/>
        <v>9789.5200932999996</v>
      </c>
      <c r="L9" s="166">
        <f t="shared" si="2"/>
        <v>8.9</v>
      </c>
      <c r="M9" s="27">
        <f>IFERROR(100/'Skjema total MA'!I9*K9,0)</f>
        <v>1.2479966665155993</v>
      </c>
    </row>
    <row r="10" spans="1:14" ht="15.75" x14ac:dyDescent="0.2">
      <c r="A10" s="13" t="s">
        <v>368</v>
      </c>
      <c r="B10" s="309">
        <v>21090</v>
      </c>
      <c r="C10" s="310">
        <v>26411.660874665598</v>
      </c>
      <c r="D10" s="171">
        <f t="shared" si="1"/>
        <v>25.2</v>
      </c>
      <c r="E10" s="11">
        <f>IFERROR(100/'Skjema total MA'!C10*C10,0)</f>
        <v>0.13678602784020358</v>
      </c>
      <c r="F10" s="309"/>
      <c r="G10" s="310"/>
      <c r="H10" s="171"/>
      <c r="I10" s="160"/>
      <c r="J10" s="307">
        <f t="shared" si="0"/>
        <v>21090</v>
      </c>
      <c r="K10" s="308">
        <f t="shared" si="0"/>
        <v>26411.660874665598</v>
      </c>
      <c r="L10" s="375">
        <f t="shared" ref="L10" si="3">IF(J10=0, "    ---- ", IF(ABS(ROUND(100/J10*K10-100,1))&lt;999,ROUND(100/J10*K10-100,1),IF(ROUND(100/J10*K10-100,1)&gt;999,999,-999)))</f>
        <v>25.2</v>
      </c>
      <c r="M10" s="11">
        <f>IFERROR(100/'Skjema total MA'!I10*K10,0)</f>
        <v>3.8528002954274387E-2</v>
      </c>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164</v>
      </c>
      <c r="C22" s="309">
        <v>152.12141</v>
      </c>
      <c r="D22" s="350">
        <f t="shared" ref="D22:D31" si="4">IF(B22=0, "    ---- ", IF(ABS(ROUND(100/B22*C22-100,1))&lt;999,ROUND(100/B22*C22-100,1),IF(ROUND(100/B22*C22-100,1)&gt;999,999,-999)))</f>
        <v>-7.2</v>
      </c>
      <c r="E22" s="11">
        <f>IFERROR(100/'Skjema total MA'!C22*C22,0)</f>
        <v>1.1162680535898141E-2</v>
      </c>
      <c r="F22" s="317"/>
      <c r="G22" s="317"/>
      <c r="H22" s="350"/>
      <c r="I22" s="11"/>
      <c r="J22" s="315">
        <f t="shared" ref="J22:K29" si="5">SUM(B22,F22)</f>
        <v>164</v>
      </c>
      <c r="K22" s="315">
        <f t="shared" si="5"/>
        <v>152.12141</v>
      </c>
      <c r="L22" s="374">
        <f t="shared" ref="L22:L29" si="6">IF(J22=0, "    ---- ", IF(ABS(ROUND(100/J22*K22-100,1))&lt;999,ROUND(100/J22*K22-100,1),IF(ROUND(100/J22*K22-100,1)&gt;999,999,-999)))</f>
        <v>-7.2</v>
      </c>
      <c r="M22" s="24">
        <f>IFERROR(100/'Skjema total MA'!I22*K22,0)</f>
        <v>7.0376406899033527E-3</v>
      </c>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v>164</v>
      </c>
      <c r="C24" s="280">
        <v>152.12141</v>
      </c>
      <c r="D24" s="166">
        <f t="shared" si="4"/>
        <v>-7.2</v>
      </c>
      <c r="E24" s="11">
        <f>IFERROR(100/'Skjema total MA'!C24*C24,0)</f>
        <v>0.57481137415939021</v>
      </c>
      <c r="F24" s="289"/>
      <c r="G24" s="289"/>
      <c r="H24" s="166"/>
      <c r="I24" s="366"/>
      <c r="J24" s="289">
        <f t="shared" ref="J24" si="7">SUM(B24,F24)</f>
        <v>164</v>
      </c>
      <c r="K24" s="289">
        <f t="shared" ref="K24" si="8">SUM(C24,G24)</f>
        <v>152.12141</v>
      </c>
      <c r="L24" s="166">
        <f t="shared" ref="L24" si="9">IF(J24=0, "    ---- ", IF(ABS(ROUND(100/J24*K24-100,1))&lt;999,ROUND(100/J24*K24-100,1),IF(ROUND(100/J24*K24-100,1)&gt;999,999,-999)))</f>
        <v>-7.2</v>
      </c>
      <c r="M24" s="23">
        <f>IFERROR(100/'Skjema total MA'!I24*K24,0)</f>
        <v>0.54633505158840512</v>
      </c>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164</v>
      </c>
      <c r="C28" s="286">
        <v>152.12141</v>
      </c>
      <c r="D28" s="166">
        <f t="shared" si="4"/>
        <v>-7.2</v>
      </c>
      <c r="E28" s="11">
        <f>IFERROR(100/'Skjema total MA'!C28*C28,0)</f>
        <v>1.0461125283144695E-2</v>
      </c>
      <c r="F28" s="233"/>
      <c r="G28" s="286"/>
      <c r="H28" s="166"/>
      <c r="I28" s="27"/>
      <c r="J28" s="44">
        <f t="shared" si="5"/>
        <v>164</v>
      </c>
      <c r="K28" s="44">
        <f t="shared" si="5"/>
        <v>152.12141</v>
      </c>
      <c r="L28" s="253">
        <f t="shared" si="6"/>
        <v>-7.2</v>
      </c>
      <c r="M28" s="23">
        <f>IFERROR(100/'Skjema total MA'!I28*K28,0)</f>
        <v>1.0461125283144695E-2</v>
      </c>
    </row>
    <row r="29" spans="1:14" s="3" customFormat="1" ht="15.75" x14ac:dyDescent="0.2">
      <c r="A29" s="13" t="s">
        <v>368</v>
      </c>
      <c r="B29" s="235">
        <v>1869</v>
      </c>
      <c r="C29" s="235">
        <v>2011</v>
      </c>
      <c r="D29" s="171">
        <f t="shared" si="4"/>
        <v>7.6</v>
      </c>
      <c r="E29" s="11">
        <f>IFERROR(100/'Skjema total MA'!C29*C29,0)</f>
        <v>4.2821629159563689E-3</v>
      </c>
      <c r="F29" s="307"/>
      <c r="G29" s="307"/>
      <c r="H29" s="171"/>
      <c r="I29" s="11"/>
      <c r="J29" s="235">
        <f t="shared" si="5"/>
        <v>1869</v>
      </c>
      <c r="K29" s="235">
        <f t="shared" si="5"/>
        <v>2011</v>
      </c>
      <c r="L29" s="375">
        <f t="shared" si="6"/>
        <v>7.6</v>
      </c>
      <c r="M29" s="24">
        <f>IFERROR(100/'Skjema total MA'!I29*K29,0)</f>
        <v>2.9461318680551983E-3</v>
      </c>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v>1869</v>
      </c>
      <c r="C31" s="280">
        <v>2011</v>
      </c>
      <c r="D31" s="166">
        <f t="shared" si="4"/>
        <v>7.6</v>
      </c>
      <c r="E31" s="11">
        <f>IFERROR(100/'Skjema total MA'!C31*C31,0)</f>
        <v>6.0720462167586954E-3</v>
      </c>
      <c r="F31" s="289"/>
      <c r="G31" s="289"/>
      <c r="H31" s="166"/>
      <c r="I31" s="366"/>
      <c r="J31" s="289">
        <f t="shared" ref="J31" si="10">SUM(B31,F31)</f>
        <v>1869</v>
      </c>
      <c r="K31" s="289">
        <f t="shared" ref="K31" si="11">SUM(C31,G31)</f>
        <v>2011</v>
      </c>
      <c r="L31" s="166">
        <f t="shared" ref="L31" si="12">IF(J31=0, "    ---- ", IF(ABS(ROUND(100/J31*K31-100,1))&lt;999,ROUND(100/J31*K31-100,1),IF(ROUND(100/J31*K31-100,1)&gt;999,999,-999)))</f>
        <v>7.6</v>
      </c>
      <c r="M31" s="23">
        <f>IFERROR(100/'Skjema total MA'!I31*K31,0)</f>
        <v>4.6915613087921927E-3</v>
      </c>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v>-7.2</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374"/>
      <c r="E47" s="11"/>
      <c r="F47" s="145"/>
      <c r="G47" s="33"/>
      <c r="H47" s="159"/>
      <c r="I47" s="159"/>
      <c r="J47" s="37"/>
      <c r="K47" s="37"/>
      <c r="L47" s="159"/>
      <c r="M47" s="159"/>
      <c r="N47" s="148"/>
    </row>
    <row r="48" spans="1:14" s="3" customFormat="1" ht="15.75" x14ac:dyDescent="0.2">
      <c r="A48" s="38" t="s">
        <v>379</v>
      </c>
      <c r="B48" s="280"/>
      <c r="C48" s="281"/>
      <c r="D48" s="253"/>
      <c r="E48" s="27"/>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05" priority="132">
      <formula>kvartal &lt; 4</formula>
    </cfRule>
  </conditionalFormatting>
  <conditionalFormatting sqref="B69">
    <cfRule type="expression" dxfId="1104" priority="100">
      <formula>kvartal &lt; 4</formula>
    </cfRule>
  </conditionalFormatting>
  <conditionalFormatting sqref="C69">
    <cfRule type="expression" dxfId="1103" priority="99">
      <formula>kvartal &lt; 4</formula>
    </cfRule>
  </conditionalFormatting>
  <conditionalFormatting sqref="B72">
    <cfRule type="expression" dxfId="1102" priority="98">
      <formula>kvartal &lt; 4</formula>
    </cfRule>
  </conditionalFormatting>
  <conditionalFormatting sqref="C72">
    <cfRule type="expression" dxfId="1101" priority="97">
      <formula>kvartal &lt; 4</formula>
    </cfRule>
  </conditionalFormatting>
  <conditionalFormatting sqref="B80">
    <cfRule type="expression" dxfId="1100" priority="96">
      <formula>kvartal &lt; 4</formula>
    </cfRule>
  </conditionalFormatting>
  <conditionalFormatting sqref="C80">
    <cfRule type="expression" dxfId="1099" priority="95">
      <formula>kvartal &lt; 4</formula>
    </cfRule>
  </conditionalFormatting>
  <conditionalFormatting sqref="B83">
    <cfRule type="expression" dxfId="1098" priority="94">
      <formula>kvartal &lt; 4</formula>
    </cfRule>
  </conditionalFormatting>
  <conditionalFormatting sqref="C83">
    <cfRule type="expression" dxfId="1097" priority="93">
      <formula>kvartal &lt; 4</formula>
    </cfRule>
  </conditionalFormatting>
  <conditionalFormatting sqref="B90">
    <cfRule type="expression" dxfId="1096" priority="84">
      <formula>kvartal &lt; 4</formula>
    </cfRule>
  </conditionalFormatting>
  <conditionalFormatting sqref="C90">
    <cfRule type="expression" dxfId="1095" priority="83">
      <formula>kvartal &lt; 4</formula>
    </cfRule>
  </conditionalFormatting>
  <conditionalFormatting sqref="B93">
    <cfRule type="expression" dxfId="1094" priority="82">
      <formula>kvartal &lt; 4</formula>
    </cfRule>
  </conditionalFormatting>
  <conditionalFormatting sqref="C93">
    <cfRule type="expression" dxfId="1093" priority="81">
      <formula>kvartal &lt; 4</formula>
    </cfRule>
  </conditionalFormatting>
  <conditionalFormatting sqref="B101">
    <cfRule type="expression" dxfId="1092" priority="80">
      <formula>kvartal &lt; 4</formula>
    </cfRule>
  </conditionalFormatting>
  <conditionalFormatting sqref="C101">
    <cfRule type="expression" dxfId="1091" priority="79">
      <formula>kvartal &lt; 4</formula>
    </cfRule>
  </conditionalFormatting>
  <conditionalFormatting sqref="B104">
    <cfRule type="expression" dxfId="1090" priority="78">
      <formula>kvartal &lt; 4</formula>
    </cfRule>
  </conditionalFormatting>
  <conditionalFormatting sqref="C104">
    <cfRule type="expression" dxfId="1089" priority="77">
      <formula>kvartal &lt; 4</formula>
    </cfRule>
  </conditionalFormatting>
  <conditionalFormatting sqref="B115">
    <cfRule type="expression" dxfId="1088" priority="76">
      <formula>kvartal &lt; 4</formula>
    </cfRule>
  </conditionalFormatting>
  <conditionalFormatting sqref="C115">
    <cfRule type="expression" dxfId="1087" priority="75">
      <formula>kvartal &lt; 4</formula>
    </cfRule>
  </conditionalFormatting>
  <conditionalFormatting sqref="B123">
    <cfRule type="expression" dxfId="1086" priority="74">
      <formula>kvartal &lt; 4</formula>
    </cfRule>
  </conditionalFormatting>
  <conditionalFormatting sqref="C123">
    <cfRule type="expression" dxfId="1085" priority="73">
      <formula>kvartal &lt; 4</formula>
    </cfRule>
  </conditionalFormatting>
  <conditionalFormatting sqref="F70">
    <cfRule type="expression" dxfId="1084" priority="72">
      <formula>kvartal &lt; 4</formula>
    </cfRule>
  </conditionalFormatting>
  <conditionalFormatting sqref="G70">
    <cfRule type="expression" dxfId="1083" priority="71">
      <formula>kvartal &lt; 4</formula>
    </cfRule>
  </conditionalFormatting>
  <conditionalFormatting sqref="F71:G71">
    <cfRule type="expression" dxfId="1082" priority="70">
      <formula>kvartal &lt; 4</formula>
    </cfRule>
  </conditionalFormatting>
  <conditionalFormatting sqref="F73:G74">
    <cfRule type="expression" dxfId="1081" priority="69">
      <formula>kvartal &lt; 4</formula>
    </cfRule>
  </conditionalFormatting>
  <conditionalFormatting sqref="F81:G82">
    <cfRule type="expression" dxfId="1080" priority="68">
      <formula>kvartal &lt; 4</formula>
    </cfRule>
  </conditionalFormatting>
  <conditionalFormatting sqref="F84:G85">
    <cfRule type="expression" dxfId="1079" priority="67">
      <formula>kvartal &lt; 4</formula>
    </cfRule>
  </conditionalFormatting>
  <conditionalFormatting sqref="F91:G92">
    <cfRule type="expression" dxfId="1078" priority="62">
      <formula>kvartal &lt; 4</formula>
    </cfRule>
  </conditionalFormatting>
  <conditionalFormatting sqref="F94:G95">
    <cfRule type="expression" dxfId="1077" priority="61">
      <formula>kvartal &lt; 4</formula>
    </cfRule>
  </conditionalFormatting>
  <conditionalFormatting sqref="F102:G103">
    <cfRule type="expression" dxfId="1076" priority="60">
      <formula>kvartal &lt; 4</formula>
    </cfRule>
  </conditionalFormatting>
  <conditionalFormatting sqref="F105:G106">
    <cfRule type="expression" dxfId="1075" priority="59">
      <formula>kvartal &lt; 4</formula>
    </cfRule>
  </conditionalFormatting>
  <conditionalFormatting sqref="F115">
    <cfRule type="expression" dxfId="1074" priority="58">
      <formula>kvartal &lt; 4</formula>
    </cfRule>
  </conditionalFormatting>
  <conditionalFormatting sqref="G115">
    <cfRule type="expression" dxfId="1073" priority="57">
      <formula>kvartal &lt; 4</formula>
    </cfRule>
  </conditionalFormatting>
  <conditionalFormatting sqref="F123:G123">
    <cfRule type="expression" dxfId="1072" priority="56">
      <formula>kvartal &lt; 4</formula>
    </cfRule>
  </conditionalFormatting>
  <conditionalFormatting sqref="F69:G69">
    <cfRule type="expression" dxfId="1071" priority="55">
      <formula>kvartal &lt; 4</formula>
    </cfRule>
  </conditionalFormatting>
  <conditionalFormatting sqref="F72:G72">
    <cfRule type="expression" dxfId="1070" priority="54">
      <formula>kvartal &lt; 4</formula>
    </cfRule>
  </conditionalFormatting>
  <conditionalFormatting sqref="F80:G80">
    <cfRule type="expression" dxfId="1069" priority="53">
      <formula>kvartal &lt; 4</formula>
    </cfRule>
  </conditionalFormatting>
  <conditionalFormatting sqref="F83:G83">
    <cfRule type="expression" dxfId="1068" priority="52">
      <formula>kvartal &lt; 4</formula>
    </cfRule>
  </conditionalFormatting>
  <conditionalFormatting sqref="F90:G90">
    <cfRule type="expression" dxfId="1067" priority="46">
      <formula>kvartal &lt; 4</formula>
    </cfRule>
  </conditionalFormatting>
  <conditionalFormatting sqref="F93">
    <cfRule type="expression" dxfId="1066" priority="45">
      <formula>kvartal &lt; 4</formula>
    </cfRule>
  </conditionalFormatting>
  <conditionalFormatting sqref="G93">
    <cfRule type="expression" dxfId="1065" priority="44">
      <formula>kvartal &lt; 4</formula>
    </cfRule>
  </conditionalFormatting>
  <conditionalFormatting sqref="F101">
    <cfRule type="expression" dxfId="1064" priority="43">
      <formula>kvartal &lt; 4</formula>
    </cfRule>
  </conditionalFormatting>
  <conditionalFormatting sqref="G101">
    <cfRule type="expression" dxfId="1063" priority="42">
      <formula>kvartal &lt; 4</formula>
    </cfRule>
  </conditionalFormatting>
  <conditionalFormatting sqref="G104">
    <cfRule type="expression" dxfId="1062" priority="41">
      <formula>kvartal &lt; 4</formula>
    </cfRule>
  </conditionalFormatting>
  <conditionalFormatting sqref="F104">
    <cfRule type="expression" dxfId="1061" priority="40">
      <formula>kvartal &lt; 4</formula>
    </cfRule>
  </conditionalFormatting>
  <conditionalFormatting sqref="J69:K73">
    <cfRule type="expression" dxfId="1060" priority="39">
      <formula>kvartal &lt; 4</formula>
    </cfRule>
  </conditionalFormatting>
  <conditionalFormatting sqref="J74:K74">
    <cfRule type="expression" dxfId="1059" priority="38">
      <formula>kvartal &lt; 4</formula>
    </cfRule>
  </conditionalFormatting>
  <conditionalFormatting sqref="J80:K85">
    <cfRule type="expression" dxfId="1058" priority="37">
      <formula>kvartal &lt; 4</formula>
    </cfRule>
  </conditionalFormatting>
  <conditionalFormatting sqref="J90:K95">
    <cfRule type="expression" dxfId="1057" priority="34">
      <formula>kvartal &lt; 4</formula>
    </cfRule>
  </conditionalFormatting>
  <conditionalFormatting sqref="J101:K106">
    <cfRule type="expression" dxfId="1056" priority="33">
      <formula>kvartal &lt; 4</formula>
    </cfRule>
  </conditionalFormatting>
  <conditionalFormatting sqref="J115:K115">
    <cfRule type="expression" dxfId="1055" priority="32">
      <formula>kvartal &lt; 4</formula>
    </cfRule>
  </conditionalFormatting>
  <conditionalFormatting sqref="J123:K123">
    <cfRule type="expression" dxfId="1054" priority="31">
      <formula>kvartal &lt; 4</formula>
    </cfRule>
  </conditionalFormatting>
  <conditionalFormatting sqref="A50:A52">
    <cfRule type="expression" dxfId="1053" priority="12">
      <formula>kvartal &lt; 4</formula>
    </cfRule>
  </conditionalFormatting>
  <conditionalFormatting sqref="A69:A74">
    <cfRule type="expression" dxfId="1052" priority="10">
      <formula>kvartal &lt; 4</formula>
    </cfRule>
  </conditionalFormatting>
  <conditionalFormatting sqref="A80:A85">
    <cfRule type="expression" dxfId="1051" priority="9">
      <formula>kvartal &lt; 4</formula>
    </cfRule>
  </conditionalFormatting>
  <conditionalFormatting sqref="A90:A95">
    <cfRule type="expression" dxfId="1050" priority="6">
      <formula>kvartal &lt; 4</formula>
    </cfRule>
  </conditionalFormatting>
  <conditionalFormatting sqref="A101:A106">
    <cfRule type="expression" dxfId="1049" priority="5">
      <formula>kvartal &lt; 4</formula>
    </cfRule>
  </conditionalFormatting>
  <conditionalFormatting sqref="A115">
    <cfRule type="expression" dxfId="1048" priority="4">
      <formula>kvartal &lt; 4</formula>
    </cfRule>
  </conditionalFormatting>
  <conditionalFormatting sqref="A123">
    <cfRule type="expression" dxfId="1047" priority="3">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131</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243842.42300000001</v>
      </c>
      <c r="C7" s="306">
        <v>261199.59400000001</v>
      </c>
      <c r="D7" s="350">
        <f>IF(B7=0, "    ---- ", IF(ABS(ROUND(100/B7*C7-100,1))&lt;999,ROUND(100/B7*C7-100,1),IF(ROUND(100/B7*C7-100,1)&gt;999,999,-999)))</f>
        <v>7.1</v>
      </c>
      <c r="E7" s="11">
        <f>IFERROR(100/'Skjema total MA'!C7*C7,0)</f>
        <v>7.159801181463032</v>
      </c>
      <c r="F7" s="305"/>
      <c r="G7" s="306"/>
      <c r="H7" s="350"/>
      <c r="I7" s="160"/>
      <c r="J7" s="307">
        <f t="shared" ref="J7:K9" si="0">SUM(B7,F7)</f>
        <v>243842.42300000001</v>
      </c>
      <c r="K7" s="308">
        <f t="shared" si="0"/>
        <v>261199.59400000001</v>
      </c>
      <c r="L7" s="374">
        <f>IF(J7=0, "    ---- ", IF(ABS(ROUND(100/J7*K7-100,1))&lt;999,ROUND(100/J7*K7-100,1),IF(ROUND(100/J7*K7-100,1)&gt;999,999,-999)))</f>
        <v>7.1</v>
      </c>
      <c r="M7" s="11">
        <f>IFERROR(100/'Skjema total MA'!I7*K7,0)</f>
        <v>2.4153949981884444</v>
      </c>
    </row>
    <row r="8" spans="1:14" ht="15.75" x14ac:dyDescent="0.2">
      <c r="A8" s="21" t="s">
        <v>25</v>
      </c>
      <c r="B8" s="280">
        <v>157305.25899999999</v>
      </c>
      <c r="C8" s="281">
        <v>172937.68400000001</v>
      </c>
      <c r="D8" s="166">
        <f t="shared" ref="D8:D9" si="1">IF(B8=0, "    ---- ", IF(ABS(ROUND(100/B8*C8-100,1))&lt;999,ROUND(100/B8*C8-100,1),IF(ROUND(100/B8*C8-100,1)&gt;999,999,-999)))</f>
        <v>9.9</v>
      </c>
      <c r="E8" s="27">
        <f>IFERROR(100/'Skjema total MA'!C8*C8,0)</f>
        <v>7.8986506515527486</v>
      </c>
      <c r="F8" s="284"/>
      <c r="G8" s="285"/>
      <c r="H8" s="166"/>
      <c r="I8" s="175"/>
      <c r="J8" s="233">
        <f t="shared" si="0"/>
        <v>157305.25899999999</v>
      </c>
      <c r="K8" s="286">
        <f t="shared" si="0"/>
        <v>172937.68400000001</v>
      </c>
      <c r="L8" s="253"/>
      <c r="M8" s="27">
        <f>IFERROR(100/'Skjema total MA'!I8*K8,0)</f>
        <v>7.8986506515527486</v>
      </c>
    </row>
    <row r="9" spans="1:14" ht="15.75" x14ac:dyDescent="0.2">
      <c r="A9" s="21" t="s">
        <v>24</v>
      </c>
      <c r="B9" s="280">
        <v>86537.164000000004</v>
      </c>
      <c r="C9" s="281">
        <v>88261.91</v>
      </c>
      <c r="D9" s="166">
        <f t="shared" si="1"/>
        <v>2</v>
      </c>
      <c r="E9" s="27">
        <f>IFERROR(100/'Skjema total MA'!C9*C9,0)</f>
        <v>11.251886549136099</v>
      </c>
      <c r="F9" s="284"/>
      <c r="G9" s="285"/>
      <c r="H9" s="166"/>
      <c r="I9" s="175"/>
      <c r="J9" s="233">
        <f t="shared" si="0"/>
        <v>86537.164000000004</v>
      </c>
      <c r="K9" s="286">
        <f t="shared" si="0"/>
        <v>88261.91</v>
      </c>
      <c r="L9" s="253"/>
      <c r="M9" s="27">
        <f>IFERROR(100/'Skjema total MA'!I9*K9,0)</f>
        <v>11.251886549136099</v>
      </c>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97070.592999999993</v>
      </c>
      <c r="C28" s="286">
        <v>114858.35400000001</v>
      </c>
      <c r="D28" s="166">
        <f t="shared" ref="D28" si="2">IF(B28=0, "    ---- ", IF(ABS(ROUND(100/B28*C28-100,1))&lt;999,ROUND(100/B28*C28-100,1),IF(ROUND(100/B28*C28-100,1)&gt;999,999,-999)))</f>
        <v>18.3</v>
      </c>
      <c r="E28" s="11">
        <f>IFERROR(100/'Skjema total MA'!C28*C28,0)</f>
        <v>7.8986096106378696</v>
      </c>
      <c r="F28" s="233"/>
      <c r="G28" s="286"/>
      <c r="H28" s="166"/>
      <c r="I28" s="27"/>
      <c r="J28" s="44">
        <f t="shared" ref="J28:K28" si="3">SUM(B28,F28)</f>
        <v>97070.592999999993</v>
      </c>
      <c r="K28" s="44">
        <f t="shared" si="3"/>
        <v>114858.35400000001</v>
      </c>
      <c r="L28" s="253">
        <f t="shared" ref="L28" si="4">IF(J28=0, "    ---- ", IF(ABS(ROUND(100/J28*K28-100,1))&lt;999,ROUND(100/J28*K28-100,1),IF(ROUND(100/J28*K28-100,1)&gt;999,999,-999)))</f>
        <v>18.3</v>
      </c>
      <c r="M28" s="23">
        <f>IFERROR(100/'Skjema total MA'!I28*K28,0)</f>
        <v>7.8986096106378696</v>
      </c>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111090.783</v>
      </c>
      <c r="C47" s="310">
        <v>107793</v>
      </c>
      <c r="D47" s="374">
        <f t="shared" ref="D47:D57" si="5">IF(B47=0, "    ---- ", IF(ABS(ROUND(100/B47*C47-100,1))&lt;999,ROUND(100/B47*C47-100,1),IF(ROUND(100/B47*C47-100,1)&gt;999,999,-999)))</f>
        <v>-3</v>
      </c>
      <c r="E47" s="11">
        <f>IFERROR(100/'Skjema total MA'!C47*C47,0)</f>
        <v>2.8171695764171352</v>
      </c>
      <c r="F47" s="145"/>
      <c r="G47" s="33"/>
      <c r="H47" s="159"/>
      <c r="I47" s="159"/>
      <c r="J47" s="37"/>
      <c r="K47" s="37"/>
      <c r="L47" s="159"/>
      <c r="M47" s="159"/>
      <c r="N47" s="148"/>
    </row>
    <row r="48" spans="1:14" s="3" customFormat="1" ht="15.75" x14ac:dyDescent="0.2">
      <c r="A48" s="38" t="s">
        <v>379</v>
      </c>
      <c r="B48" s="280">
        <v>111090.783</v>
      </c>
      <c r="C48" s="281">
        <v>107793</v>
      </c>
      <c r="D48" s="253">
        <f t="shared" si="5"/>
        <v>-3</v>
      </c>
      <c r="E48" s="27">
        <f>IFERROR(100/'Skjema total MA'!C48*C48,0)</f>
        <v>4.9767591230316262</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2542.9839999999999</v>
      </c>
      <c r="C53" s="310">
        <v>1328.877</v>
      </c>
      <c r="D53" s="375">
        <f t="shared" si="5"/>
        <v>-47.7</v>
      </c>
      <c r="E53" s="11">
        <f>IFERROR(100/'Skjema total MA'!C53*C53,0)</f>
        <v>0.58399258934899567</v>
      </c>
      <c r="F53" s="145"/>
      <c r="G53" s="33"/>
      <c r="H53" s="145"/>
      <c r="I53" s="145"/>
      <c r="J53" s="33"/>
      <c r="K53" s="33"/>
      <c r="L53" s="159"/>
      <c r="M53" s="159"/>
      <c r="N53" s="148"/>
    </row>
    <row r="54" spans="1:14" s="3" customFormat="1" ht="15.75" x14ac:dyDescent="0.2">
      <c r="A54" s="38" t="s">
        <v>379</v>
      </c>
      <c r="B54" s="280">
        <v>2542.9839999999999</v>
      </c>
      <c r="C54" s="281">
        <v>1328.877</v>
      </c>
      <c r="D54" s="253">
        <f t="shared" si="5"/>
        <v>-47.7</v>
      </c>
      <c r="E54" s="27">
        <f>IFERROR(100/'Skjema total MA'!C54*C54,0)</f>
        <v>0.96345368911744034</v>
      </c>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v>2520.5070000000001</v>
      </c>
      <c r="C56" s="310">
        <v>5688.7370000000001</v>
      </c>
      <c r="D56" s="375">
        <f t="shared" si="5"/>
        <v>125.7</v>
      </c>
      <c r="E56" s="11">
        <f>IFERROR(100/'Skjema total MA'!C56*C56,0)</f>
        <v>3.3907470549726182</v>
      </c>
      <c r="F56" s="145"/>
      <c r="G56" s="33"/>
      <c r="H56" s="145"/>
      <c r="I56" s="145"/>
      <c r="J56" s="33"/>
      <c r="K56" s="33"/>
      <c r="L56" s="159"/>
      <c r="M56" s="159"/>
      <c r="N56" s="148"/>
    </row>
    <row r="57" spans="1:14" s="3" customFormat="1" ht="15.75" x14ac:dyDescent="0.2">
      <c r="A57" s="38" t="s">
        <v>379</v>
      </c>
      <c r="B57" s="280">
        <v>2520.5070000000001</v>
      </c>
      <c r="C57" s="281">
        <v>5688.7370000000001</v>
      </c>
      <c r="D57" s="253">
        <f t="shared" si="5"/>
        <v>125.7</v>
      </c>
      <c r="E57" s="27">
        <f>IFERROR(100/'Skjema total MA'!C57*C57,0)</f>
        <v>5.6224024342560144</v>
      </c>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46" priority="132">
      <formula>kvartal &lt; 4</formula>
    </cfRule>
  </conditionalFormatting>
  <conditionalFormatting sqref="B69">
    <cfRule type="expression" dxfId="1045" priority="100">
      <formula>kvartal &lt; 4</formula>
    </cfRule>
  </conditionalFormatting>
  <conditionalFormatting sqref="C69">
    <cfRule type="expression" dxfId="1044" priority="99">
      <formula>kvartal &lt; 4</formula>
    </cfRule>
  </conditionalFormatting>
  <conditionalFormatting sqref="B72">
    <cfRule type="expression" dxfId="1043" priority="98">
      <formula>kvartal &lt; 4</formula>
    </cfRule>
  </conditionalFormatting>
  <conditionalFormatting sqref="C72">
    <cfRule type="expression" dxfId="1042" priority="97">
      <formula>kvartal &lt; 4</formula>
    </cfRule>
  </conditionalFormatting>
  <conditionalFormatting sqref="B80">
    <cfRule type="expression" dxfId="1041" priority="96">
      <formula>kvartal &lt; 4</formula>
    </cfRule>
  </conditionalFormatting>
  <conditionalFormatting sqref="C80">
    <cfRule type="expression" dxfId="1040" priority="95">
      <formula>kvartal &lt; 4</formula>
    </cfRule>
  </conditionalFormatting>
  <conditionalFormatting sqref="B83">
    <cfRule type="expression" dxfId="1039" priority="94">
      <formula>kvartal &lt; 4</formula>
    </cfRule>
  </conditionalFormatting>
  <conditionalFormatting sqref="C83">
    <cfRule type="expression" dxfId="1038" priority="93">
      <formula>kvartal &lt; 4</formula>
    </cfRule>
  </conditionalFormatting>
  <conditionalFormatting sqref="B90">
    <cfRule type="expression" dxfId="1037" priority="84">
      <formula>kvartal &lt; 4</formula>
    </cfRule>
  </conditionalFormatting>
  <conditionalFormatting sqref="C90">
    <cfRule type="expression" dxfId="1036" priority="83">
      <formula>kvartal &lt; 4</formula>
    </cfRule>
  </conditionalFormatting>
  <conditionalFormatting sqref="B93">
    <cfRule type="expression" dxfId="1035" priority="82">
      <formula>kvartal &lt; 4</formula>
    </cfRule>
  </conditionalFormatting>
  <conditionalFormatting sqref="C93">
    <cfRule type="expression" dxfId="1034" priority="81">
      <formula>kvartal &lt; 4</formula>
    </cfRule>
  </conditionalFormatting>
  <conditionalFormatting sqref="B101">
    <cfRule type="expression" dxfId="1033" priority="80">
      <formula>kvartal &lt; 4</formula>
    </cfRule>
  </conditionalFormatting>
  <conditionalFormatting sqref="C101">
    <cfRule type="expression" dxfId="1032" priority="79">
      <formula>kvartal &lt; 4</formula>
    </cfRule>
  </conditionalFormatting>
  <conditionalFormatting sqref="B104">
    <cfRule type="expression" dxfId="1031" priority="78">
      <formula>kvartal &lt; 4</formula>
    </cfRule>
  </conditionalFormatting>
  <conditionalFormatting sqref="C104">
    <cfRule type="expression" dxfId="1030" priority="77">
      <formula>kvartal &lt; 4</formula>
    </cfRule>
  </conditionalFormatting>
  <conditionalFormatting sqref="B115">
    <cfRule type="expression" dxfId="1029" priority="76">
      <formula>kvartal &lt; 4</formula>
    </cfRule>
  </conditionalFormatting>
  <conditionalFormatting sqref="C115">
    <cfRule type="expression" dxfId="1028" priority="75">
      <formula>kvartal &lt; 4</formula>
    </cfRule>
  </conditionalFormatting>
  <conditionalFormatting sqref="B123">
    <cfRule type="expression" dxfId="1027" priority="74">
      <formula>kvartal &lt; 4</formula>
    </cfRule>
  </conditionalFormatting>
  <conditionalFormatting sqref="C123">
    <cfRule type="expression" dxfId="1026" priority="73">
      <formula>kvartal &lt; 4</formula>
    </cfRule>
  </conditionalFormatting>
  <conditionalFormatting sqref="F70">
    <cfRule type="expression" dxfId="1025" priority="72">
      <formula>kvartal &lt; 4</formula>
    </cfRule>
  </conditionalFormatting>
  <conditionalFormatting sqref="G70">
    <cfRule type="expression" dxfId="1024" priority="71">
      <formula>kvartal &lt; 4</formula>
    </cfRule>
  </conditionalFormatting>
  <conditionalFormatting sqref="F71:G71">
    <cfRule type="expression" dxfId="1023" priority="70">
      <formula>kvartal &lt; 4</formula>
    </cfRule>
  </conditionalFormatting>
  <conditionalFormatting sqref="F73:G74">
    <cfRule type="expression" dxfId="1022" priority="69">
      <formula>kvartal &lt; 4</formula>
    </cfRule>
  </conditionalFormatting>
  <conditionalFormatting sqref="F81:G82">
    <cfRule type="expression" dxfId="1021" priority="68">
      <formula>kvartal &lt; 4</formula>
    </cfRule>
  </conditionalFormatting>
  <conditionalFormatting sqref="F84:G85">
    <cfRule type="expression" dxfId="1020" priority="67">
      <formula>kvartal &lt; 4</formula>
    </cfRule>
  </conditionalFormatting>
  <conditionalFormatting sqref="F91:G92">
    <cfRule type="expression" dxfId="1019" priority="62">
      <formula>kvartal &lt; 4</formula>
    </cfRule>
  </conditionalFormatting>
  <conditionalFormatting sqref="F94:G95">
    <cfRule type="expression" dxfId="1018" priority="61">
      <formula>kvartal &lt; 4</formula>
    </cfRule>
  </conditionalFormatting>
  <conditionalFormatting sqref="F102:G103">
    <cfRule type="expression" dxfId="1017" priority="60">
      <formula>kvartal &lt; 4</formula>
    </cfRule>
  </conditionalFormatting>
  <conditionalFormatting sqref="F105:G106">
    <cfRule type="expression" dxfId="1016" priority="59">
      <formula>kvartal &lt; 4</formula>
    </cfRule>
  </conditionalFormatting>
  <conditionalFormatting sqref="F115">
    <cfRule type="expression" dxfId="1015" priority="58">
      <formula>kvartal &lt; 4</formula>
    </cfRule>
  </conditionalFormatting>
  <conditionalFormatting sqref="G115">
    <cfRule type="expression" dxfId="1014" priority="57">
      <formula>kvartal &lt; 4</formula>
    </cfRule>
  </conditionalFormatting>
  <conditionalFormatting sqref="F123:G123">
    <cfRule type="expression" dxfId="1013" priority="56">
      <formula>kvartal &lt; 4</formula>
    </cfRule>
  </conditionalFormatting>
  <conditionalFormatting sqref="F69:G69">
    <cfRule type="expression" dxfId="1012" priority="55">
      <formula>kvartal &lt; 4</formula>
    </cfRule>
  </conditionalFormatting>
  <conditionalFormatting sqref="F72:G72">
    <cfRule type="expression" dxfId="1011" priority="54">
      <formula>kvartal &lt; 4</formula>
    </cfRule>
  </conditionalFormatting>
  <conditionalFormatting sqref="F80:G80">
    <cfRule type="expression" dxfId="1010" priority="53">
      <formula>kvartal &lt; 4</formula>
    </cfRule>
  </conditionalFormatting>
  <conditionalFormatting sqref="F83:G83">
    <cfRule type="expression" dxfId="1009" priority="52">
      <formula>kvartal &lt; 4</formula>
    </cfRule>
  </conditionalFormatting>
  <conditionalFormatting sqref="F90:G90">
    <cfRule type="expression" dxfId="1008" priority="46">
      <formula>kvartal &lt; 4</formula>
    </cfRule>
  </conditionalFormatting>
  <conditionalFormatting sqref="F93">
    <cfRule type="expression" dxfId="1007" priority="45">
      <formula>kvartal &lt; 4</formula>
    </cfRule>
  </conditionalFormatting>
  <conditionalFormatting sqref="G93">
    <cfRule type="expression" dxfId="1006" priority="44">
      <formula>kvartal &lt; 4</formula>
    </cfRule>
  </conditionalFormatting>
  <conditionalFormatting sqref="F101">
    <cfRule type="expression" dxfId="1005" priority="43">
      <formula>kvartal &lt; 4</formula>
    </cfRule>
  </conditionalFormatting>
  <conditionalFormatting sqref="G101">
    <cfRule type="expression" dxfId="1004" priority="42">
      <formula>kvartal &lt; 4</formula>
    </cfRule>
  </conditionalFormatting>
  <conditionalFormatting sqref="G104">
    <cfRule type="expression" dxfId="1003" priority="41">
      <formula>kvartal &lt; 4</formula>
    </cfRule>
  </conditionalFormatting>
  <conditionalFormatting sqref="F104">
    <cfRule type="expression" dxfId="1002" priority="40">
      <formula>kvartal &lt; 4</formula>
    </cfRule>
  </conditionalFormatting>
  <conditionalFormatting sqref="J69:K73">
    <cfRule type="expression" dxfId="1001" priority="39">
      <formula>kvartal &lt; 4</formula>
    </cfRule>
  </conditionalFormatting>
  <conditionalFormatting sqref="J74:K74">
    <cfRule type="expression" dxfId="1000" priority="38">
      <formula>kvartal &lt; 4</formula>
    </cfRule>
  </conditionalFormatting>
  <conditionalFormatting sqref="J80:K85">
    <cfRule type="expression" dxfId="999" priority="37">
      <formula>kvartal &lt; 4</formula>
    </cfRule>
  </conditionalFormatting>
  <conditionalFormatting sqref="J90:K95">
    <cfRule type="expression" dxfId="998" priority="34">
      <formula>kvartal &lt; 4</formula>
    </cfRule>
  </conditionalFormatting>
  <conditionalFormatting sqref="J101:K106">
    <cfRule type="expression" dxfId="997" priority="33">
      <formula>kvartal &lt; 4</formula>
    </cfRule>
  </conditionalFormatting>
  <conditionalFormatting sqref="J115:K115">
    <cfRule type="expression" dxfId="996" priority="32">
      <formula>kvartal &lt; 4</formula>
    </cfRule>
  </conditionalFormatting>
  <conditionalFormatting sqref="J123:K123">
    <cfRule type="expression" dxfId="995" priority="31">
      <formula>kvartal &lt; 4</formula>
    </cfRule>
  </conditionalFormatting>
  <conditionalFormatting sqref="A50:A52">
    <cfRule type="expression" dxfId="994" priority="12">
      <formula>kvartal &lt; 4</formula>
    </cfRule>
  </conditionalFormatting>
  <conditionalFormatting sqref="A69:A74">
    <cfRule type="expression" dxfId="993" priority="10">
      <formula>kvartal &lt; 4</formula>
    </cfRule>
  </conditionalFormatting>
  <conditionalFormatting sqref="A80:A85">
    <cfRule type="expression" dxfId="992" priority="9">
      <formula>kvartal &lt; 4</formula>
    </cfRule>
  </conditionalFormatting>
  <conditionalFormatting sqref="A90:A95">
    <cfRule type="expression" dxfId="991" priority="6">
      <formula>kvartal &lt; 4</formula>
    </cfRule>
  </conditionalFormatting>
  <conditionalFormatting sqref="A101:A106">
    <cfRule type="expression" dxfId="990" priority="5">
      <formula>kvartal &lt; 4</formula>
    </cfRule>
  </conditionalFormatting>
  <conditionalFormatting sqref="A115">
    <cfRule type="expression" dxfId="989" priority="4">
      <formula>kvartal &lt; 4</formula>
    </cfRule>
  </conditionalFormatting>
  <conditionalFormatting sqref="A123">
    <cfRule type="expression" dxfId="988"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63</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c r="G7" s="306"/>
      <c r="H7" s="350"/>
      <c r="I7" s="160"/>
      <c r="J7" s="307"/>
      <c r="K7" s="308"/>
      <c r="L7" s="374"/>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3152.4240399999903</v>
      </c>
      <c r="C47" s="310">
        <v>2732.9288299999998</v>
      </c>
      <c r="D47" s="374">
        <f t="shared" ref="D47:D48" si="0">IF(B47=0, "    ---- ", IF(ABS(ROUND(100/B47*C47-100,1))&lt;999,ROUND(100/B47*C47-100,1),IF(ROUND(100/B47*C47-100,1)&gt;999,999,-999)))</f>
        <v>-13.3</v>
      </c>
      <c r="E47" s="11">
        <f>IFERROR(100/'Skjema total MA'!C47*C47,0)</f>
        <v>7.1425082838303747E-2</v>
      </c>
      <c r="F47" s="145"/>
      <c r="G47" s="33"/>
      <c r="H47" s="159"/>
      <c r="I47" s="159"/>
      <c r="J47" s="37"/>
      <c r="K47" s="37"/>
      <c r="L47" s="159"/>
      <c r="M47" s="159"/>
      <c r="N47" s="148"/>
    </row>
    <row r="48" spans="1:14" s="3" customFormat="1" ht="15.75" x14ac:dyDescent="0.2">
      <c r="A48" s="38" t="s">
        <v>379</v>
      </c>
      <c r="B48" s="280">
        <v>932.28102999999999</v>
      </c>
      <c r="C48" s="281">
        <v>888.2355</v>
      </c>
      <c r="D48" s="253">
        <f t="shared" si="0"/>
        <v>-4.7</v>
      </c>
      <c r="E48" s="27">
        <f>IFERROR(100/'Skjema total MA'!C48*C48,0)</f>
        <v>4.1009473045796649E-2</v>
      </c>
      <c r="F48" s="145"/>
      <c r="G48" s="33"/>
      <c r="H48" s="145"/>
      <c r="I48" s="145"/>
      <c r="J48" s="33"/>
      <c r="K48" s="33"/>
      <c r="L48" s="159"/>
      <c r="M48" s="159"/>
      <c r="N48" s="148"/>
    </row>
    <row r="49" spans="1:14" s="3" customFormat="1" ht="15.75" x14ac:dyDescent="0.2">
      <c r="A49" s="38" t="s">
        <v>380</v>
      </c>
      <c r="B49" s="44">
        <v>2220.1430099999902</v>
      </c>
      <c r="C49" s="286">
        <v>1844.6933300000001</v>
      </c>
      <c r="D49" s="253">
        <f>IF(B49=0, "    ---- ", IF(ABS(ROUND(100/B49*C49-100,1))&lt;999,ROUND(100/B49*C49-100,1),IF(ROUND(100/B49*C49-100,1)&gt;999,999,-999)))</f>
        <v>-16.899999999999999</v>
      </c>
      <c r="E49" s="27">
        <f>IFERROR(100/'Skjema total MA'!C49*C49,0)</f>
        <v>0.11110203473407156</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v>31134925.866969999</v>
      </c>
      <c r="C134" s="308">
        <v>32029812.213580001</v>
      </c>
      <c r="D134" s="350">
        <f t="shared" ref="D134:D137" si="1">IF(B134=0, "    ---- ", IF(ABS(ROUND(100/B134*C134-100,1))&lt;999,ROUND(100/B134*C134-100,1),IF(ROUND(100/B134*C134-100,1)&gt;999,999,-999)))</f>
        <v>2.9</v>
      </c>
      <c r="E134" s="11">
        <f>IFERROR(100/'Skjema total MA'!C134*C134,0)</f>
        <v>87.324093279261106</v>
      </c>
      <c r="F134" s="315">
        <v>116827.63</v>
      </c>
      <c r="G134" s="316">
        <v>125663.209</v>
      </c>
      <c r="H134" s="378">
        <f t="shared" ref="H134:H136" si="2">IF(F134=0, "    ---- ", IF(ABS(ROUND(100/F134*G134-100,1))&lt;999,ROUND(100/F134*G134-100,1),IF(ROUND(100/F134*G134-100,1)&gt;999,999,-999)))</f>
        <v>7.6</v>
      </c>
      <c r="I134" s="24">
        <f>IFERROR(100/'Skjema total MA'!F134*G134,0)</f>
        <v>100</v>
      </c>
      <c r="J134" s="317">
        <f t="shared" ref="J134:K137" si="3">SUM(B134,F134)</f>
        <v>31251753.496969998</v>
      </c>
      <c r="K134" s="317">
        <f t="shared" si="3"/>
        <v>32155475.42258</v>
      </c>
      <c r="L134" s="374">
        <f t="shared" ref="L134:L137" si="4">IF(J134=0, "    ---- ", IF(ABS(ROUND(100/J134*K134-100,1))&lt;999,ROUND(100/J134*K134-100,1),IF(ROUND(100/J134*K134-100,1)&gt;999,999,-999)))</f>
        <v>2.9</v>
      </c>
      <c r="M134" s="11">
        <f>IFERROR(100/'Skjema total MA'!I134*K134,0)</f>
        <v>87.367372708164908</v>
      </c>
      <c r="N134" s="148"/>
    </row>
    <row r="135" spans="1:14" s="3" customFormat="1" ht="15.75" x14ac:dyDescent="0.2">
      <c r="A135" s="13" t="s">
        <v>397</v>
      </c>
      <c r="B135" s="235">
        <v>469261417.09344</v>
      </c>
      <c r="C135" s="308">
        <v>497212120.95908999</v>
      </c>
      <c r="D135" s="171">
        <f t="shared" si="1"/>
        <v>6</v>
      </c>
      <c r="E135" s="11">
        <f>IFERROR(100/'Skjema total MA'!C135*C135,0)</f>
        <v>86.283767271514307</v>
      </c>
      <c r="F135" s="235">
        <v>2478827.29715</v>
      </c>
      <c r="G135" s="308">
        <v>2644541.49015</v>
      </c>
      <c r="H135" s="379">
        <f t="shared" si="2"/>
        <v>6.7</v>
      </c>
      <c r="I135" s="24">
        <f>IFERROR(100/'Skjema total MA'!F135*G135,0)</f>
        <v>100</v>
      </c>
      <c r="J135" s="307">
        <f t="shared" si="3"/>
        <v>471740244.39059001</v>
      </c>
      <c r="K135" s="307">
        <f t="shared" si="3"/>
        <v>499856662.44923997</v>
      </c>
      <c r="L135" s="375">
        <f t="shared" si="4"/>
        <v>6</v>
      </c>
      <c r="M135" s="11">
        <f>IFERROR(100/'Skjema total MA'!I135*K135,0)</f>
        <v>86.346426365850348</v>
      </c>
      <c r="N135" s="148"/>
    </row>
    <row r="136" spans="1:14" s="3" customFormat="1" ht="15.75" x14ac:dyDescent="0.2">
      <c r="A136" s="13" t="s">
        <v>394</v>
      </c>
      <c r="B136" s="235">
        <v>5312.7830000000004</v>
      </c>
      <c r="C136" s="308">
        <v>235.143</v>
      </c>
      <c r="D136" s="171">
        <f t="shared" si="1"/>
        <v>-95.6</v>
      </c>
      <c r="E136" s="11">
        <f>IFERROR(100/'Skjema total MA'!C136*C136,0)</f>
        <v>0.2216082286795841</v>
      </c>
      <c r="F136" s="235">
        <v>-10.804</v>
      </c>
      <c r="G136" s="308">
        <v>0</v>
      </c>
      <c r="H136" s="379">
        <f t="shared" si="2"/>
        <v>-100</v>
      </c>
      <c r="I136" s="24">
        <f>IFERROR(100/'Skjema total MA'!F136*G136,0)</f>
        <v>0</v>
      </c>
      <c r="J136" s="307">
        <f t="shared" si="3"/>
        <v>5301.9790000000003</v>
      </c>
      <c r="K136" s="307">
        <f t="shared" si="3"/>
        <v>235.143</v>
      </c>
      <c r="L136" s="375">
        <f t="shared" si="4"/>
        <v>-95.6</v>
      </c>
      <c r="M136" s="11">
        <f>IFERROR(100/'Skjema total MA'!I136*K136,0)</f>
        <v>0.2216082286795841</v>
      </c>
      <c r="N136" s="148"/>
    </row>
    <row r="137" spans="1:14" s="3" customFormat="1" ht="15.75" x14ac:dyDescent="0.2">
      <c r="A137" s="41" t="s">
        <v>395</v>
      </c>
      <c r="B137" s="275">
        <v>496739.50099999999</v>
      </c>
      <c r="C137" s="314">
        <v>288211.58799999999</v>
      </c>
      <c r="D137" s="169">
        <f t="shared" si="1"/>
        <v>-42</v>
      </c>
      <c r="E137" s="9">
        <f>IFERROR(100/'Skjema total MA'!C137*C137,0)</f>
        <v>100</v>
      </c>
      <c r="F137" s="275"/>
      <c r="G137" s="314"/>
      <c r="H137" s="380"/>
      <c r="I137" s="36"/>
      <c r="J137" s="313">
        <f t="shared" si="3"/>
        <v>496739.50099999999</v>
      </c>
      <c r="K137" s="313">
        <f t="shared" si="3"/>
        <v>288211.58799999999</v>
      </c>
      <c r="L137" s="376">
        <f t="shared" si="4"/>
        <v>-42</v>
      </c>
      <c r="M137" s="36">
        <f>IFERROR(100/'Skjema total MA'!I137*K137,0)</f>
        <v>100</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87" priority="132">
      <formula>kvartal &lt; 4</formula>
    </cfRule>
  </conditionalFormatting>
  <conditionalFormatting sqref="B69">
    <cfRule type="expression" dxfId="986" priority="100">
      <formula>kvartal &lt; 4</formula>
    </cfRule>
  </conditionalFormatting>
  <conditionalFormatting sqref="C69">
    <cfRule type="expression" dxfId="985" priority="99">
      <formula>kvartal &lt; 4</formula>
    </cfRule>
  </conditionalFormatting>
  <conditionalFormatting sqref="B72">
    <cfRule type="expression" dxfId="984" priority="98">
      <formula>kvartal &lt; 4</formula>
    </cfRule>
  </conditionalFormatting>
  <conditionalFormatting sqref="C72">
    <cfRule type="expression" dxfId="983" priority="97">
      <formula>kvartal &lt; 4</formula>
    </cfRule>
  </conditionalFormatting>
  <conditionalFormatting sqref="B80">
    <cfRule type="expression" dxfId="982" priority="96">
      <formula>kvartal &lt; 4</formula>
    </cfRule>
  </conditionalFormatting>
  <conditionalFormatting sqref="C80">
    <cfRule type="expression" dxfId="981" priority="95">
      <formula>kvartal &lt; 4</formula>
    </cfRule>
  </conditionalFormatting>
  <conditionalFormatting sqref="B83">
    <cfRule type="expression" dxfId="980" priority="94">
      <formula>kvartal &lt; 4</formula>
    </cfRule>
  </conditionalFormatting>
  <conditionalFormatting sqref="C83">
    <cfRule type="expression" dxfId="979" priority="93">
      <formula>kvartal &lt; 4</formula>
    </cfRule>
  </conditionalFormatting>
  <conditionalFormatting sqref="B90">
    <cfRule type="expression" dxfId="978" priority="84">
      <formula>kvartal &lt; 4</formula>
    </cfRule>
  </conditionalFormatting>
  <conditionalFormatting sqref="C90">
    <cfRule type="expression" dxfId="977" priority="83">
      <formula>kvartal &lt; 4</formula>
    </cfRule>
  </conditionalFormatting>
  <conditionalFormatting sqref="B93">
    <cfRule type="expression" dxfId="976" priority="82">
      <formula>kvartal &lt; 4</formula>
    </cfRule>
  </conditionalFormatting>
  <conditionalFormatting sqref="C93">
    <cfRule type="expression" dxfId="975" priority="81">
      <formula>kvartal &lt; 4</formula>
    </cfRule>
  </conditionalFormatting>
  <conditionalFormatting sqref="B101">
    <cfRule type="expression" dxfId="974" priority="80">
      <formula>kvartal &lt; 4</formula>
    </cfRule>
  </conditionalFormatting>
  <conditionalFormatting sqref="C101">
    <cfRule type="expression" dxfId="973" priority="79">
      <formula>kvartal &lt; 4</formula>
    </cfRule>
  </conditionalFormatting>
  <conditionalFormatting sqref="B104">
    <cfRule type="expression" dxfId="972" priority="78">
      <formula>kvartal &lt; 4</formula>
    </cfRule>
  </conditionalFormatting>
  <conditionalFormatting sqref="C104">
    <cfRule type="expression" dxfId="971" priority="77">
      <formula>kvartal &lt; 4</formula>
    </cfRule>
  </conditionalFormatting>
  <conditionalFormatting sqref="B115">
    <cfRule type="expression" dxfId="970" priority="76">
      <formula>kvartal &lt; 4</formula>
    </cfRule>
  </conditionalFormatting>
  <conditionalFormatting sqref="C115">
    <cfRule type="expression" dxfId="969" priority="75">
      <formula>kvartal &lt; 4</formula>
    </cfRule>
  </conditionalFormatting>
  <conditionalFormatting sqref="B123">
    <cfRule type="expression" dxfId="968" priority="74">
      <formula>kvartal &lt; 4</formula>
    </cfRule>
  </conditionalFormatting>
  <conditionalFormatting sqref="C123">
    <cfRule type="expression" dxfId="967" priority="73">
      <formula>kvartal &lt; 4</formula>
    </cfRule>
  </conditionalFormatting>
  <conditionalFormatting sqref="F70">
    <cfRule type="expression" dxfId="966" priority="72">
      <formula>kvartal &lt; 4</formula>
    </cfRule>
  </conditionalFormatting>
  <conditionalFormatting sqref="G70">
    <cfRule type="expression" dxfId="965" priority="71">
      <formula>kvartal &lt; 4</formula>
    </cfRule>
  </conditionalFormatting>
  <conditionalFormatting sqref="F71:G71">
    <cfRule type="expression" dxfId="964" priority="70">
      <formula>kvartal &lt; 4</formula>
    </cfRule>
  </conditionalFormatting>
  <conditionalFormatting sqref="F73:G74">
    <cfRule type="expression" dxfId="963" priority="69">
      <formula>kvartal &lt; 4</formula>
    </cfRule>
  </conditionalFormatting>
  <conditionalFormatting sqref="F81:G82">
    <cfRule type="expression" dxfId="962" priority="68">
      <formula>kvartal &lt; 4</formula>
    </cfRule>
  </conditionalFormatting>
  <conditionalFormatting sqref="F84:G85">
    <cfRule type="expression" dxfId="961" priority="67">
      <formula>kvartal &lt; 4</formula>
    </cfRule>
  </conditionalFormatting>
  <conditionalFormatting sqref="F91:G92">
    <cfRule type="expression" dxfId="960" priority="62">
      <formula>kvartal &lt; 4</formula>
    </cfRule>
  </conditionalFormatting>
  <conditionalFormatting sqref="F94:G95">
    <cfRule type="expression" dxfId="959" priority="61">
      <formula>kvartal &lt; 4</formula>
    </cfRule>
  </conditionalFormatting>
  <conditionalFormatting sqref="F102:G103">
    <cfRule type="expression" dxfId="958" priority="60">
      <formula>kvartal &lt; 4</formula>
    </cfRule>
  </conditionalFormatting>
  <conditionalFormatting sqref="F105:G106">
    <cfRule type="expression" dxfId="957" priority="59">
      <formula>kvartal &lt; 4</formula>
    </cfRule>
  </conditionalFormatting>
  <conditionalFormatting sqref="F115">
    <cfRule type="expression" dxfId="956" priority="58">
      <formula>kvartal &lt; 4</formula>
    </cfRule>
  </conditionalFormatting>
  <conditionalFormatting sqref="G115">
    <cfRule type="expression" dxfId="955" priority="57">
      <formula>kvartal &lt; 4</formula>
    </cfRule>
  </conditionalFormatting>
  <conditionalFormatting sqref="F123:G123">
    <cfRule type="expression" dxfId="954" priority="56">
      <formula>kvartal &lt; 4</formula>
    </cfRule>
  </conditionalFormatting>
  <conditionalFormatting sqref="F69:G69">
    <cfRule type="expression" dxfId="953" priority="55">
      <formula>kvartal &lt; 4</formula>
    </cfRule>
  </conditionalFormatting>
  <conditionalFormatting sqref="F72:G72">
    <cfRule type="expression" dxfId="952" priority="54">
      <formula>kvartal &lt; 4</formula>
    </cfRule>
  </conditionalFormatting>
  <conditionalFormatting sqref="F80:G80">
    <cfRule type="expression" dxfId="951" priority="53">
      <formula>kvartal &lt; 4</formula>
    </cfRule>
  </conditionalFormatting>
  <conditionalFormatting sqref="F83:G83">
    <cfRule type="expression" dxfId="950" priority="52">
      <formula>kvartal &lt; 4</formula>
    </cfRule>
  </conditionalFormatting>
  <conditionalFormatting sqref="F90:G90">
    <cfRule type="expression" dxfId="949" priority="46">
      <formula>kvartal &lt; 4</formula>
    </cfRule>
  </conditionalFormatting>
  <conditionalFormatting sqref="F93">
    <cfRule type="expression" dxfId="948" priority="45">
      <formula>kvartal &lt; 4</formula>
    </cfRule>
  </conditionalFormatting>
  <conditionalFormatting sqref="G93">
    <cfRule type="expression" dxfId="947" priority="44">
      <formula>kvartal &lt; 4</formula>
    </cfRule>
  </conditionalFormatting>
  <conditionalFormatting sqref="F101">
    <cfRule type="expression" dxfId="946" priority="43">
      <formula>kvartal &lt; 4</formula>
    </cfRule>
  </conditionalFormatting>
  <conditionalFormatting sqref="G101">
    <cfRule type="expression" dxfId="945" priority="42">
      <formula>kvartal &lt; 4</formula>
    </cfRule>
  </conditionalFormatting>
  <conditionalFormatting sqref="G104">
    <cfRule type="expression" dxfId="944" priority="41">
      <formula>kvartal &lt; 4</formula>
    </cfRule>
  </conditionalFormatting>
  <conditionalFormatting sqref="F104">
    <cfRule type="expression" dxfId="943" priority="40">
      <formula>kvartal &lt; 4</formula>
    </cfRule>
  </conditionalFormatting>
  <conditionalFormatting sqref="J69:K73">
    <cfRule type="expression" dxfId="942" priority="39">
      <formula>kvartal &lt; 4</formula>
    </cfRule>
  </conditionalFormatting>
  <conditionalFormatting sqref="J74:K74">
    <cfRule type="expression" dxfId="941" priority="38">
      <formula>kvartal &lt; 4</formula>
    </cfRule>
  </conditionalFormatting>
  <conditionalFormatting sqref="J80:K85">
    <cfRule type="expression" dxfId="940" priority="37">
      <formula>kvartal &lt; 4</formula>
    </cfRule>
  </conditionalFormatting>
  <conditionalFormatting sqref="J90:K95">
    <cfRule type="expression" dxfId="939" priority="34">
      <formula>kvartal &lt; 4</formula>
    </cfRule>
  </conditionalFormatting>
  <conditionalFormatting sqref="J101:K106">
    <cfRule type="expression" dxfId="938" priority="33">
      <formula>kvartal &lt; 4</formula>
    </cfRule>
  </conditionalFormatting>
  <conditionalFormatting sqref="J115:K115">
    <cfRule type="expression" dxfId="937" priority="32">
      <formula>kvartal &lt; 4</formula>
    </cfRule>
  </conditionalFormatting>
  <conditionalFormatting sqref="J123:K123">
    <cfRule type="expression" dxfId="936" priority="31">
      <formula>kvartal &lt; 4</formula>
    </cfRule>
  </conditionalFormatting>
  <conditionalFormatting sqref="A50:A52">
    <cfRule type="expression" dxfId="935" priority="12">
      <formula>kvartal &lt; 4</formula>
    </cfRule>
  </conditionalFormatting>
  <conditionalFormatting sqref="A69:A74">
    <cfRule type="expression" dxfId="934" priority="10">
      <formula>kvartal &lt; 4</formula>
    </cfRule>
  </conditionalFormatting>
  <conditionalFormatting sqref="A80:A85">
    <cfRule type="expression" dxfId="933" priority="9">
      <formula>kvartal &lt; 4</formula>
    </cfRule>
  </conditionalFormatting>
  <conditionalFormatting sqref="A90:A95">
    <cfRule type="expression" dxfId="932" priority="6">
      <formula>kvartal &lt; 4</formula>
    </cfRule>
  </conditionalFormatting>
  <conditionalFormatting sqref="A101:A106">
    <cfRule type="expression" dxfId="931" priority="5">
      <formula>kvartal &lt; 4</formula>
    </cfRule>
  </conditionalFormatting>
  <conditionalFormatting sqref="A115">
    <cfRule type="expression" dxfId="930" priority="4">
      <formula>kvartal &lt; 4</formula>
    </cfRule>
  </conditionalFormatting>
  <conditionalFormatting sqref="A123">
    <cfRule type="expression" dxfId="929" priority="3">
      <formula>kvartal &lt; 4</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93</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c r="G7" s="306"/>
      <c r="H7" s="350"/>
      <c r="I7" s="160"/>
      <c r="J7" s="307"/>
      <c r="K7" s="308"/>
      <c r="L7" s="374"/>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374"/>
      <c r="E47" s="11"/>
      <c r="F47" s="145"/>
      <c r="G47" s="33"/>
      <c r="H47" s="159"/>
      <c r="I47" s="159"/>
      <c r="J47" s="37"/>
      <c r="K47" s="37"/>
      <c r="L47" s="159"/>
      <c r="M47" s="159"/>
      <c r="N47" s="148"/>
    </row>
    <row r="48" spans="1:14" s="3" customFormat="1" ht="15.75" x14ac:dyDescent="0.2">
      <c r="A48" s="38" t="s">
        <v>379</v>
      </c>
      <c r="B48" s="280"/>
      <c r="C48" s="281"/>
      <c r="D48" s="253"/>
      <c r="E48" s="27"/>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v>66367</v>
      </c>
      <c r="C66" s="353">
        <v>74207</v>
      </c>
      <c r="D66" s="350">
        <f t="shared" ref="D66:D111" si="0">IF(B66=0, "    ---- ", IF(ABS(ROUND(100/B66*C66-100,1))&lt;999,ROUND(100/B66*C66-100,1),IF(ROUND(100/B66*C66-100,1)&gt;999,999,-999)))</f>
        <v>11.8</v>
      </c>
      <c r="E66" s="11">
        <f>IFERROR(100/'Skjema total MA'!C66*C66,0)</f>
        <v>1.0435551180341016</v>
      </c>
      <c r="F66" s="352">
        <v>315306</v>
      </c>
      <c r="G66" s="352">
        <v>401210</v>
      </c>
      <c r="H66" s="350">
        <f t="shared" ref="H66:H111" si="1">IF(F66=0, "    ---- ", IF(ABS(ROUND(100/F66*G66-100,1))&lt;999,ROUND(100/F66*G66-100,1),IF(ROUND(100/F66*G66-100,1)&gt;999,999,-999)))</f>
        <v>27.2</v>
      </c>
      <c r="I66" s="11">
        <f>IFERROR(100/'Skjema total MA'!F66*G66,0)</f>
        <v>1.6867000110716073</v>
      </c>
      <c r="J66" s="308">
        <f t="shared" ref="J66:K79" si="2">SUM(B66,F66)</f>
        <v>381673</v>
      </c>
      <c r="K66" s="315">
        <f t="shared" si="2"/>
        <v>475417</v>
      </c>
      <c r="L66" s="375">
        <f t="shared" ref="L66:L111" si="3">IF(J66=0, "    ---- ", IF(ABS(ROUND(100/J66*K66-100,1))&lt;999,ROUND(100/J66*K66-100,1),IF(ROUND(100/J66*K66-100,1)&gt;999,999,-999)))</f>
        <v>24.6</v>
      </c>
      <c r="M66" s="11">
        <f>IFERROR(100/'Skjema total MA'!I66*K66,0)</f>
        <v>1.538682650000057</v>
      </c>
    </row>
    <row r="67" spans="1:14" x14ac:dyDescent="0.2">
      <c r="A67" s="368" t="s">
        <v>9</v>
      </c>
      <c r="B67" s="44">
        <v>66367</v>
      </c>
      <c r="C67" s="145">
        <v>74207</v>
      </c>
      <c r="D67" s="166">
        <f t="shared" si="0"/>
        <v>11.8</v>
      </c>
      <c r="E67" s="27">
        <f>IFERROR(100/'Skjema total MA'!C67*C67,0)</f>
        <v>1.3651876389450459</v>
      </c>
      <c r="F67" s="233"/>
      <c r="G67" s="145"/>
      <c r="H67" s="166"/>
      <c r="I67" s="27"/>
      <c r="J67" s="286">
        <f t="shared" si="2"/>
        <v>66367</v>
      </c>
      <c r="K67" s="44">
        <f t="shared" si="2"/>
        <v>74207</v>
      </c>
      <c r="L67" s="253">
        <f t="shared" si="3"/>
        <v>11.8</v>
      </c>
      <c r="M67" s="27">
        <f>IFERROR(100/'Skjema total MA'!I67*K67,0)</f>
        <v>1.3651876389450459</v>
      </c>
    </row>
    <row r="68" spans="1:14" x14ac:dyDescent="0.2">
      <c r="A68" s="21" t="s">
        <v>10</v>
      </c>
      <c r="B68" s="291"/>
      <c r="C68" s="292"/>
      <c r="D68" s="166"/>
      <c r="E68" s="27"/>
      <c r="F68" s="291">
        <v>315306</v>
      </c>
      <c r="G68" s="292">
        <v>401210</v>
      </c>
      <c r="H68" s="166">
        <f t="shared" si="1"/>
        <v>27.2</v>
      </c>
      <c r="I68" s="27">
        <f>IFERROR(100/'Skjema total MA'!F68*G68,0)</f>
        <v>1.7094203874147225</v>
      </c>
      <c r="J68" s="286">
        <f t="shared" si="2"/>
        <v>315306</v>
      </c>
      <c r="K68" s="44">
        <f t="shared" si="2"/>
        <v>401210</v>
      </c>
      <c r="L68" s="253">
        <f t="shared" si="3"/>
        <v>27.2</v>
      </c>
      <c r="M68" s="27">
        <f>IFERROR(100/'Skjema total MA'!I68*K68,0)</f>
        <v>1.6999545080998364</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v>66367</v>
      </c>
      <c r="C77" s="233">
        <v>74207</v>
      </c>
      <c r="D77" s="166">
        <f t="shared" si="0"/>
        <v>11.8</v>
      </c>
      <c r="E77" s="27">
        <f>IFERROR(100/'Skjema total MA'!C77*C77,0)</f>
        <v>1.3538090335148225</v>
      </c>
      <c r="F77" s="233">
        <v>315306</v>
      </c>
      <c r="G77" s="145">
        <v>401210</v>
      </c>
      <c r="H77" s="166">
        <f t="shared" si="1"/>
        <v>27.2</v>
      </c>
      <c r="I77" s="27">
        <f>IFERROR(100/'Skjema total MA'!F77*G77,0)</f>
        <v>1.7101458919851038</v>
      </c>
      <c r="J77" s="286">
        <f t="shared" si="2"/>
        <v>381673</v>
      </c>
      <c r="K77" s="44">
        <f t="shared" si="2"/>
        <v>475417</v>
      </c>
      <c r="L77" s="253">
        <f t="shared" si="3"/>
        <v>24.6</v>
      </c>
      <c r="M77" s="27">
        <f>IFERROR(100/'Skjema total MA'!I77*K77,0)</f>
        <v>1.6426587766709759</v>
      </c>
    </row>
    <row r="78" spans="1:14" x14ac:dyDescent="0.2">
      <c r="A78" s="21" t="s">
        <v>9</v>
      </c>
      <c r="B78" s="233">
        <v>66367</v>
      </c>
      <c r="C78" s="145">
        <v>74207</v>
      </c>
      <c r="D78" s="166">
        <f t="shared" si="0"/>
        <v>11.8</v>
      </c>
      <c r="E78" s="27">
        <f>IFERROR(100/'Skjema total MA'!C78*C78,0)</f>
        <v>1.386085304685734</v>
      </c>
      <c r="F78" s="233"/>
      <c r="G78" s="145"/>
      <c r="H78" s="166"/>
      <c r="I78" s="27"/>
      <c r="J78" s="286">
        <f t="shared" si="2"/>
        <v>66367</v>
      </c>
      <c r="K78" s="44">
        <f t="shared" si="2"/>
        <v>74207</v>
      </c>
      <c r="L78" s="253">
        <f t="shared" si="3"/>
        <v>11.8</v>
      </c>
      <c r="M78" s="27">
        <f>IFERROR(100/'Skjema total MA'!I78*K78,0)</f>
        <v>1.386085304685734</v>
      </c>
    </row>
    <row r="79" spans="1:14" x14ac:dyDescent="0.2">
      <c r="A79" s="21" t="s">
        <v>10</v>
      </c>
      <c r="B79" s="291"/>
      <c r="C79" s="292"/>
      <c r="D79" s="166"/>
      <c r="E79" s="27"/>
      <c r="F79" s="291">
        <v>315306</v>
      </c>
      <c r="G79" s="292">
        <v>401210</v>
      </c>
      <c r="H79" s="166">
        <f t="shared" si="1"/>
        <v>27.2</v>
      </c>
      <c r="I79" s="27">
        <f>IFERROR(100/'Skjema total MA'!F79*G79,0)</f>
        <v>1.7101458919851038</v>
      </c>
      <c r="J79" s="286">
        <f t="shared" si="2"/>
        <v>315306</v>
      </c>
      <c r="K79" s="44">
        <f t="shared" si="2"/>
        <v>401210</v>
      </c>
      <c r="L79" s="253">
        <f t="shared" si="3"/>
        <v>27.2</v>
      </c>
      <c r="M79" s="27">
        <f>IFERROR(100/'Skjema total MA'!I79*K79,0)</f>
        <v>1.7008921146893654</v>
      </c>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v>1682836</v>
      </c>
      <c r="C87" s="353">
        <v>1726673</v>
      </c>
      <c r="D87" s="171">
        <f t="shared" si="0"/>
        <v>2.6</v>
      </c>
      <c r="E87" s="11">
        <f>IFERROR(100/'Skjema total MA'!C87*C87,0)</f>
        <v>0.44240643820751302</v>
      </c>
      <c r="F87" s="352">
        <v>3400155</v>
      </c>
      <c r="G87" s="352">
        <v>4520776</v>
      </c>
      <c r="H87" s="171">
        <f t="shared" si="1"/>
        <v>33</v>
      </c>
      <c r="I87" s="11">
        <f>IFERROR(100/'Skjema total MA'!F87*G87,0)</f>
        <v>1.535064833822618</v>
      </c>
      <c r="J87" s="308">
        <f t="shared" ref="J87:K111" si="4">SUM(B87,F87)</f>
        <v>5082991</v>
      </c>
      <c r="K87" s="235">
        <f t="shared" si="4"/>
        <v>6247449</v>
      </c>
      <c r="L87" s="375">
        <f t="shared" si="3"/>
        <v>22.9</v>
      </c>
      <c r="M87" s="11">
        <f>IFERROR(100/'Skjema total MA'!I87*K87,0)</f>
        <v>0.91231368573886806</v>
      </c>
    </row>
    <row r="88" spans="1:13" x14ac:dyDescent="0.2">
      <c r="A88" s="21" t="s">
        <v>9</v>
      </c>
      <c r="B88" s="233">
        <v>1682836</v>
      </c>
      <c r="C88" s="145">
        <v>1726673</v>
      </c>
      <c r="D88" s="166">
        <f t="shared" si="0"/>
        <v>2.6</v>
      </c>
      <c r="E88" s="27">
        <f>IFERROR(100/'Skjema total MA'!C88*C88,0)</f>
        <v>0.45338850634597744</v>
      </c>
      <c r="F88" s="233"/>
      <c r="G88" s="145"/>
      <c r="H88" s="166"/>
      <c r="I88" s="27"/>
      <c r="J88" s="286">
        <f t="shared" si="4"/>
        <v>1682836</v>
      </c>
      <c r="K88" s="44">
        <f t="shared" si="4"/>
        <v>1726673</v>
      </c>
      <c r="L88" s="253">
        <f t="shared" si="3"/>
        <v>2.6</v>
      </c>
      <c r="M88" s="27">
        <f>IFERROR(100/'Skjema total MA'!I88*K88,0)</f>
        <v>0.45338850634597744</v>
      </c>
    </row>
    <row r="89" spans="1:13" x14ac:dyDescent="0.2">
      <c r="A89" s="21" t="s">
        <v>10</v>
      </c>
      <c r="B89" s="233"/>
      <c r="C89" s="145"/>
      <c r="D89" s="166"/>
      <c r="E89" s="27"/>
      <c r="F89" s="233">
        <v>3400155</v>
      </c>
      <c r="G89" s="145">
        <v>4520776</v>
      </c>
      <c r="H89" s="166">
        <f t="shared" si="1"/>
        <v>33</v>
      </c>
      <c r="I89" s="27">
        <f>IFERROR(100/'Skjema total MA'!F89*G89,0)</f>
        <v>1.5423742766931652</v>
      </c>
      <c r="J89" s="286">
        <f t="shared" si="4"/>
        <v>3400155</v>
      </c>
      <c r="K89" s="44">
        <f t="shared" si="4"/>
        <v>4520776</v>
      </c>
      <c r="L89" s="253">
        <f t="shared" si="3"/>
        <v>33</v>
      </c>
      <c r="M89" s="27">
        <f>IFERROR(100/'Skjema total MA'!I89*K89,0)</f>
        <v>1.526575477551902</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v>1682836</v>
      </c>
      <c r="C98" s="233">
        <v>1726673</v>
      </c>
      <c r="D98" s="166">
        <f t="shared" si="0"/>
        <v>2.6</v>
      </c>
      <c r="E98" s="27">
        <f>IFERROR(100/'Skjema total MA'!C98*C98,0)</f>
        <v>0.45542412305590074</v>
      </c>
      <c r="F98" s="291">
        <v>3400155</v>
      </c>
      <c r="G98" s="291">
        <v>4520776</v>
      </c>
      <c r="H98" s="166">
        <f t="shared" si="1"/>
        <v>33</v>
      </c>
      <c r="I98" s="27">
        <f>IFERROR(100/'Skjema total MA'!F98*G98,0)</f>
        <v>1.546647545034417</v>
      </c>
      <c r="J98" s="286">
        <f t="shared" si="4"/>
        <v>5082991</v>
      </c>
      <c r="K98" s="44">
        <f t="shared" si="4"/>
        <v>6247449</v>
      </c>
      <c r="L98" s="253">
        <f t="shared" si="3"/>
        <v>22.9</v>
      </c>
      <c r="M98" s="27">
        <f>IFERROR(100/'Skjema total MA'!I98*K98,0)</f>
        <v>0.93046869018245604</v>
      </c>
    </row>
    <row r="99" spans="1:13" x14ac:dyDescent="0.2">
      <c r="A99" s="21" t="s">
        <v>9</v>
      </c>
      <c r="B99" s="291">
        <v>1682836</v>
      </c>
      <c r="C99" s="292">
        <v>1726673</v>
      </c>
      <c r="D99" s="166">
        <f t="shared" si="0"/>
        <v>2.6</v>
      </c>
      <c r="E99" s="27">
        <f>IFERROR(100/'Skjema total MA'!C99*C99,0)</f>
        <v>0.45909728152278689</v>
      </c>
      <c r="F99" s="233"/>
      <c r="G99" s="145"/>
      <c r="H99" s="166"/>
      <c r="I99" s="27"/>
      <c r="J99" s="286">
        <f t="shared" si="4"/>
        <v>1682836</v>
      </c>
      <c r="K99" s="44">
        <f t="shared" si="4"/>
        <v>1726673</v>
      </c>
      <c r="L99" s="253">
        <f t="shared" si="3"/>
        <v>2.6</v>
      </c>
      <c r="M99" s="27">
        <f>IFERROR(100/'Skjema total MA'!I99*K99,0)</f>
        <v>0.45909728152278689</v>
      </c>
    </row>
    <row r="100" spans="1:13" x14ac:dyDescent="0.2">
      <c r="A100" s="21" t="s">
        <v>10</v>
      </c>
      <c r="B100" s="291"/>
      <c r="C100" s="292"/>
      <c r="D100" s="166"/>
      <c r="E100" s="27"/>
      <c r="F100" s="233">
        <v>3400155</v>
      </c>
      <c r="G100" s="233">
        <v>4520776</v>
      </c>
      <c r="H100" s="166">
        <f t="shared" si="1"/>
        <v>33</v>
      </c>
      <c r="I100" s="27">
        <f>IFERROR(100/'Skjema total MA'!F100*G100,0)</f>
        <v>1.546647545034417</v>
      </c>
      <c r="J100" s="286">
        <f t="shared" si="4"/>
        <v>3400155</v>
      </c>
      <c r="K100" s="44">
        <f t="shared" si="4"/>
        <v>4520776</v>
      </c>
      <c r="L100" s="253">
        <f t="shared" si="3"/>
        <v>33</v>
      </c>
      <c r="M100" s="27">
        <f>IFERROR(100/'Skjema total MA'!I100*K100,0)</f>
        <v>1.5307615318442593</v>
      </c>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v>998536</v>
      </c>
      <c r="C108" s="233">
        <v>1029107</v>
      </c>
      <c r="D108" s="166">
        <f t="shared" si="0"/>
        <v>3.1</v>
      </c>
      <c r="E108" s="27">
        <f>IFERROR(100/'Skjema total MA'!C108*C108,0)</f>
        <v>0.32561245434427533</v>
      </c>
      <c r="F108" s="233"/>
      <c r="G108" s="233"/>
      <c r="H108" s="166"/>
      <c r="I108" s="27"/>
      <c r="J108" s="286">
        <f t="shared" si="4"/>
        <v>998536</v>
      </c>
      <c r="K108" s="44">
        <f t="shared" si="4"/>
        <v>1029107</v>
      </c>
      <c r="L108" s="253">
        <f t="shared" si="3"/>
        <v>3.1</v>
      </c>
      <c r="M108" s="27">
        <f>IFERROR(100/'Skjema total MA'!I108*K108,0)</f>
        <v>0.30945732915130614</v>
      </c>
    </row>
    <row r="109" spans="1:13" ht="15.75" x14ac:dyDescent="0.2">
      <c r="A109" s="21" t="s">
        <v>388</v>
      </c>
      <c r="B109" s="233"/>
      <c r="C109" s="233"/>
      <c r="D109" s="166"/>
      <c r="E109" s="27"/>
      <c r="F109" s="233">
        <v>1454503</v>
      </c>
      <c r="G109" s="233">
        <v>1966773</v>
      </c>
      <c r="H109" s="166">
        <f t="shared" si="1"/>
        <v>35.200000000000003</v>
      </c>
      <c r="I109" s="27">
        <f>IFERROR(100/'Skjema total MA'!F109*G109,0)</f>
        <v>1.9675185187236259</v>
      </c>
      <c r="J109" s="286">
        <f t="shared" si="4"/>
        <v>1454503</v>
      </c>
      <c r="K109" s="44">
        <f t="shared" si="4"/>
        <v>1966773</v>
      </c>
      <c r="L109" s="253">
        <f t="shared" si="3"/>
        <v>35.200000000000003</v>
      </c>
      <c r="M109" s="27">
        <f>IFERROR(100/'Skjema total MA'!I109*K109,0)</f>
        <v>1.9484442209237265</v>
      </c>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v>3248</v>
      </c>
      <c r="C111" s="159">
        <v>2283</v>
      </c>
      <c r="D111" s="171">
        <f t="shared" si="0"/>
        <v>-29.7</v>
      </c>
      <c r="E111" s="11">
        <f>IFERROR(100/'Skjema total MA'!C111*C111,0)</f>
        <v>0.60231014720957599</v>
      </c>
      <c r="F111" s="307">
        <v>347120</v>
      </c>
      <c r="G111" s="159">
        <v>392318</v>
      </c>
      <c r="H111" s="171">
        <f t="shared" si="1"/>
        <v>13</v>
      </c>
      <c r="I111" s="11">
        <f>IFERROR(100/'Skjema total MA'!F111*G111,0)</f>
        <v>3.5548845871640524</v>
      </c>
      <c r="J111" s="308">
        <f t="shared" si="4"/>
        <v>350368</v>
      </c>
      <c r="K111" s="235">
        <f t="shared" si="4"/>
        <v>394601</v>
      </c>
      <c r="L111" s="375">
        <f t="shared" si="3"/>
        <v>12.6</v>
      </c>
      <c r="M111" s="11">
        <f>IFERROR(100/'Skjema total MA'!I111*K111,0)</f>
        <v>3.456843498710398</v>
      </c>
    </row>
    <row r="112" spans="1:13" x14ac:dyDescent="0.2">
      <c r="A112" s="21" t="s">
        <v>9</v>
      </c>
      <c r="B112" s="233">
        <v>3248</v>
      </c>
      <c r="C112" s="145">
        <v>2283</v>
      </c>
      <c r="D112" s="166">
        <f t="shared" ref="D112:D120" si="5">IF(B112=0, "    ---- ", IF(ABS(ROUND(100/B112*C112-100,1))&lt;999,ROUND(100/B112*C112-100,1),IF(ROUND(100/B112*C112-100,1)&gt;999,999,-999)))</f>
        <v>-29.7</v>
      </c>
      <c r="E112" s="27">
        <f>IFERROR(100/'Skjema total MA'!C112*C112,0)</f>
        <v>0.75469052106455359</v>
      </c>
      <c r="F112" s="233"/>
      <c r="G112" s="145"/>
      <c r="H112" s="166"/>
      <c r="I112" s="27"/>
      <c r="J112" s="286">
        <f t="shared" ref="J112:K125" si="6">SUM(B112,F112)</f>
        <v>3248</v>
      </c>
      <c r="K112" s="44">
        <f t="shared" si="6"/>
        <v>2283</v>
      </c>
      <c r="L112" s="253">
        <f t="shared" ref="L112:L125" si="7">IF(J112=0, "    ---- ", IF(ABS(ROUND(100/J112*K112-100,1))&lt;999,ROUND(100/J112*K112-100,1),IF(ROUND(100/J112*K112-100,1)&gt;999,999,-999)))</f>
        <v>-29.7</v>
      </c>
      <c r="M112" s="27">
        <f>IFERROR(100/'Skjema total MA'!I112*K112,0)</f>
        <v>0.74032245138560193</v>
      </c>
    </row>
    <row r="113" spans="1:14" x14ac:dyDescent="0.2">
      <c r="A113" s="21" t="s">
        <v>10</v>
      </c>
      <c r="B113" s="233"/>
      <c r="C113" s="145"/>
      <c r="D113" s="166"/>
      <c r="E113" s="27"/>
      <c r="F113" s="233">
        <v>347120</v>
      </c>
      <c r="G113" s="145">
        <v>392318</v>
      </c>
      <c r="H113" s="166">
        <f t="shared" ref="H113:H125" si="8">IF(F113=0, "    ---- ", IF(ABS(ROUND(100/F113*G113-100,1))&lt;999,ROUND(100/F113*G113-100,1),IF(ROUND(100/F113*G113-100,1)&gt;999,999,-999)))</f>
        <v>13</v>
      </c>
      <c r="I113" s="27">
        <f>IFERROR(100/'Skjema total MA'!F113*G113,0)</f>
        <v>3.5667641827133174</v>
      </c>
      <c r="J113" s="286">
        <f t="shared" si="6"/>
        <v>347120</v>
      </c>
      <c r="K113" s="44">
        <f t="shared" si="6"/>
        <v>392318</v>
      </c>
      <c r="L113" s="253">
        <f t="shared" si="7"/>
        <v>13</v>
      </c>
      <c r="M113" s="27">
        <f>IFERROR(100/'Skjema total MA'!I113*K113,0)</f>
        <v>3.5663126613166951</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v>214503</v>
      </c>
      <c r="G117" s="233">
        <v>255877</v>
      </c>
      <c r="H117" s="166">
        <f t="shared" si="8"/>
        <v>19.3</v>
      </c>
      <c r="I117" s="27">
        <f>IFERROR(100/'Skjema total MA'!F117*G117,0)</f>
        <v>11.918663862929687</v>
      </c>
      <c r="J117" s="286">
        <f t="shared" si="6"/>
        <v>214503</v>
      </c>
      <c r="K117" s="44">
        <f t="shared" si="6"/>
        <v>255877</v>
      </c>
      <c r="L117" s="253">
        <f t="shared" si="7"/>
        <v>19.3</v>
      </c>
      <c r="M117" s="27">
        <f>IFERROR(100/'Skjema total MA'!I117*K117,0)</f>
        <v>11.918663862929687</v>
      </c>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v>1059</v>
      </c>
      <c r="C119" s="159">
        <v>1512</v>
      </c>
      <c r="D119" s="171">
        <f t="shared" si="5"/>
        <v>42.8</v>
      </c>
      <c r="E119" s="11">
        <f>IFERROR(100/'Skjema total MA'!C119*C119,0)</f>
        <v>0.38932706308022053</v>
      </c>
      <c r="F119" s="307">
        <v>63046</v>
      </c>
      <c r="G119" s="159">
        <v>90294</v>
      </c>
      <c r="H119" s="171">
        <f t="shared" si="8"/>
        <v>43.2</v>
      </c>
      <c r="I119" s="11">
        <f>IFERROR(100/'Skjema total MA'!F119*G119,0)</f>
        <v>0.81618100737188071</v>
      </c>
      <c r="J119" s="308">
        <f t="shared" si="6"/>
        <v>64105</v>
      </c>
      <c r="K119" s="235">
        <f t="shared" si="6"/>
        <v>91806</v>
      </c>
      <c r="L119" s="375">
        <f t="shared" si="7"/>
        <v>43.2</v>
      </c>
      <c r="M119" s="11">
        <f>IFERROR(100/'Skjema total MA'!I119*K119,0)</f>
        <v>0.80170463239911949</v>
      </c>
    </row>
    <row r="120" spans="1:14" x14ac:dyDescent="0.2">
      <c r="A120" s="21" t="s">
        <v>9</v>
      </c>
      <c r="B120" s="233">
        <v>1059</v>
      </c>
      <c r="C120" s="145">
        <v>1512</v>
      </c>
      <c r="D120" s="166">
        <f t="shared" si="5"/>
        <v>42.8</v>
      </c>
      <c r="E120" s="27">
        <f>IFERROR(100/'Skjema total MA'!C120*C120,0)</f>
        <v>0.72119978256645101</v>
      </c>
      <c r="F120" s="233"/>
      <c r="G120" s="145"/>
      <c r="H120" s="166"/>
      <c r="I120" s="27"/>
      <c r="J120" s="286">
        <f t="shared" si="6"/>
        <v>1059</v>
      </c>
      <c r="K120" s="44">
        <f t="shared" si="6"/>
        <v>1512</v>
      </c>
      <c r="L120" s="253">
        <f t="shared" si="7"/>
        <v>42.8</v>
      </c>
      <c r="M120" s="27">
        <f>IFERROR(100/'Skjema total MA'!I120*K120,0)</f>
        <v>0.72119978256645101</v>
      </c>
    </row>
    <row r="121" spans="1:14" x14ac:dyDescent="0.2">
      <c r="A121" s="21" t="s">
        <v>10</v>
      </c>
      <c r="B121" s="233"/>
      <c r="C121" s="145"/>
      <c r="D121" s="166"/>
      <c r="E121" s="27"/>
      <c r="F121" s="233">
        <v>63046</v>
      </c>
      <c r="G121" s="145">
        <v>90294</v>
      </c>
      <c r="H121" s="166">
        <f t="shared" si="8"/>
        <v>43.2</v>
      </c>
      <c r="I121" s="27">
        <f>IFERROR(100/'Skjema total MA'!F121*G121,0)</f>
        <v>0.81618100737188071</v>
      </c>
      <c r="J121" s="286">
        <f t="shared" si="6"/>
        <v>63046</v>
      </c>
      <c r="K121" s="44">
        <f t="shared" si="6"/>
        <v>90294</v>
      </c>
      <c r="L121" s="253">
        <f t="shared" si="7"/>
        <v>43.2</v>
      </c>
      <c r="M121" s="27">
        <f>IFERROR(100/'Skjema total MA'!I121*K121,0)</f>
        <v>0.81362052410312602</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v>22638</v>
      </c>
      <c r="G125" s="233">
        <v>26049</v>
      </c>
      <c r="H125" s="166">
        <f t="shared" si="8"/>
        <v>15.1</v>
      </c>
      <c r="I125" s="27">
        <f>IFERROR(100/'Skjema total MA'!F125*G125,0)</f>
        <v>1.1561070178758091</v>
      </c>
      <c r="J125" s="286">
        <f t="shared" si="6"/>
        <v>22638</v>
      </c>
      <c r="K125" s="44">
        <f t="shared" si="6"/>
        <v>26049</v>
      </c>
      <c r="L125" s="253">
        <f t="shared" si="7"/>
        <v>15.1</v>
      </c>
      <c r="M125" s="27">
        <f>IFERROR(100/'Skjema total MA'!I125*K125,0)</f>
        <v>1.1547676341267266</v>
      </c>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28" priority="132">
      <formula>kvartal &lt; 4</formula>
    </cfRule>
  </conditionalFormatting>
  <conditionalFormatting sqref="B69">
    <cfRule type="expression" dxfId="927" priority="100">
      <formula>kvartal &lt; 4</formula>
    </cfRule>
  </conditionalFormatting>
  <conditionalFormatting sqref="C69">
    <cfRule type="expression" dxfId="926" priority="99">
      <formula>kvartal &lt; 4</formula>
    </cfRule>
  </conditionalFormatting>
  <conditionalFormatting sqref="B72">
    <cfRule type="expression" dxfId="925" priority="98">
      <formula>kvartal &lt; 4</formula>
    </cfRule>
  </conditionalFormatting>
  <conditionalFormatting sqref="C72">
    <cfRule type="expression" dxfId="924" priority="97">
      <formula>kvartal &lt; 4</formula>
    </cfRule>
  </conditionalFormatting>
  <conditionalFormatting sqref="B80">
    <cfRule type="expression" dxfId="923" priority="96">
      <formula>kvartal &lt; 4</formula>
    </cfRule>
  </conditionalFormatting>
  <conditionalFormatting sqref="C80">
    <cfRule type="expression" dxfId="922" priority="95">
      <formula>kvartal &lt; 4</formula>
    </cfRule>
  </conditionalFormatting>
  <conditionalFormatting sqref="B83">
    <cfRule type="expression" dxfId="921" priority="94">
      <formula>kvartal &lt; 4</formula>
    </cfRule>
  </conditionalFormatting>
  <conditionalFormatting sqref="C83">
    <cfRule type="expression" dxfId="920" priority="93">
      <formula>kvartal &lt; 4</formula>
    </cfRule>
  </conditionalFormatting>
  <conditionalFormatting sqref="B90">
    <cfRule type="expression" dxfId="919" priority="84">
      <formula>kvartal &lt; 4</formula>
    </cfRule>
  </conditionalFormatting>
  <conditionalFormatting sqref="C90">
    <cfRule type="expression" dxfId="918" priority="83">
      <formula>kvartal &lt; 4</formula>
    </cfRule>
  </conditionalFormatting>
  <conditionalFormatting sqref="B93">
    <cfRule type="expression" dxfId="917" priority="82">
      <formula>kvartal &lt; 4</formula>
    </cfRule>
  </conditionalFormatting>
  <conditionalFormatting sqref="C93">
    <cfRule type="expression" dxfId="916" priority="81">
      <formula>kvartal &lt; 4</formula>
    </cfRule>
  </conditionalFormatting>
  <conditionalFormatting sqref="B101">
    <cfRule type="expression" dxfId="915" priority="80">
      <formula>kvartal &lt; 4</formula>
    </cfRule>
  </conditionalFormatting>
  <conditionalFormatting sqref="C101">
    <cfRule type="expression" dxfId="914" priority="79">
      <formula>kvartal &lt; 4</formula>
    </cfRule>
  </conditionalFormatting>
  <conditionalFormatting sqref="B104">
    <cfRule type="expression" dxfId="913" priority="78">
      <formula>kvartal &lt; 4</formula>
    </cfRule>
  </conditionalFormatting>
  <conditionalFormatting sqref="C104">
    <cfRule type="expression" dxfId="912" priority="77">
      <formula>kvartal &lt; 4</formula>
    </cfRule>
  </conditionalFormatting>
  <conditionalFormatting sqref="B115">
    <cfRule type="expression" dxfId="911" priority="76">
      <formula>kvartal &lt; 4</formula>
    </cfRule>
  </conditionalFormatting>
  <conditionalFormatting sqref="C115">
    <cfRule type="expression" dxfId="910" priority="75">
      <formula>kvartal &lt; 4</formula>
    </cfRule>
  </conditionalFormatting>
  <conditionalFormatting sqref="B123">
    <cfRule type="expression" dxfId="909" priority="74">
      <formula>kvartal &lt; 4</formula>
    </cfRule>
  </conditionalFormatting>
  <conditionalFormatting sqref="C123">
    <cfRule type="expression" dxfId="908" priority="73">
      <formula>kvartal &lt; 4</formula>
    </cfRule>
  </conditionalFormatting>
  <conditionalFormatting sqref="F70">
    <cfRule type="expression" dxfId="907" priority="72">
      <formula>kvartal &lt; 4</formula>
    </cfRule>
  </conditionalFormatting>
  <conditionalFormatting sqref="G70">
    <cfRule type="expression" dxfId="906" priority="71">
      <formula>kvartal &lt; 4</formula>
    </cfRule>
  </conditionalFormatting>
  <conditionalFormatting sqref="F71:G71">
    <cfRule type="expression" dxfId="905" priority="70">
      <formula>kvartal &lt; 4</formula>
    </cfRule>
  </conditionalFormatting>
  <conditionalFormatting sqref="F73:G74">
    <cfRule type="expression" dxfId="904" priority="69">
      <formula>kvartal &lt; 4</formula>
    </cfRule>
  </conditionalFormatting>
  <conditionalFormatting sqref="F81:G82">
    <cfRule type="expression" dxfId="903" priority="68">
      <formula>kvartal &lt; 4</formula>
    </cfRule>
  </conditionalFormatting>
  <conditionalFormatting sqref="F84:G85">
    <cfRule type="expression" dxfId="902" priority="67">
      <formula>kvartal &lt; 4</formula>
    </cfRule>
  </conditionalFormatting>
  <conditionalFormatting sqref="F91:G92">
    <cfRule type="expression" dxfId="901" priority="62">
      <formula>kvartal &lt; 4</formula>
    </cfRule>
  </conditionalFormatting>
  <conditionalFormatting sqref="F94:G95">
    <cfRule type="expression" dxfId="900" priority="61">
      <formula>kvartal &lt; 4</formula>
    </cfRule>
  </conditionalFormatting>
  <conditionalFormatting sqref="F102:G103">
    <cfRule type="expression" dxfId="899" priority="60">
      <formula>kvartal &lt; 4</formula>
    </cfRule>
  </conditionalFormatting>
  <conditionalFormatting sqref="F105:G106">
    <cfRule type="expression" dxfId="898" priority="59">
      <formula>kvartal &lt; 4</formula>
    </cfRule>
  </conditionalFormatting>
  <conditionalFormatting sqref="F115">
    <cfRule type="expression" dxfId="897" priority="58">
      <formula>kvartal &lt; 4</formula>
    </cfRule>
  </conditionalFormatting>
  <conditionalFormatting sqref="G115">
    <cfRule type="expression" dxfId="896" priority="57">
      <formula>kvartal &lt; 4</formula>
    </cfRule>
  </conditionalFormatting>
  <conditionalFormatting sqref="F123:G123">
    <cfRule type="expression" dxfId="895" priority="56">
      <formula>kvartal &lt; 4</formula>
    </cfRule>
  </conditionalFormatting>
  <conditionalFormatting sqref="F69:G69">
    <cfRule type="expression" dxfId="894" priority="55">
      <formula>kvartal &lt; 4</formula>
    </cfRule>
  </conditionalFormatting>
  <conditionalFormatting sqref="F72:G72">
    <cfRule type="expression" dxfId="893" priority="54">
      <formula>kvartal &lt; 4</formula>
    </cfRule>
  </conditionalFormatting>
  <conditionalFormatting sqref="F80:G80">
    <cfRule type="expression" dxfId="892" priority="53">
      <formula>kvartal &lt; 4</formula>
    </cfRule>
  </conditionalFormatting>
  <conditionalFormatting sqref="F83:G83">
    <cfRule type="expression" dxfId="891" priority="52">
      <formula>kvartal &lt; 4</formula>
    </cfRule>
  </conditionalFormatting>
  <conditionalFormatting sqref="F90:G90">
    <cfRule type="expression" dxfId="890" priority="46">
      <formula>kvartal &lt; 4</formula>
    </cfRule>
  </conditionalFormatting>
  <conditionalFormatting sqref="F93">
    <cfRule type="expression" dxfId="889" priority="45">
      <formula>kvartal &lt; 4</formula>
    </cfRule>
  </conditionalFormatting>
  <conditionalFormatting sqref="G93">
    <cfRule type="expression" dxfId="888" priority="44">
      <formula>kvartal &lt; 4</formula>
    </cfRule>
  </conditionalFormatting>
  <conditionalFormatting sqref="F101">
    <cfRule type="expression" dxfId="887" priority="43">
      <formula>kvartal &lt; 4</formula>
    </cfRule>
  </conditionalFormatting>
  <conditionalFormatting sqref="G101">
    <cfRule type="expression" dxfId="886" priority="42">
      <formula>kvartal &lt; 4</formula>
    </cfRule>
  </conditionalFormatting>
  <conditionalFormatting sqref="G104">
    <cfRule type="expression" dxfId="885" priority="41">
      <formula>kvartal &lt; 4</formula>
    </cfRule>
  </conditionalFormatting>
  <conditionalFormatting sqref="F104">
    <cfRule type="expression" dxfId="884" priority="40">
      <formula>kvartal &lt; 4</formula>
    </cfRule>
  </conditionalFormatting>
  <conditionalFormatting sqref="J69:K73">
    <cfRule type="expression" dxfId="883" priority="39">
      <formula>kvartal &lt; 4</formula>
    </cfRule>
  </conditionalFormatting>
  <conditionalFormatting sqref="J74:K74">
    <cfRule type="expression" dxfId="882" priority="38">
      <formula>kvartal &lt; 4</formula>
    </cfRule>
  </conditionalFormatting>
  <conditionalFormatting sqref="J80:K85">
    <cfRule type="expression" dxfId="881" priority="37">
      <formula>kvartal &lt; 4</formula>
    </cfRule>
  </conditionalFormatting>
  <conditionalFormatting sqref="J90:K95">
    <cfRule type="expression" dxfId="880" priority="34">
      <formula>kvartal &lt; 4</formula>
    </cfRule>
  </conditionalFormatting>
  <conditionalFormatting sqref="J101:K106">
    <cfRule type="expression" dxfId="879" priority="33">
      <formula>kvartal &lt; 4</formula>
    </cfRule>
  </conditionalFormatting>
  <conditionalFormatting sqref="J115:K115">
    <cfRule type="expression" dxfId="878" priority="32">
      <formula>kvartal &lt; 4</formula>
    </cfRule>
  </conditionalFormatting>
  <conditionalFormatting sqref="J123:K123">
    <cfRule type="expression" dxfId="877" priority="31">
      <formula>kvartal &lt; 4</formula>
    </cfRule>
  </conditionalFormatting>
  <conditionalFormatting sqref="A50:A52">
    <cfRule type="expression" dxfId="876" priority="12">
      <formula>kvartal &lt; 4</formula>
    </cfRule>
  </conditionalFormatting>
  <conditionalFormatting sqref="A69:A74">
    <cfRule type="expression" dxfId="875" priority="10">
      <formula>kvartal &lt; 4</formula>
    </cfRule>
  </conditionalFormatting>
  <conditionalFormatting sqref="A80:A85">
    <cfRule type="expression" dxfId="874" priority="9">
      <formula>kvartal &lt; 4</formula>
    </cfRule>
  </conditionalFormatting>
  <conditionalFormatting sqref="A90:A95">
    <cfRule type="expression" dxfId="873" priority="6">
      <formula>kvartal &lt; 4</formula>
    </cfRule>
  </conditionalFormatting>
  <conditionalFormatting sqref="A101:A106">
    <cfRule type="expression" dxfId="872" priority="5">
      <formula>kvartal &lt; 4</formula>
    </cfRule>
  </conditionalFormatting>
  <conditionalFormatting sqref="A115">
    <cfRule type="expression" dxfId="871" priority="4">
      <formula>kvartal &lt; 4</formula>
    </cfRule>
  </conditionalFormatting>
  <conditionalFormatting sqref="A123">
    <cfRule type="expression" dxfId="870"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election activeCell="D1" sqref="D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136</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4285.84</v>
      </c>
      <c r="C7" s="306">
        <v>7477.2839999999997</v>
      </c>
      <c r="D7" s="350">
        <f>IF(B7=0, "    ---- ", IF(ABS(ROUND(100/B7*C7-100,1))&lt;999,ROUND(100/B7*C7-100,1),IF(ROUND(100/B7*C7-100,1)&gt;999,999,-999)))</f>
        <v>74.5</v>
      </c>
      <c r="E7" s="11">
        <f>IFERROR(100/'Skjema total MA'!C7*C7,0)</f>
        <v>0.20496152385801419</v>
      </c>
      <c r="F7" s="305"/>
      <c r="G7" s="306"/>
      <c r="H7" s="350"/>
      <c r="I7" s="160"/>
      <c r="J7" s="307">
        <f t="shared" ref="J7:K10" si="0">SUM(B7,F7)</f>
        <v>4285.84</v>
      </c>
      <c r="K7" s="308">
        <f t="shared" si="0"/>
        <v>7477.2839999999997</v>
      </c>
      <c r="L7" s="374">
        <f>IF(J7=0, "    ---- ", IF(ABS(ROUND(100/J7*K7-100,1))&lt;999,ROUND(100/J7*K7-100,1),IF(ROUND(100/J7*K7-100,1)&gt;999,999,-999)))</f>
        <v>74.5</v>
      </c>
      <c r="M7" s="11">
        <f>IFERROR(100/'Skjema total MA'!I7*K7,0)</f>
        <v>6.9144802627964588E-2</v>
      </c>
    </row>
    <row r="8" spans="1:14" ht="15.75" x14ac:dyDescent="0.2">
      <c r="A8" s="21" t="s">
        <v>25</v>
      </c>
      <c r="B8" s="280">
        <v>4005.0349999999999</v>
      </c>
      <c r="C8" s="281">
        <v>7064.3280000000004</v>
      </c>
      <c r="D8" s="166">
        <f t="shared" ref="D8:D10" si="1">IF(B8=0, "    ---- ", IF(ABS(ROUND(100/B8*C8-100,1))&lt;999,ROUND(100/B8*C8-100,1),IF(ROUND(100/B8*C8-100,1)&gt;999,999,-999)))</f>
        <v>76.400000000000006</v>
      </c>
      <c r="E8" s="27">
        <f>IFERROR(100/'Skjema total MA'!C8*C8,0)</f>
        <v>0.32265182272235315</v>
      </c>
      <c r="F8" s="284"/>
      <c r="G8" s="285"/>
      <c r="H8" s="166"/>
      <c r="I8" s="175"/>
      <c r="J8" s="233">
        <f t="shared" si="0"/>
        <v>4005.0349999999999</v>
      </c>
      <c r="K8" s="286">
        <f t="shared" si="0"/>
        <v>7064.3280000000004</v>
      </c>
      <c r="L8" s="166">
        <f t="shared" ref="L8:L9" si="2">IF(J8=0, "    ---- ", IF(ABS(ROUND(100/J8*K8-100,1))&lt;999,ROUND(100/J8*K8-100,1),IF(ROUND(100/J8*K8-100,1)&gt;999,999,-999)))</f>
        <v>76.400000000000006</v>
      </c>
      <c r="M8" s="27">
        <f>IFERROR(100/'Skjema total MA'!I8*K8,0)</f>
        <v>0.32265182272235315</v>
      </c>
    </row>
    <row r="9" spans="1:14" ht="15.75" x14ac:dyDescent="0.2">
      <c r="A9" s="21" t="s">
        <v>24</v>
      </c>
      <c r="B9" s="280">
        <v>280.80500000000001</v>
      </c>
      <c r="C9" s="281">
        <v>412.95600000000002</v>
      </c>
      <c r="D9" s="166">
        <f t="shared" si="1"/>
        <v>47.1</v>
      </c>
      <c r="E9" s="27">
        <f>IFERROR(100/'Skjema total MA'!C9*C9,0)</f>
        <v>5.2644839226627285E-2</v>
      </c>
      <c r="F9" s="284"/>
      <c r="G9" s="285"/>
      <c r="H9" s="166"/>
      <c r="I9" s="175"/>
      <c r="J9" s="233">
        <f t="shared" si="0"/>
        <v>280.80500000000001</v>
      </c>
      <c r="K9" s="286">
        <f t="shared" si="0"/>
        <v>412.95600000000002</v>
      </c>
      <c r="L9" s="166">
        <f t="shared" si="2"/>
        <v>47.1</v>
      </c>
      <c r="M9" s="27">
        <f>IFERROR(100/'Skjema total MA'!I9*K9,0)</f>
        <v>5.2644839226627285E-2</v>
      </c>
    </row>
    <row r="10" spans="1:14" ht="15.75" x14ac:dyDescent="0.2">
      <c r="A10" s="13" t="s">
        <v>368</v>
      </c>
      <c r="B10" s="309">
        <v>5373.8119999999999</v>
      </c>
      <c r="C10" s="310">
        <v>12078.223</v>
      </c>
      <c r="D10" s="171">
        <f t="shared" si="1"/>
        <v>124.8</v>
      </c>
      <c r="E10" s="11">
        <f>IFERROR(100/'Skjema total MA'!C10*C10,0)</f>
        <v>6.2553133457916438E-2</v>
      </c>
      <c r="F10" s="309"/>
      <c r="G10" s="310"/>
      <c r="H10" s="171"/>
      <c r="I10" s="160"/>
      <c r="J10" s="307">
        <f t="shared" si="0"/>
        <v>5373.8119999999999</v>
      </c>
      <c r="K10" s="308">
        <f t="shared" si="0"/>
        <v>12078.223</v>
      </c>
      <c r="L10" s="375">
        <f t="shared" ref="L10" si="3">IF(J10=0, "    ---- ", IF(ABS(ROUND(100/J10*K10-100,1))&lt;999,ROUND(100/J10*K10-100,1),IF(ROUND(100/J10*K10-100,1)&gt;999,999,-999)))</f>
        <v>124.8</v>
      </c>
      <c r="M10" s="11">
        <f>IFERROR(100/'Skjema total MA'!I10*K10,0)</f>
        <v>1.7619104441582253E-2</v>
      </c>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5163</v>
      </c>
      <c r="C22" s="309">
        <v>8372.5519999999997</v>
      </c>
      <c r="D22" s="350">
        <f t="shared" ref="D22:D29" si="4">IF(B22=0, "    ---- ", IF(ABS(ROUND(100/B22*C22-100,1))&lt;999,ROUND(100/B22*C22-100,1),IF(ROUND(100/B22*C22-100,1)&gt;999,999,-999)))</f>
        <v>62.2</v>
      </c>
      <c r="E22" s="11">
        <f>IFERROR(100/'Skjema total MA'!C22*C22,0)</f>
        <v>0.6143784970583368</v>
      </c>
      <c r="F22" s="317"/>
      <c r="G22" s="317"/>
      <c r="H22" s="350"/>
      <c r="I22" s="11"/>
      <c r="J22" s="315">
        <f t="shared" ref="J22:K29" si="5">SUM(B22,F22)</f>
        <v>5163</v>
      </c>
      <c r="K22" s="315">
        <f t="shared" si="5"/>
        <v>8372.5519999999997</v>
      </c>
      <c r="L22" s="374">
        <f t="shared" ref="L22:L29" si="6">IF(J22=0, "    ---- ", IF(ABS(ROUND(100/J22*K22-100,1))&lt;999,ROUND(100/J22*K22-100,1),IF(ROUND(100/J22*K22-100,1)&gt;999,999,-999)))</f>
        <v>62.2</v>
      </c>
      <c r="M22" s="24">
        <f>IFERROR(100/'Skjema total MA'!I22*K22,0)</f>
        <v>0.38734200947474584</v>
      </c>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5162.5940000000001</v>
      </c>
      <c r="C28" s="286">
        <v>8372.5519999999997</v>
      </c>
      <c r="D28" s="166">
        <f t="shared" si="4"/>
        <v>62.2</v>
      </c>
      <c r="E28" s="11">
        <f>IFERROR(100/'Skjema total MA'!C28*C28,0)</f>
        <v>0.57576586630142124</v>
      </c>
      <c r="F28" s="233"/>
      <c r="G28" s="286"/>
      <c r="H28" s="166"/>
      <c r="I28" s="27"/>
      <c r="J28" s="44">
        <f t="shared" si="5"/>
        <v>5162.5940000000001</v>
      </c>
      <c r="K28" s="44">
        <f t="shared" si="5"/>
        <v>8372.5519999999997</v>
      </c>
      <c r="L28" s="253">
        <f t="shared" si="6"/>
        <v>62.2</v>
      </c>
      <c r="M28" s="23">
        <f>IFERROR(100/'Skjema total MA'!I28*K28,0)</f>
        <v>0.57576586630142124</v>
      </c>
    </row>
    <row r="29" spans="1:14" s="3" customFormat="1" ht="15.75" x14ac:dyDescent="0.2">
      <c r="A29" s="13" t="s">
        <v>368</v>
      </c>
      <c r="B29" s="235">
        <v>11834.034</v>
      </c>
      <c r="C29" s="235">
        <v>22401.952000000001</v>
      </c>
      <c r="D29" s="171">
        <f t="shared" si="4"/>
        <v>89.3</v>
      </c>
      <c r="E29" s="11">
        <f>IFERROR(100/'Skjema total MA'!C29*C29,0)</f>
        <v>4.7702042814238989E-2</v>
      </c>
      <c r="F29" s="307"/>
      <c r="G29" s="307"/>
      <c r="H29" s="171"/>
      <c r="I29" s="11"/>
      <c r="J29" s="235">
        <f t="shared" si="5"/>
        <v>11834.034</v>
      </c>
      <c r="K29" s="235">
        <f t="shared" si="5"/>
        <v>22401.952000000001</v>
      </c>
      <c r="L29" s="375">
        <f t="shared" si="6"/>
        <v>89.3</v>
      </c>
      <c r="M29" s="24">
        <f>IFERROR(100/'Skjema total MA'!I29*K29,0)</f>
        <v>3.2819047585202828E-2</v>
      </c>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116997.143</v>
      </c>
      <c r="C47" s="310">
        <v>147892.70300000001</v>
      </c>
      <c r="D47" s="374">
        <f t="shared" ref="D47:D48" si="7">IF(B47=0, "    ---- ", IF(ABS(ROUND(100/B47*C47-100,1))&lt;999,ROUND(100/B47*C47-100,1),IF(ROUND(100/B47*C47-100,1)&gt;999,999,-999)))</f>
        <v>26.4</v>
      </c>
      <c r="E47" s="11">
        <f>IFERROR(100/'Skjema total MA'!C47*C47,0)</f>
        <v>3.8651751362861706</v>
      </c>
      <c r="F47" s="145"/>
      <c r="G47" s="33"/>
      <c r="H47" s="159"/>
      <c r="I47" s="159"/>
      <c r="J47" s="37"/>
      <c r="K47" s="37"/>
      <c r="L47" s="159"/>
      <c r="M47" s="159"/>
      <c r="N47" s="148"/>
    </row>
    <row r="48" spans="1:14" s="3" customFormat="1" ht="15.75" x14ac:dyDescent="0.2">
      <c r="A48" s="38" t="s">
        <v>379</v>
      </c>
      <c r="B48" s="280">
        <v>116997.143</v>
      </c>
      <c r="C48" s="281">
        <v>147892.70300000001</v>
      </c>
      <c r="D48" s="253">
        <f t="shared" si="7"/>
        <v>26.4</v>
      </c>
      <c r="E48" s="27">
        <f>IFERROR(100/'Skjema total MA'!C48*C48,0)</f>
        <v>6.8281461587028547</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69" priority="132">
      <formula>kvartal &lt; 4</formula>
    </cfRule>
  </conditionalFormatting>
  <conditionalFormatting sqref="B69">
    <cfRule type="expression" dxfId="868" priority="100">
      <formula>kvartal &lt; 4</formula>
    </cfRule>
  </conditionalFormatting>
  <conditionalFormatting sqref="C69">
    <cfRule type="expression" dxfId="867" priority="99">
      <formula>kvartal &lt; 4</formula>
    </cfRule>
  </conditionalFormatting>
  <conditionalFormatting sqref="B72">
    <cfRule type="expression" dxfId="866" priority="98">
      <formula>kvartal &lt; 4</formula>
    </cfRule>
  </conditionalFormatting>
  <conditionalFormatting sqref="C72">
    <cfRule type="expression" dxfId="865" priority="97">
      <formula>kvartal &lt; 4</formula>
    </cfRule>
  </conditionalFormatting>
  <conditionalFormatting sqref="B80">
    <cfRule type="expression" dxfId="864" priority="96">
      <formula>kvartal &lt; 4</formula>
    </cfRule>
  </conditionalFormatting>
  <conditionalFormatting sqref="C80">
    <cfRule type="expression" dxfId="863" priority="95">
      <formula>kvartal &lt; 4</formula>
    </cfRule>
  </conditionalFormatting>
  <conditionalFormatting sqref="B83">
    <cfRule type="expression" dxfId="862" priority="94">
      <formula>kvartal &lt; 4</formula>
    </cfRule>
  </conditionalFormatting>
  <conditionalFormatting sqref="C83">
    <cfRule type="expression" dxfId="861" priority="93">
      <formula>kvartal &lt; 4</formula>
    </cfRule>
  </conditionalFormatting>
  <conditionalFormatting sqref="B90">
    <cfRule type="expression" dxfId="860" priority="84">
      <formula>kvartal &lt; 4</formula>
    </cfRule>
  </conditionalFormatting>
  <conditionalFormatting sqref="C90">
    <cfRule type="expression" dxfId="859" priority="83">
      <formula>kvartal &lt; 4</formula>
    </cfRule>
  </conditionalFormatting>
  <conditionalFormatting sqref="B93">
    <cfRule type="expression" dxfId="858" priority="82">
      <formula>kvartal &lt; 4</formula>
    </cfRule>
  </conditionalFormatting>
  <conditionalFormatting sqref="C93">
    <cfRule type="expression" dxfId="857" priority="81">
      <formula>kvartal &lt; 4</formula>
    </cfRule>
  </conditionalFormatting>
  <conditionalFormatting sqref="B101">
    <cfRule type="expression" dxfId="856" priority="80">
      <formula>kvartal &lt; 4</formula>
    </cfRule>
  </conditionalFormatting>
  <conditionalFormatting sqref="C101">
    <cfRule type="expression" dxfId="855" priority="79">
      <formula>kvartal &lt; 4</formula>
    </cfRule>
  </conditionalFormatting>
  <conditionalFormatting sqref="B104">
    <cfRule type="expression" dxfId="854" priority="78">
      <formula>kvartal &lt; 4</formula>
    </cfRule>
  </conditionalFormatting>
  <conditionalFormatting sqref="C104">
    <cfRule type="expression" dxfId="853" priority="77">
      <formula>kvartal &lt; 4</formula>
    </cfRule>
  </conditionalFormatting>
  <conditionalFormatting sqref="B115">
    <cfRule type="expression" dxfId="852" priority="76">
      <formula>kvartal &lt; 4</formula>
    </cfRule>
  </conditionalFormatting>
  <conditionalFormatting sqref="C115">
    <cfRule type="expression" dxfId="851" priority="75">
      <formula>kvartal &lt; 4</formula>
    </cfRule>
  </conditionalFormatting>
  <conditionalFormatting sqref="B123">
    <cfRule type="expression" dxfId="850" priority="74">
      <formula>kvartal &lt; 4</formula>
    </cfRule>
  </conditionalFormatting>
  <conditionalFormatting sqref="C123">
    <cfRule type="expression" dxfId="849" priority="73">
      <formula>kvartal &lt; 4</formula>
    </cfRule>
  </conditionalFormatting>
  <conditionalFormatting sqref="F70">
    <cfRule type="expression" dxfId="848" priority="72">
      <formula>kvartal &lt; 4</formula>
    </cfRule>
  </conditionalFormatting>
  <conditionalFormatting sqref="G70">
    <cfRule type="expression" dxfId="847" priority="71">
      <formula>kvartal &lt; 4</formula>
    </cfRule>
  </conditionalFormatting>
  <conditionalFormatting sqref="F71:G71">
    <cfRule type="expression" dxfId="846" priority="70">
      <formula>kvartal &lt; 4</formula>
    </cfRule>
  </conditionalFormatting>
  <conditionalFormatting sqref="F73:G74">
    <cfRule type="expression" dxfId="845" priority="69">
      <formula>kvartal &lt; 4</formula>
    </cfRule>
  </conditionalFormatting>
  <conditionalFormatting sqref="F81:G82">
    <cfRule type="expression" dxfId="844" priority="68">
      <formula>kvartal &lt; 4</formula>
    </cfRule>
  </conditionalFormatting>
  <conditionalFormatting sqref="F84:G85">
    <cfRule type="expression" dxfId="843" priority="67">
      <formula>kvartal &lt; 4</formula>
    </cfRule>
  </conditionalFormatting>
  <conditionalFormatting sqref="F91:G92">
    <cfRule type="expression" dxfId="842" priority="62">
      <formula>kvartal &lt; 4</formula>
    </cfRule>
  </conditionalFormatting>
  <conditionalFormatting sqref="F94:G95">
    <cfRule type="expression" dxfId="841" priority="61">
      <formula>kvartal &lt; 4</formula>
    </cfRule>
  </conditionalFormatting>
  <conditionalFormatting sqref="F102:G103">
    <cfRule type="expression" dxfId="840" priority="60">
      <formula>kvartal &lt; 4</formula>
    </cfRule>
  </conditionalFormatting>
  <conditionalFormatting sqref="F105:G106">
    <cfRule type="expression" dxfId="839" priority="59">
      <formula>kvartal &lt; 4</formula>
    </cfRule>
  </conditionalFormatting>
  <conditionalFormatting sqref="F115">
    <cfRule type="expression" dxfId="838" priority="58">
      <formula>kvartal &lt; 4</formula>
    </cfRule>
  </conditionalFormatting>
  <conditionalFormatting sqref="G115">
    <cfRule type="expression" dxfId="837" priority="57">
      <formula>kvartal &lt; 4</formula>
    </cfRule>
  </conditionalFormatting>
  <conditionalFormatting sqref="F123:G123">
    <cfRule type="expression" dxfId="836" priority="56">
      <formula>kvartal &lt; 4</formula>
    </cfRule>
  </conditionalFormatting>
  <conditionalFormatting sqref="F69:G69">
    <cfRule type="expression" dxfId="835" priority="55">
      <formula>kvartal &lt; 4</formula>
    </cfRule>
  </conditionalFormatting>
  <conditionalFormatting sqref="F72:G72">
    <cfRule type="expression" dxfId="834" priority="54">
      <formula>kvartal &lt; 4</formula>
    </cfRule>
  </conditionalFormatting>
  <conditionalFormatting sqref="F80:G80">
    <cfRule type="expression" dxfId="833" priority="53">
      <formula>kvartal &lt; 4</formula>
    </cfRule>
  </conditionalFormatting>
  <conditionalFormatting sqref="F83:G83">
    <cfRule type="expression" dxfId="832" priority="52">
      <formula>kvartal &lt; 4</formula>
    </cfRule>
  </conditionalFormatting>
  <conditionalFormatting sqref="F90:G90">
    <cfRule type="expression" dxfId="831" priority="46">
      <formula>kvartal &lt; 4</formula>
    </cfRule>
  </conditionalFormatting>
  <conditionalFormatting sqref="F93">
    <cfRule type="expression" dxfId="830" priority="45">
      <formula>kvartal &lt; 4</formula>
    </cfRule>
  </conditionalFormatting>
  <conditionalFormatting sqref="G93">
    <cfRule type="expression" dxfId="829" priority="44">
      <formula>kvartal &lt; 4</formula>
    </cfRule>
  </conditionalFormatting>
  <conditionalFormatting sqref="F101">
    <cfRule type="expression" dxfId="828" priority="43">
      <formula>kvartal &lt; 4</formula>
    </cfRule>
  </conditionalFormatting>
  <conditionalFormatting sqref="G101">
    <cfRule type="expression" dxfId="827" priority="42">
      <formula>kvartal &lt; 4</formula>
    </cfRule>
  </conditionalFormatting>
  <conditionalFormatting sqref="G104">
    <cfRule type="expression" dxfId="826" priority="41">
      <formula>kvartal &lt; 4</formula>
    </cfRule>
  </conditionalFormatting>
  <conditionalFormatting sqref="F104">
    <cfRule type="expression" dxfId="825" priority="40">
      <formula>kvartal &lt; 4</formula>
    </cfRule>
  </conditionalFormatting>
  <conditionalFormatting sqref="J69:K73">
    <cfRule type="expression" dxfId="824" priority="39">
      <formula>kvartal &lt; 4</formula>
    </cfRule>
  </conditionalFormatting>
  <conditionalFormatting sqref="J74:K74">
    <cfRule type="expression" dxfId="823" priority="38">
      <formula>kvartal &lt; 4</formula>
    </cfRule>
  </conditionalFormatting>
  <conditionalFormatting sqref="J80:K85">
    <cfRule type="expression" dxfId="822" priority="37">
      <formula>kvartal &lt; 4</formula>
    </cfRule>
  </conditionalFormatting>
  <conditionalFormatting sqref="J90:K95">
    <cfRule type="expression" dxfId="821" priority="34">
      <formula>kvartal &lt; 4</formula>
    </cfRule>
  </conditionalFormatting>
  <conditionalFormatting sqref="J101:K106">
    <cfRule type="expression" dxfId="820" priority="33">
      <formula>kvartal &lt; 4</formula>
    </cfRule>
  </conditionalFormatting>
  <conditionalFormatting sqref="J115:K115">
    <cfRule type="expression" dxfId="819" priority="32">
      <formula>kvartal &lt; 4</formula>
    </cfRule>
  </conditionalFormatting>
  <conditionalFormatting sqref="J123:K123">
    <cfRule type="expression" dxfId="818" priority="31">
      <formula>kvartal &lt; 4</formula>
    </cfRule>
  </conditionalFormatting>
  <conditionalFormatting sqref="A50:A52">
    <cfRule type="expression" dxfId="817" priority="12">
      <formula>kvartal &lt; 4</formula>
    </cfRule>
  </conditionalFormatting>
  <conditionalFormatting sqref="A69:A74">
    <cfRule type="expression" dxfId="816" priority="10">
      <formula>kvartal &lt; 4</formula>
    </cfRule>
  </conditionalFormatting>
  <conditionalFormatting sqref="A80:A85">
    <cfRule type="expression" dxfId="815" priority="9">
      <formula>kvartal &lt; 4</formula>
    </cfRule>
  </conditionalFormatting>
  <conditionalFormatting sqref="A90:A95">
    <cfRule type="expression" dxfId="814" priority="6">
      <formula>kvartal &lt; 4</formula>
    </cfRule>
  </conditionalFormatting>
  <conditionalFormatting sqref="A101:A106">
    <cfRule type="expression" dxfId="813" priority="5">
      <formula>kvartal &lt; 4</formula>
    </cfRule>
  </conditionalFormatting>
  <conditionalFormatting sqref="A115">
    <cfRule type="expression" dxfId="812" priority="4">
      <formula>kvartal &lt; 4</formula>
    </cfRule>
  </conditionalFormatting>
  <conditionalFormatting sqref="A123">
    <cfRule type="expression" dxfId="811" priority="3">
      <formula>kvartal &lt; 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E20" sqref="E20"/>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4"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3"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344</v>
      </c>
      <c r="C18" s="70" t="s">
        <v>345</v>
      </c>
      <c r="D18" s="69"/>
      <c r="E18" s="69"/>
      <c r="F18" s="69"/>
      <c r="G18" s="69"/>
      <c r="H18" s="69"/>
      <c r="I18" s="69"/>
      <c r="J18" s="69"/>
      <c r="K18" s="69"/>
      <c r="L18" s="69"/>
      <c r="M18" s="69"/>
      <c r="N18" s="69"/>
    </row>
    <row r="19" spans="1:14" ht="20.100000000000001" customHeight="1" x14ac:dyDescent="0.35">
      <c r="A19" s="70"/>
      <c r="B19" s="70" t="s">
        <v>346</v>
      </c>
      <c r="C19" s="70" t="s">
        <v>274</v>
      </c>
      <c r="D19" s="69"/>
      <c r="E19" s="69"/>
      <c r="F19" s="69"/>
      <c r="G19" s="69"/>
      <c r="H19" s="69"/>
      <c r="I19" s="69"/>
      <c r="J19" s="69"/>
      <c r="K19" s="69"/>
      <c r="L19" s="69"/>
      <c r="M19" s="69"/>
      <c r="N19" s="69"/>
    </row>
    <row r="20" spans="1:14" s="348" customFormat="1" ht="20.100000000000001" customHeight="1" x14ac:dyDescent="0.35">
      <c r="A20" s="346"/>
      <c r="B20" s="346" t="s">
        <v>348</v>
      </c>
      <c r="C20" s="346" t="s">
        <v>347</v>
      </c>
      <c r="D20" s="347"/>
      <c r="E20" s="347"/>
      <c r="F20" s="347"/>
      <c r="G20" s="347"/>
      <c r="H20" s="347"/>
      <c r="I20" s="347"/>
      <c r="J20" s="347"/>
      <c r="K20" s="347"/>
      <c r="L20" s="347"/>
      <c r="M20" s="347"/>
      <c r="N20" s="347"/>
    </row>
    <row r="21" spans="1:14" ht="20.100000000000001" customHeight="1" x14ac:dyDescent="0.35">
      <c r="A21" s="70"/>
      <c r="B21" s="70"/>
      <c r="C21" s="70"/>
    </row>
    <row r="22" spans="1:14" ht="18.75" customHeight="1" x14ac:dyDescent="0.35">
      <c r="A22" s="70"/>
      <c r="B22" s="346" t="s">
        <v>258</v>
      </c>
      <c r="C22" s="346"/>
    </row>
    <row r="23" spans="1:14" ht="20.100000000000001" customHeight="1" x14ac:dyDescent="0.35">
      <c r="A23" s="70"/>
      <c r="B23" s="349" t="s">
        <v>259</v>
      </c>
      <c r="C23" s="346" t="s">
        <v>260</v>
      </c>
    </row>
    <row r="24" spans="1:14" ht="20.100000000000001" hidden="1" customHeight="1" x14ac:dyDescent="0.35">
      <c r="A24" s="70"/>
      <c r="B24" s="349" t="s">
        <v>261</v>
      </c>
      <c r="C24" s="346" t="s">
        <v>262</v>
      </c>
    </row>
    <row r="25" spans="1:14" ht="20.100000000000001" hidden="1" customHeight="1" x14ac:dyDescent="0.35">
      <c r="A25" s="70"/>
      <c r="B25" s="349" t="s">
        <v>263</v>
      </c>
      <c r="C25" s="346" t="s">
        <v>264</v>
      </c>
    </row>
    <row r="26" spans="1:14" ht="20.100000000000001" hidden="1" customHeight="1" x14ac:dyDescent="0.35">
      <c r="A26" s="70"/>
      <c r="B26" s="349" t="s">
        <v>265</v>
      </c>
      <c r="C26" s="346" t="s">
        <v>266</v>
      </c>
    </row>
    <row r="27" spans="1:14" ht="20.100000000000001" customHeight="1" x14ac:dyDescent="0.35">
      <c r="A27" s="70"/>
      <c r="B27" s="349" t="s">
        <v>175</v>
      </c>
      <c r="C27" s="346" t="s">
        <v>267</v>
      </c>
    </row>
    <row r="28" spans="1:14" ht="20.100000000000001" hidden="1" customHeight="1" x14ac:dyDescent="0.35">
      <c r="A28" s="70"/>
      <c r="B28" s="343" t="s">
        <v>268</v>
      </c>
      <c r="C28" s="272" t="s">
        <v>269</v>
      </c>
    </row>
    <row r="29" spans="1:14" ht="20.100000000000001" hidden="1" customHeight="1" x14ac:dyDescent="0.35">
      <c r="A29" s="70"/>
      <c r="B29" s="343" t="s">
        <v>270</v>
      </c>
      <c r="C29" s="272" t="s">
        <v>271</v>
      </c>
    </row>
    <row r="30" spans="1:14" ht="18.75" customHeight="1" x14ac:dyDescent="0.35">
      <c r="A30" s="70"/>
      <c r="B30" s="349" t="s">
        <v>272</v>
      </c>
      <c r="C30" s="346" t="s">
        <v>273</v>
      </c>
    </row>
    <row r="31" spans="1:14" ht="18.75" customHeight="1" x14ac:dyDescent="0.35">
      <c r="A31" s="70"/>
      <c r="B31" s="349"/>
      <c r="C31" s="346"/>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4"/>
      <c r="D36" s="345"/>
    </row>
    <row r="37" spans="1:14" ht="26.25" x14ac:dyDescent="0.4">
      <c r="C37" s="72"/>
    </row>
    <row r="38" spans="1:14" ht="26.25" x14ac:dyDescent="0.4">
      <c r="C38" s="72"/>
    </row>
    <row r="39" spans="1:14" ht="26.25" x14ac:dyDescent="0.4">
      <c r="C39" s="344"/>
      <c r="D39" s="348"/>
      <c r="E39" s="348"/>
      <c r="F39" s="348"/>
      <c r="G39" s="348"/>
      <c r="H39" s="348"/>
      <c r="I39" s="348"/>
      <c r="J39" s="348"/>
      <c r="K39" s="348"/>
      <c r="L39" s="348"/>
      <c r="M39" s="348"/>
      <c r="N39" s="348"/>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election activeCell="D1" sqref="D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406</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c r="G7" s="306"/>
      <c r="H7" s="350"/>
      <c r="I7" s="160"/>
      <c r="J7" s="307"/>
      <c r="K7" s="308"/>
      <c r="L7" s="374"/>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24377</v>
      </c>
      <c r="C47" s="310">
        <v>28648</v>
      </c>
      <c r="D47" s="374">
        <f t="shared" ref="D47:D57" si="0">IF(B47=0, "    ---- ", IF(ABS(ROUND(100/B47*C47-100,1))&lt;999,ROUND(100/B47*C47-100,1),IF(ROUND(100/B47*C47-100,1)&gt;999,999,-999)))</f>
        <v>17.5</v>
      </c>
      <c r="E47" s="11">
        <f>IFERROR(100/'Skjema total MA'!C47*C47,0)</f>
        <v>0.74871535280767854</v>
      </c>
      <c r="F47" s="145"/>
      <c r="G47" s="33"/>
      <c r="H47" s="159"/>
      <c r="I47" s="159"/>
      <c r="J47" s="37"/>
      <c r="K47" s="37"/>
      <c r="L47" s="159"/>
      <c r="M47" s="159"/>
      <c r="N47" s="148"/>
    </row>
    <row r="48" spans="1:14" s="3" customFormat="1" ht="15.75" x14ac:dyDescent="0.2">
      <c r="A48" s="38" t="s">
        <v>379</v>
      </c>
      <c r="B48" s="280">
        <v>24377</v>
      </c>
      <c r="C48" s="281">
        <v>28648</v>
      </c>
      <c r="D48" s="253">
        <f t="shared" si="0"/>
        <v>17.5</v>
      </c>
      <c r="E48" s="27">
        <f>IFERROR(100/'Skjema total MA'!C48*C48,0)</f>
        <v>1.3226665493734291</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0</v>
      </c>
      <c r="C53" s="310">
        <v>1453</v>
      </c>
      <c r="D53" s="375" t="str">
        <f t="shared" si="0"/>
        <v xml:space="preserve">    ---- </v>
      </c>
      <c r="E53" s="11">
        <f>IFERROR(100/'Skjema total MA'!C53*C53,0)</f>
        <v>0.63854008484163005</v>
      </c>
      <c r="F53" s="145"/>
      <c r="G53" s="33"/>
      <c r="H53" s="145"/>
      <c r="I53" s="145"/>
      <c r="J53" s="33"/>
      <c r="K53" s="33"/>
      <c r="L53" s="159"/>
      <c r="M53" s="159"/>
      <c r="N53" s="148"/>
    </row>
    <row r="54" spans="1:14" s="3" customFormat="1" ht="15.75" x14ac:dyDescent="0.2">
      <c r="A54" s="38" t="s">
        <v>379</v>
      </c>
      <c r="B54" s="280">
        <v>0</v>
      </c>
      <c r="C54" s="281">
        <v>1453</v>
      </c>
      <c r="D54" s="253" t="str">
        <f t="shared" si="0"/>
        <v xml:space="preserve">    ---- </v>
      </c>
      <c r="E54" s="27">
        <f>IFERROR(100/'Skjema total MA'!C54*C54,0)</f>
        <v>1.0534445327051645</v>
      </c>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v>254</v>
      </c>
      <c r="C56" s="310">
        <v>678</v>
      </c>
      <c r="D56" s="375">
        <f t="shared" si="0"/>
        <v>166.9</v>
      </c>
      <c r="E56" s="11">
        <f>IFERROR(100/'Skjema total MA'!C56*C56,0)</f>
        <v>0.40411896406380454</v>
      </c>
      <c r="F56" s="145"/>
      <c r="G56" s="33"/>
      <c r="H56" s="145"/>
      <c r="I56" s="145"/>
      <c r="J56" s="33"/>
      <c r="K56" s="33"/>
      <c r="L56" s="159"/>
      <c r="M56" s="159"/>
      <c r="N56" s="148"/>
    </row>
    <row r="57" spans="1:14" s="3" customFormat="1" ht="15.75" x14ac:dyDescent="0.2">
      <c r="A57" s="38" t="s">
        <v>379</v>
      </c>
      <c r="B57" s="280">
        <v>254</v>
      </c>
      <c r="C57" s="281">
        <v>678</v>
      </c>
      <c r="D57" s="253">
        <f t="shared" si="0"/>
        <v>166.9</v>
      </c>
      <c r="E57" s="27">
        <f>IFERROR(100/'Skjema total MA'!C57*C57,0)</f>
        <v>0.67009405610165806</v>
      </c>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10" priority="132">
      <formula>kvartal &lt; 4</formula>
    </cfRule>
  </conditionalFormatting>
  <conditionalFormatting sqref="B69">
    <cfRule type="expression" dxfId="809" priority="100">
      <formula>kvartal &lt; 4</formula>
    </cfRule>
  </conditionalFormatting>
  <conditionalFormatting sqref="C69">
    <cfRule type="expression" dxfId="808" priority="99">
      <formula>kvartal &lt; 4</formula>
    </cfRule>
  </conditionalFormatting>
  <conditionalFormatting sqref="B72">
    <cfRule type="expression" dxfId="807" priority="98">
      <formula>kvartal &lt; 4</formula>
    </cfRule>
  </conditionalFormatting>
  <conditionalFormatting sqref="C72">
    <cfRule type="expression" dxfId="806" priority="97">
      <formula>kvartal &lt; 4</formula>
    </cfRule>
  </conditionalFormatting>
  <conditionalFormatting sqref="B80">
    <cfRule type="expression" dxfId="805" priority="96">
      <formula>kvartal &lt; 4</formula>
    </cfRule>
  </conditionalFormatting>
  <conditionalFormatting sqref="C80">
    <cfRule type="expression" dxfId="804" priority="95">
      <formula>kvartal &lt; 4</formula>
    </cfRule>
  </conditionalFormatting>
  <conditionalFormatting sqref="B83">
    <cfRule type="expression" dxfId="803" priority="94">
      <formula>kvartal &lt; 4</formula>
    </cfRule>
  </conditionalFormatting>
  <conditionalFormatting sqref="C83">
    <cfRule type="expression" dxfId="802" priority="93">
      <formula>kvartal &lt; 4</formula>
    </cfRule>
  </conditionalFormatting>
  <conditionalFormatting sqref="B90">
    <cfRule type="expression" dxfId="801" priority="84">
      <formula>kvartal &lt; 4</formula>
    </cfRule>
  </conditionalFormatting>
  <conditionalFormatting sqref="C90">
    <cfRule type="expression" dxfId="800" priority="83">
      <formula>kvartal &lt; 4</formula>
    </cfRule>
  </conditionalFormatting>
  <conditionalFormatting sqref="B93">
    <cfRule type="expression" dxfId="799" priority="82">
      <formula>kvartal &lt; 4</formula>
    </cfRule>
  </conditionalFormatting>
  <conditionalFormatting sqref="C93">
    <cfRule type="expression" dxfId="798" priority="81">
      <formula>kvartal &lt; 4</formula>
    </cfRule>
  </conditionalFormatting>
  <conditionalFormatting sqref="B101">
    <cfRule type="expression" dxfId="797" priority="80">
      <formula>kvartal &lt; 4</formula>
    </cfRule>
  </conditionalFormatting>
  <conditionalFormatting sqref="C101">
    <cfRule type="expression" dxfId="796" priority="79">
      <formula>kvartal &lt; 4</formula>
    </cfRule>
  </conditionalFormatting>
  <conditionalFormatting sqref="B104">
    <cfRule type="expression" dxfId="795" priority="78">
      <formula>kvartal &lt; 4</formula>
    </cfRule>
  </conditionalFormatting>
  <conditionalFormatting sqref="C104">
    <cfRule type="expression" dxfId="794" priority="77">
      <formula>kvartal &lt; 4</formula>
    </cfRule>
  </conditionalFormatting>
  <conditionalFormatting sqref="B115">
    <cfRule type="expression" dxfId="793" priority="76">
      <formula>kvartal &lt; 4</formula>
    </cfRule>
  </conditionalFormatting>
  <conditionalFormatting sqref="C115">
    <cfRule type="expression" dxfId="792" priority="75">
      <formula>kvartal &lt; 4</formula>
    </cfRule>
  </conditionalFormatting>
  <conditionalFormatting sqref="B123">
    <cfRule type="expression" dxfId="791" priority="74">
      <formula>kvartal &lt; 4</formula>
    </cfRule>
  </conditionalFormatting>
  <conditionalFormatting sqref="C123">
    <cfRule type="expression" dxfId="790" priority="73">
      <formula>kvartal &lt; 4</formula>
    </cfRule>
  </conditionalFormatting>
  <conditionalFormatting sqref="F70">
    <cfRule type="expression" dxfId="789" priority="72">
      <formula>kvartal &lt; 4</formula>
    </cfRule>
  </conditionalFormatting>
  <conditionalFormatting sqref="G70">
    <cfRule type="expression" dxfId="788" priority="71">
      <formula>kvartal &lt; 4</formula>
    </cfRule>
  </conditionalFormatting>
  <conditionalFormatting sqref="F71:G71">
    <cfRule type="expression" dxfId="787" priority="70">
      <formula>kvartal &lt; 4</formula>
    </cfRule>
  </conditionalFormatting>
  <conditionalFormatting sqref="F73:G74">
    <cfRule type="expression" dxfId="786" priority="69">
      <formula>kvartal &lt; 4</formula>
    </cfRule>
  </conditionalFormatting>
  <conditionalFormatting sqref="F81:G82">
    <cfRule type="expression" dxfId="785" priority="68">
      <formula>kvartal &lt; 4</formula>
    </cfRule>
  </conditionalFormatting>
  <conditionalFormatting sqref="F84:G85">
    <cfRule type="expression" dxfId="784" priority="67">
      <formula>kvartal &lt; 4</formula>
    </cfRule>
  </conditionalFormatting>
  <conditionalFormatting sqref="F91:G92">
    <cfRule type="expression" dxfId="783" priority="62">
      <formula>kvartal &lt; 4</formula>
    </cfRule>
  </conditionalFormatting>
  <conditionalFormatting sqref="F94:G95">
    <cfRule type="expression" dxfId="782" priority="61">
      <formula>kvartal &lt; 4</formula>
    </cfRule>
  </conditionalFormatting>
  <conditionalFormatting sqref="F102:G103">
    <cfRule type="expression" dxfId="781" priority="60">
      <formula>kvartal &lt; 4</formula>
    </cfRule>
  </conditionalFormatting>
  <conditionalFormatting sqref="F105:G106">
    <cfRule type="expression" dxfId="780" priority="59">
      <formula>kvartal &lt; 4</formula>
    </cfRule>
  </conditionalFormatting>
  <conditionalFormatting sqref="F115">
    <cfRule type="expression" dxfId="779" priority="58">
      <formula>kvartal &lt; 4</formula>
    </cfRule>
  </conditionalFormatting>
  <conditionalFormatting sqref="G115">
    <cfRule type="expression" dxfId="778" priority="57">
      <formula>kvartal &lt; 4</formula>
    </cfRule>
  </conditionalFormatting>
  <conditionalFormatting sqref="F123:G123">
    <cfRule type="expression" dxfId="777" priority="56">
      <formula>kvartal &lt; 4</formula>
    </cfRule>
  </conditionalFormatting>
  <conditionalFormatting sqref="F69:G69">
    <cfRule type="expression" dxfId="776" priority="55">
      <formula>kvartal &lt; 4</formula>
    </cfRule>
  </conditionalFormatting>
  <conditionalFormatting sqref="F72:G72">
    <cfRule type="expression" dxfId="775" priority="54">
      <formula>kvartal &lt; 4</formula>
    </cfRule>
  </conditionalFormatting>
  <conditionalFormatting sqref="F80:G80">
    <cfRule type="expression" dxfId="774" priority="53">
      <formula>kvartal &lt; 4</formula>
    </cfRule>
  </conditionalFormatting>
  <conditionalFormatting sqref="F83:G83">
    <cfRule type="expression" dxfId="773" priority="52">
      <formula>kvartal &lt; 4</formula>
    </cfRule>
  </conditionalFormatting>
  <conditionalFormatting sqref="F90:G90">
    <cfRule type="expression" dxfId="772" priority="46">
      <formula>kvartal &lt; 4</formula>
    </cfRule>
  </conditionalFormatting>
  <conditionalFormatting sqref="F93">
    <cfRule type="expression" dxfId="771" priority="45">
      <formula>kvartal &lt; 4</formula>
    </cfRule>
  </conditionalFormatting>
  <conditionalFormatting sqref="G93">
    <cfRule type="expression" dxfId="770" priority="44">
      <formula>kvartal &lt; 4</formula>
    </cfRule>
  </conditionalFormatting>
  <conditionalFormatting sqref="F101">
    <cfRule type="expression" dxfId="769" priority="43">
      <formula>kvartal &lt; 4</formula>
    </cfRule>
  </conditionalFormatting>
  <conditionalFormatting sqref="G101">
    <cfRule type="expression" dxfId="768" priority="42">
      <formula>kvartal &lt; 4</formula>
    </cfRule>
  </conditionalFormatting>
  <conditionalFormatting sqref="G104">
    <cfRule type="expression" dxfId="767" priority="41">
      <formula>kvartal &lt; 4</formula>
    </cfRule>
  </conditionalFormatting>
  <conditionalFormatting sqref="F104">
    <cfRule type="expression" dxfId="766" priority="40">
      <formula>kvartal &lt; 4</formula>
    </cfRule>
  </conditionalFormatting>
  <conditionalFormatting sqref="J69:K73">
    <cfRule type="expression" dxfId="765" priority="39">
      <formula>kvartal &lt; 4</formula>
    </cfRule>
  </conditionalFormatting>
  <conditionalFormatting sqref="J74:K74">
    <cfRule type="expression" dxfId="764" priority="38">
      <formula>kvartal &lt; 4</formula>
    </cfRule>
  </conditionalFormatting>
  <conditionalFormatting sqref="J80:K85">
    <cfRule type="expression" dxfId="763" priority="37">
      <formula>kvartal &lt; 4</formula>
    </cfRule>
  </conditionalFormatting>
  <conditionalFormatting sqref="J90:K95">
    <cfRule type="expression" dxfId="762" priority="34">
      <formula>kvartal &lt; 4</formula>
    </cfRule>
  </conditionalFormatting>
  <conditionalFormatting sqref="J101:K106">
    <cfRule type="expression" dxfId="761" priority="33">
      <formula>kvartal &lt; 4</formula>
    </cfRule>
  </conditionalFormatting>
  <conditionalFormatting sqref="J115:K115">
    <cfRule type="expression" dxfId="760" priority="32">
      <formula>kvartal &lt; 4</formula>
    </cfRule>
  </conditionalFormatting>
  <conditionalFormatting sqref="J123:K123">
    <cfRule type="expression" dxfId="759" priority="31">
      <formula>kvartal &lt; 4</formula>
    </cfRule>
  </conditionalFormatting>
  <conditionalFormatting sqref="A50:A52">
    <cfRule type="expression" dxfId="758" priority="12">
      <formula>kvartal &lt; 4</formula>
    </cfRule>
  </conditionalFormatting>
  <conditionalFormatting sqref="A69:A74">
    <cfRule type="expression" dxfId="757" priority="10">
      <formula>kvartal &lt; 4</formula>
    </cfRule>
  </conditionalFormatting>
  <conditionalFormatting sqref="A80:A85">
    <cfRule type="expression" dxfId="756" priority="9">
      <formula>kvartal &lt; 4</formula>
    </cfRule>
  </conditionalFormatting>
  <conditionalFormatting sqref="A90:A95">
    <cfRule type="expression" dxfId="755" priority="6">
      <formula>kvartal &lt; 4</formula>
    </cfRule>
  </conditionalFormatting>
  <conditionalFormatting sqref="A101:A106">
    <cfRule type="expression" dxfId="754" priority="5">
      <formula>kvartal &lt; 4</formula>
    </cfRule>
  </conditionalFormatting>
  <conditionalFormatting sqref="A115">
    <cfRule type="expression" dxfId="753" priority="4">
      <formula>kvartal &lt; 4</formula>
    </cfRule>
  </conditionalFormatting>
  <conditionalFormatting sqref="A123">
    <cfRule type="expression" dxfId="752"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Normal="100" workbookViewId="0">
      <selection activeCell="D1" sqref="D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561" t="s">
        <v>405</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612"/>
      <c r="B3" s="611"/>
      <c r="C3" s="613"/>
      <c r="D3" s="611"/>
      <c r="E3" s="611"/>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v>8725.2720000000008</v>
      </c>
      <c r="D7" s="350" t="str">
        <f>IF(B7=0, "    ---- ", IF(ABS(ROUND(100/B7*C7-100,1))&lt;999,ROUND(100/B7*C7-100,1),IF(ROUND(100/B7*C7-100,1)&gt;999,999,-999)))</f>
        <v xml:space="preserve">    ---- </v>
      </c>
      <c r="E7" s="11">
        <f>IFERROR(100/'Skjema total MA'!C7*C7,0)</f>
        <v>0.23917040534981199</v>
      </c>
      <c r="F7" s="305"/>
      <c r="G7" s="306"/>
      <c r="H7" s="350"/>
      <c r="I7" s="160"/>
      <c r="J7" s="307"/>
      <c r="K7" s="308">
        <f t="shared" ref="K7:K10" si="0">SUM(C7,G7)</f>
        <v>8725.2720000000008</v>
      </c>
      <c r="L7" s="374" t="str">
        <f>IF(J7=0, "    ---- ", IF(ABS(ROUND(100/J7*K7-100,1))&lt;999,ROUND(100/J7*K7-100,1),IF(ROUND(100/J7*K7-100,1)&gt;999,999,-999)))</f>
        <v xml:space="preserve">    ---- </v>
      </c>
      <c r="M7" s="11">
        <f>IFERROR(100/'Skjema total MA'!I7*K7,0)</f>
        <v>8.0685341136608676E-2</v>
      </c>
    </row>
    <row r="8" spans="1:14" ht="15.75" x14ac:dyDescent="0.2">
      <c r="A8" s="21" t="s">
        <v>25</v>
      </c>
      <c r="B8" s="280"/>
      <c r="C8" s="281">
        <v>5380.6270000000004</v>
      </c>
      <c r="D8" s="166" t="str">
        <f t="shared" ref="D8:D10" si="1">IF(B8=0, "    ---- ", IF(ABS(ROUND(100/B8*C8-100,1))&lt;999,ROUND(100/B8*C8-100,1),IF(ROUND(100/B8*C8-100,1)&gt;999,999,-999)))</f>
        <v xml:space="preserve">    ---- </v>
      </c>
      <c r="E8" s="27">
        <f>IFERROR(100/'Skjema total MA'!C8*C8,0)</f>
        <v>0.24575148675700034</v>
      </c>
      <c r="F8" s="284"/>
      <c r="G8" s="285"/>
      <c r="H8" s="166"/>
      <c r="I8" s="175"/>
      <c r="J8" s="233"/>
      <c r="K8" s="286">
        <f t="shared" si="0"/>
        <v>5380.6270000000004</v>
      </c>
      <c r="L8" s="166" t="str">
        <f t="shared" ref="L8:L9" si="2">IF(J8=0, "    ---- ", IF(ABS(ROUND(100/J8*K8-100,1))&lt;999,ROUND(100/J8*K8-100,1),IF(ROUND(100/J8*K8-100,1)&gt;999,999,-999)))</f>
        <v xml:space="preserve">    ---- </v>
      </c>
      <c r="M8" s="27">
        <f>IFERROR(100/'Skjema total MA'!I8*K8,0)</f>
        <v>0.24575148675700034</v>
      </c>
    </row>
    <row r="9" spans="1:14" ht="15.75" x14ac:dyDescent="0.2">
      <c r="A9" s="21" t="s">
        <v>24</v>
      </c>
      <c r="B9" s="280"/>
      <c r="C9" s="281">
        <v>3344.645</v>
      </c>
      <c r="D9" s="166" t="str">
        <f t="shared" si="1"/>
        <v xml:space="preserve">    ---- </v>
      </c>
      <c r="E9" s="27">
        <f>IFERROR(100/'Skjema total MA'!C9*C9,0)</f>
        <v>0.4263851313339504</v>
      </c>
      <c r="F9" s="284"/>
      <c r="G9" s="285"/>
      <c r="H9" s="166"/>
      <c r="I9" s="175"/>
      <c r="J9" s="233"/>
      <c r="K9" s="286">
        <f t="shared" si="0"/>
        <v>3344.645</v>
      </c>
      <c r="L9" s="166" t="str">
        <f t="shared" si="2"/>
        <v xml:space="preserve">    ---- </v>
      </c>
      <c r="M9" s="27">
        <f>IFERROR(100/'Skjema total MA'!I9*K9,0)</f>
        <v>0.4263851313339504</v>
      </c>
    </row>
    <row r="10" spans="1:14" ht="15.75" x14ac:dyDescent="0.2">
      <c r="A10" s="13" t="s">
        <v>368</v>
      </c>
      <c r="B10" s="309"/>
      <c r="C10" s="310">
        <v>3921.4128289581399</v>
      </c>
      <c r="D10" s="171" t="str">
        <f t="shared" si="1"/>
        <v xml:space="preserve">    ---- </v>
      </c>
      <c r="E10" s="11">
        <f>IFERROR(100/'Skjema total MA'!C10*C10,0)</f>
        <v>2.0309002411480908E-2</v>
      </c>
      <c r="F10" s="309"/>
      <c r="G10" s="310"/>
      <c r="H10" s="171"/>
      <c r="I10" s="160"/>
      <c r="J10" s="307"/>
      <c r="K10" s="308">
        <f t="shared" si="0"/>
        <v>3921.4128289581399</v>
      </c>
      <c r="L10" s="375" t="str">
        <f t="shared" ref="L10" si="3">IF(J10=0, "    ---- ", IF(ABS(ROUND(100/J10*K10-100,1))&lt;999,ROUND(100/J10*K10-100,1),IF(ROUND(100/J10*K10-100,1)&gt;999,999,-999)))</f>
        <v xml:space="preserve">    ---- </v>
      </c>
      <c r="M10" s="11">
        <f>IFERROR(100/'Skjema total MA'!I10*K10,0)</f>
        <v>5.7203598734659883E-3</v>
      </c>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1079</v>
      </c>
      <c r="C47" s="310">
        <v>4056.4430000000002</v>
      </c>
      <c r="D47" s="374">
        <f t="shared" ref="D47:D57" si="4">IF(B47=0, "    ---- ", IF(ABS(ROUND(100/B47*C47-100,1))&lt;999,ROUND(100/B47*C47-100,1),IF(ROUND(100/B47*C47-100,1)&gt;999,999,-999)))</f>
        <v>275.89999999999998</v>
      </c>
      <c r="E47" s="11">
        <f>IFERROR(100/'Skjema total MA'!C47*C47,0)</f>
        <v>0.10601511979507254</v>
      </c>
      <c r="F47" s="145"/>
      <c r="G47" s="33"/>
      <c r="H47" s="159"/>
      <c r="I47" s="159"/>
      <c r="J47" s="37"/>
      <c r="K47" s="37"/>
      <c r="L47" s="159"/>
      <c r="M47" s="159"/>
      <c r="N47" s="148"/>
    </row>
    <row r="48" spans="1:14" s="3" customFormat="1" ht="15.75" x14ac:dyDescent="0.2">
      <c r="A48" s="38" t="s">
        <v>379</v>
      </c>
      <c r="B48" s="280">
        <v>1079</v>
      </c>
      <c r="C48" s="281">
        <v>4056.4430000000002</v>
      </c>
      <c r="D48" s="253">
        <f t="shared" si="4"/>
        <v>275.89999999999998</v>
      </c>
      <c r="E48" s="27">
        <f>IFERROR(100/'Skjema total MA'!C48*C48,0)</f>
        <v>0.18728432929139907</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112</v>
      </c>
      <c r="C53" s="310">
        <v>0</v>
      </c>
      <c r="D53" s="375">
        <f t="shared" si="4"/>
        <v>-100</v>
      </c>
      <c r="E53" s="11">
        <f>IFERROR(100/'Skjema total MA'!C53*C53,0)</f>
        <v>0</v>
      </c>
      <c r="F53" s="145"/>
      <c r="G53" s="33"/>
      <c r="H53" s="145"/>
      <c r="I53" s="145"/>
      <c r="J53" s="33"/>
      <c r="K53" s="33"/>
      <c r="L53" s="159"/>
      <c r="M53" s="159"/>
      <c r="N53" s="148"/>
    </row>
    <row r="54" spans="1:14" s="3" customFormat="1" ht="15.75" x14ac:dyDescent="0.2">
      <c r="A54" s="38" t="s">
        <v>379</v>
      </c>
      <c r="B54" s="280">
        <v>112</v>
      </c>
      <c r="C54" s="281">
        <v>0</v>
      </c>
      <c r="D54" s="253">
        <f t="shared" si="4"/>
        <v>-100</v>
      </c>
      <c r="E54" s="27">
        <f>IFERROR(100/'Skjema total MA'!C54*C54,0)</f>
        <v>0</v>
      </c>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v>43</v>
      </c>
      <c r="C56" s="310">
        <v>264.21499999999997</v>
      </c>
      <c r="D56" s="375">
        <f t="shared" si="4"/>
        <v>514.5</v>
      </c>
      <c r="E56" s="11">
        <f>IFERROR(100/'Skjema total MA'!C56*C56,0)</f>
        <v>0.15748420662259308</v>
      </c>
      <c r="F56" s="145"/>
      <c r="G56" s="33"/>
      <c r="H56" s="145"/>
      <c r="I56" s="145"/>
      <c r="J56" s="33"/>
      <c r="K56" s="33"/>
      <c r="L56" s="159"/>
      <c r="M56" s="159"/>
      <c r="N56" s="148"/>
    </row>
    <row r="57" spans="1:14" s="3" customFormat="1" ht="15.75" x14ac:dyDescent="0.2">
      <c r="A57" s="38" t="s">
        <v>379</v>
      </c>
      <c r="B57" s="280">
        <v>43</v>
      </c>
      <c r="C57" s="281">
        <v>264.21499999999997</v>
      </c>
      <c r="D57" s="253">
        <f t="shared" si="4"/>
        <v>514.5</v>
      </c>
      <c r="E57" s="27">
        <f>IFERROR(100/'Skjema total MA'!C57*C57,0)</f>
        <v>0.26113407231991087</v>
      </c>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51" priority="132">
      <formula>kvartal &lt; 4</formula>
    </cfRule>
  </conditionalFormatting>
  <conditionalFormatting sqref="B69">
    <cfRule type="expression" dxfId="750" priority="100">
      <formula>kvartal &lt; 4</formula>
    </cfRule>
  </conditionalFormatting>
  <conditionalFormatting sqref="C69">
    <cfRule type="expression" dxfId="749" priority="99">
      <formula>kvartal &lt; 4</formula>
    </cfRule>
  </conditionalFormatting>
  <conditionalFormatting sqref="B72">
    <cfRule type="expression" dxfId="748" priority="98">
      <formula>kvartal &lt; 4</formula>
    </cfRule>
  </conditionalFormatting>
  <conditionalFormatting sqref="C72">
    <cfRule type="expression" dxfId="747" priority="97">
      <formula>kvartal &lt; 4</formula>
    </cfRule>
  </conditionalFormatting>
  <conditionalFormatting sqref="B80">
    <cfRule type="expression" dxfId="746" priority="96">
      <formula>kvartal &lt; 4</formula>
    </cfRule>
  </conditionalFormatting>
  <conditionalFormatting sqref="C80">
    <cfRule type="expression" dxfId="745" priority="95">
      <formula>kvartal &lt; 4</formula>
    </cfRule>
  </conditionalFormatting>
  <conditionalFormatting sqref="B83">
    <cfRule type="expression" dxfId="744" priority="94">
      <formula>kvartal &lt; 4</formula>
    </cfRule>
  </conditionalFormatting>
  <conditionalFormatting sqref="C83">
    <cfRule type="expression" dxfId="743" priority="93">
      <formula>kvartal &lt; 4</formula>
    </cfRule>
  </conditionalFormatting>
  <conditionalFormatting sqref="B90">
    <cfRule type="expression" dxfId="742" priority="84">
      <formula>kvartal &lt; 4</formula>
    </cfRule>
  </conditionalFormatting>
  <conditionalFormatting sqref="C90">
    <cfRule type="expression" dxfId="741" priority="83">
      <formula>kvartal &lt; 4</formula>
    </cfRule>
  </conditionalFormatting>
  <conditionalFormatting sqref="B93">
    <cfRule type="expression" dxfId="740" priority="82">
      <formula>kvartal &lt; 4</formula>
    </cfRule>
  </conditionalFormatting>
  <conditionalFormatting sqref="C93">
    <cfRule type="expression" dxfId="739" priority="81">
      <formula>kvartal &lt; 4</formula>
    </cfRule>
  </conditionalFormatting>
  <conditionalFormatting sqref="B101">
    <cfRule type="expression" dxfId="738" priority="80">
      <formula>kvartal &lt; 4</formula>
    </cfRule>
  </conditionalFormatting>
  <conditionalFormatting sqref="C101">
    <cfRule type="expression" dxfId="737" priority="79">
      <formula>kvartal &lt; 4</formula>
    </cfRule>
  </conditionalFormatting>
  <conditionalFormatting sqref="B104">
    <cfRule type="expression" dxfId="736" priority="78">
      <formula>kvartal &lt; 4</formula>
    </cfRule>
  </conditionalFormatting>
  <conditionalFormatting sqref="C104">
    <cfRule type="expression" dxfId="735" priority="77">
      <formula>kvartal &lt; 4</formula>
    </cfRule>
  </conditionalFormatting>
  <conditionalFormatting sqref="B115">
    <cfRule type="expression" dxfId="734" priority="76">
      <formula>kvartal &lt; 4</formula>
    </cfRule>
  </conditionalFormatting>
  <conditionalFormatting sqref="C115">
    <cfRule type="expression" dxfId="733" priority="75">
      <formula>kvartal &lt; 4</formula>
    </cfRule>
  </conditionalFormatting>
  <conditionalFormatting sqref="B123">
    <cfRule type="expression" dxfId="732" priority="74">
      <formula>kvartal &lt; 4</formula>
    </cfRule>
  </conditionalFormatting>
  <conditionalFormatting sqref="C123">
    <cfRule type="expression" dxfId="731" priority="73">
      <formula>kvartal &lt; 4</formula>
    </cfRule>
  </conditionalFormatting>
  <conditionalFormatting sqref="F70">
    <cfRule type="expression" dxfId="730" priority="72">
      <formula>kvartal &lt; 4</formula>
    </cfRule>
  </conditionalFormatting>
  <conditionalFormatting sqref="G70">
    <cfRule type="expression" dxfId="729" priority="71">
      <formula>kvartal &lt; 4</formula>
    </cfRule>
  </conditionalFormatting>
  <conditionalFormatting sqref="F71:G71">
    <cfRule type="expression" dxfId="728" priority="70">
      <formula>kvartal &lt; 4</formula>
    </cfRule>
  </conditionalFormatting>
  <conditionalFormatting sqref="F73:G74">
    <cfRule type="expression" dxfId="727" priority="69">
      <formula>kvartal &lt; 4</formula>
    </cfRule>
  </conditionalFormatting>
  <conditionalFormatting sqref="F81:G82">
    <cfRule type="expression" dxfId="726" priority="68">
      <formula>kvartal &lt; 4</formula>
    </cfRule>
  </conditionalFormatting>
  <conditionalFormatting sqref="F84:G85">
    <cfRule type="expression" dxfId="725" priority="67">
      <formula>kvartal &lt; 4</formula>
    </cfRule>
  </conditionalFormatting>
  <conditionalFormatting sqref="F91:G92">
    <cfRule type="expression" dxfId="724" priority="62">
      <formula>kvartal &lt; 4</formula>
    </cfRule>
  </conditionalFormatting>
  <conditionalFormatting sqref="F94:G95">
    <cfRule type="expression" dxfId="723" priority="61">
      <formula>kvartal &lt; 4</formula>
    </cfRule>
  </conditionalFormatting>
  <conditionalFormatting sqref="F102:G103">
    <cfRule type="expression" dxfId="722" priority="60">
      <formula>kvartal &lt; 4</formula>
    </cfRule>
  </conditionalFormatting>
  <conditionalFormatting sqref="F105:G106">
    <cfRule type="expression" dxfId="721" priority="59">
      <formula>kvartal &lt; 4</formula>
    </cfRule>
  </conditionalFormatting>
  <conditionalFormatting sqref="F115">
    <cfRule type="expression" dxfId="720" priority="58">
      <formula>kvartal &lt; 4</formula>
    </cfRule>
  </conditionalFormatting>
  <conditionalFormatting sqref="G115">
    <cfRule type="expression" dxfId="719" priority="57">
      <formula>kvartal &lt; 4</formula>
    </cfRule>
  </conditionalFormatting>
  <conditionalFormatting sqref="F123:G123">
    <cfRule type="expression" dxfId="718" priority="56">
      <formula>kvartal &lt; 4</formula>
    </cfRule>
  </conditionalFormatting>
  <conditionalFormatting sqref="F69:G69">
    <cfRule type="expression" dxfId="717" priority="55">
      <formula>kvartal &lt; 4</formula>
    </cfRule>
  </conditionalFormatting>
  <conditionalFormatting sqref="F72:G72">
    <cfRule type="expression" dxfId="716" priority="54">
      <formula>kvartal &lt; 4</formula>
    </cfRule>
  </conditionalFormatting>
  <conditionalFormatting sqref="F80:G80">
    <cfRule type="expression" dxfId="715" priority="53">
      <formula>kvartal &lt; 4</formula>
    </cfRule>
  </conditionalFormatting>
  <conditionalFormatting sqref="F83:G83">
    <cfRule type="expression" dxfId="714" priority="52">
      <formula>kvartal &lt; 4</formula>
    </cfRule>
  </conditionalFormatting>
  <conditionalFormatting sqref="F90:G90">
    <cfRule type="expression" dxfId="713" priority="46">
      <formula>kvartal &lt; 4</formula>
    </cfRule>
  </conditionalFormatting>
  <conditionalFormatting sqref="F93">
    <cfRule type="expression" dxfId="712" priority="45">
      <formula>kvartal &lt; 4</formula>
    </cfRule>
  </conditionalFormatting>
  <conditionalFormatting sqref="G93">
    <cfRule type="expression" dxfId="711" priority="44">
      <formula>kvartal &lt; 4</formula>
    </cfRule>
  </conditionalFormatting>
  <conditionalFormatting sqref="F101">
    <cfRule type="expression" dxfId="710" priority="43">
      <formula>kvartal &lt; 4</formula>
    </cfRule>
  </conditionalFormatting>
  <conditionalFormatting sqref="G101">
    <cfRule type="expression" dxfId="709" priority="42">
      <formula>kvartal &lt; 4</formula>
    </cfRule>
  </conditionalFormatting>
  <conditionalFormatting sqref="G104">
    <cfRule type="expression" dxfId="708" priority="41">
      <formula>kvartal &lt; 4</formula>
    </cfRule>
  </conditionalFormatting>
  <conditionalFormatting sqref="F104">
    <cfRule type="expression" dxfId="707" priority="40">
      <formula>kvartal &lt; 4</formula>
    </cfRule>
  </conditionalFormatting>
  <conditionalFormatting sqref="J69:K73">
    <cfRule type="expression" dxfId="706" priority="39">
      <formula>kvartal &lt; 4</formula>
    </cfRule>
  </conditionalFormatting>
  <conditionalFormatting sqref="J74:K74">
    <cfRule type="expression" dxfId="705" priority="38">
      <formula>kvartal &lt; 4</formula>
    </cfRule>
  </conditionalFormatting>
  <conditionalFormatting sqref="J80:K85">
    <cfRule type="expression" dxfId="704" priority="37">
      <formula>kvartal &lt; 4</formula>
    </cfRule>
  </conditionalFormatting>
  <conditionalFormatting sqref="J90:K95">
    <cfRule type="expression" dxfId="703" priority="34">
      <formula>kvartal &lt; 4</formula>
    </cfRule>
  </conditionalFormatting>
  <conditionalFormatting sqref="J101:K106">
    <cfRule type="expression" dxfId="702" priority="33">
      <formula>kvartal &lt; 4</formula>
    </cfRule>
  </conditionalFormatting>
  <conditionalFormatting sqref="J115:K115">
    <cfRule type="expression" dxfId="701" priority="32">
      <formula>kvartal &lt; 4</formula>
    </cfRule>
  </conditionalFormatting>
  <conditionalFormatting sqref="J123:K123">
    <cfRule type="expression" dxfId="700" priority="31">
      <formula>kvartal &lt; 4</formula>
    </cfRule>
  </conditionalFormatting>
  <conditionalFormatting sqref="A50:A52">
    <cfRule type="expression" dxfId="699" priority="12">
      <formula>kvartal &lt; 4</formula>
    </cfRule>
  </conditionalFormatting>
  <conditionalFormatting sqref="A69:A74">
    <cfRule type="expression" dxfId="698" priority="10">
      <formula>kvartal &lt; 4</formula>
    </cfRule>
  </conditionalFormatting>
  <conditionalFormatting sqref="A80:A85">
    <cfRule type="expression" dxfId="697" priority="9">
      <formula>kvartal &lt; 4</formula>
    </cfRule>
  </conditionalFormatting>
  <conditionalFormatting sqref="A90:A95">
    <cfRule type="expression" dxfId="696" priority="6">
      <formula>kvartal &lt; 4</formula>
    </cfRule>
  </conditionalFormatting>
  <conditionalFormatting sqref="A101:A106">
    <cfRule type="expression" dxfId="695" priority="5">
      <formula>kvartal &lt; 4</formula>
    </cfRule>
  </conditionalFormatting>
  <conditionalFormatting sqref="A115">
    <cfRule type="expression" dxfId="694" priority="4">
      <formula>kvartal &lt; 4</formula>
    </cfRule>
  </conditionalFormatting>
  <conditionalFormatting sqref="A123">
    <cfRule type="expression" dxfId="693"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132</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345210.54780631303</v>
      </c>
      <c r="C7" s="306">
        <v>356458.70468760602</v>
      </c>
      <c r="D7" s="350">
        <f>IF(B7=0, "    ---- ", IF(ABS(ROUND(100/B7*C7-100,1))&lt;999,ROUND(100/B7*C7-100,1),IF(ROUND(100/B7*C7-100,1)&gt;999,999,-999)))</f>
        <v>3.3</v>
      </c>
      <c r="E7" s="11">
        <f>IFERROR(100/'Skjema total MA'!C7*C7,0)</f>
        <v>9.7709702219717212</v>
      </c>
      <c r="F7" s="305">
        <v>3192723.8371100002</v>
      </c>
      <c r="G7" s="306">
        <v>5206007.1886700001</v>
      </c>
      <c r="H7" s="350">
        <f>IF(F7=0, "    ---- ", IF(ABS(ROUND(100/F7*G7-100,1))&lt;999,ROUND(100/F7*G7-100,1),IF(ROUND(100/F7*G7-100,1)&gt;999,999,-999)))</f>
        <v>63.1</v>
      </c>
      <c r="I7" s="160">
        <f>IFERROR(100/'Skjema total MA'!F7*G7,0)</f>
        <v>72.650653968070841</v>
      </c>
      <c r="J7" s="307">
        <f t="shared" ref="J7:K12" si="0">SUM(B7,F7)</f>
        <v>3537934.384916313</v>
      </c>
      <c r="K7" s="308">
        <f t="shared" si="0"/>
        <v>5562465.8933576057</v>
      </c>
      <c r="L7" s="374">
        <f>IF(J7=0, "    ---- ", IF(ABS(ROUND(100/J7*K7-100,1))&lt;999,ROUND(100/J7*K7-100,1),IF(ROUND(100/J7*K7-100,1)&gt;999,999,-999)))</f>
        <v>57.2</v>
      </c>
      <c r="M7" s="11">
        <f>IFERROR(100/'Skjema total MA'!I7*K7,0)</f>
        <v>51.437875881268702</v>
      </c>
    </row>
    <row r="8" spans="1:14" ht="15.75" x14ac:dyDescent="0.2">
      <c r="A8" s="21" t="s">
        <v>25</v>
      </c>
      <c r="B8" s="280">
        <v>278626.760402716</v>
      </c>
      <c r="C8" s="281">
        <v>292611.87914954702</v>
      </c>
      <c r="D8" s="166">
        <f t="shared" ref="D8:D10" si="1">IF(B8=0, "    ---- ", IF(ABS(ROUND(100/B8*C8-100,1))&lt;999,ROUND(100/B8*C8-100,1),IF(ROUND(100/B8*C8-100,1)&gt;999,999,-999)))</f>
        <v>5</v>
      </c>
      <c r="E8" s="27">
        <f>IFERROR(100/'Skjema total MA'!C8*C8,0)</f>
        <v>13.364577091807496</v>
      </c>
      <c r="F8" s="284"/>
      <c r="G8" s="285"/>
      <c r="H8" s="166"/>
      <c r="I8" s="175"/>
      <c r="J8" s="233">
        <f t="shared" si="0"/>
        <v>278626.760402716</v>
      </c>
      <c r="K8" s="286">
        <f t="shared" si="0"/>
        <v>292611.87914954702</v>
      </c>
      <c r="L8" s="166">
        <f t="shared" ref="L8:L9" si="2">IF(J8=0, "    ---- ", IF(ABS(ROUND(100/J8*K8-100,1))&lt;999,ROUND(100/J8*K8-100,1),IF(ROUND(100/J8*K8-100,1)&gt;999,999,-999)))</f>
        <v>5</v>
      </c>
      <c r="M8" s="27">
        <f>IFERROR(100/'Skjema total MA'!I8*K8,0)</f>
        <v>13.364577091807496</v>
      </c>
    </row>
    <row r="9" spans="1:14" ht="15.75" x14ac:dyDescent="0.2">
      <c r="A9" s="21" t="s">
        <v>24</v>
      </c>
      <c r="B9" s="280">
        <v>60597.121104330799</v>
      </c>
      <c r="C9" s="281">
        <v>58253.787864378501</v>
      </c>
      <c r="D9" s="166">
        <f t="shared" si="1"/>
        <v>-3.9</v>
      </c>
      <c r="E9" s="27">
        <f>IFERROR(100/'Skjema total MA'!C9*C9,0)</f>
        <v>7.4263633328060559</v>
      </c>
      <c r="F9" s="284"/>
      <c r="G9" s="285"/>
      <c r="H9" s="166"/>
      <c r="I9" s="175"/>
      <c r="J9" s="233">
        <f t="shared" si="0"/>
        <v>60597.121104330799</v>
      </c>
      <c r="K9" s="286">
        <f t="shared" si="0"/>
        <v>58253.787864378501</v>
      </c>
      <c r="L9" s="166">
        <f t="shared" si="2"/>
        <v>-3.9</v>
      </c>
      <c r="M9" s="27">
        <f>IFERROR(100/'Skjema total MA'!I9*K9,0)</f>
        <v>7.4263633328060559</v>
      </c>
    </row>
    <row r="10" spans="1:14" ht="15.75" x14ac:dyDescent="0.2">
      <c r="A10" s="13" t="s">
        <v>368</v>
      </c>
      <c r="B10" s="309">
        <v>859622.28906115796</v>
      </c>
      <c r="C10" s="310">
        <v>798774.50904574804</v>
      </c>
      <c r="D10" s="171">
        <f t="shared" si="1"/>
        <v>-7.1</v>
      </c>
      <c r="E10" s="11">
        <f>IFERROR(100/'Skjema total MA'!C10*C10,0)</f>
        <v>4.1368542762557334</v>
      </c>
      <c r="F10" s="309">
        <v>24881661.6808246</v>
      </c>
      <c r="G10" s="310">
        <v>29512216.484000001</v>
      </c>
      <c r="H10" s="171">
        <f t="shared" ref="H10:H12" si="3">IF(F10=0, "    ---- ", IF(ABS(ROUND(100/F10*G10-100,1))&lt;999,ROUND(100/F10*G10-100,1),IF(ROUND(100/F10*G10-100,1)&gt;999,999,-999)))</f>
        <v>18.600000000000001</v>
      </c>
      <c r="I10" s="160">
        <f>IFERROR(100/'Skjema total MA'!F10*G10,0)</f>
        <v>59.931662112595141</v>
      </c>
      <c r="J10" s="307">
        <f t="shared" si="0"/>
        <v>25741283.969885759</v>
      </c>
      <c r="K10" s="308">
        <f t="shared" si="0"/>
        <v>30310990.993045747</v>
      </c>
      <c r="L10" s="375">
        <f t="shared" ref="L10:L12" si="4">IF(J10=0, "    ---- ", IF(ABS(ROUND(100/J10*K10-100,1))&lt;999,ROUND(100/J10*K10-100,1),IF(ROUND(100/J10*K10-100,1)&gt;999,999,-999)))</f>
        <v>17.8</v>
      </c>
      <c r="M10" s="11">
        <f>IFERROR(100/'Skjema total MA'!I10*K10,0)</f>
        <v>44.21614967982724</v>
      </c>
    </row>
    <row r="11" spans="1:14" s="43" customFormat="1" ht="15.75" x14ac:dyDescent="0.2">
      <c r="A11" s="13" t="s">
        <v>369</v>
      </c>
      <c r="B11" s="309"/>
      <c r="C11" s="310"/>
      <c r="D11" s="171"/>
      <c r="E11" s="11"/>
      <c r="F11" s="309">
        <v>96827.756800000003</v>
      </c>
      <c r="G11" s="310">
        <v>140915.54670000001</v>
      </c>
      <c r="H11" s="171">
        <f t="shared" si="3"/>
        <v>45.5</v>
      </c>
      <c r="I11" s="160">
        <f>IFERROR(100/'Skjema total MA'!F11*G11,0)</f>
        <v>61.096483887697822</v>
      </c>
      <c r="J11" s="307">
        <f t="shared" si="0"/>
        <v>96827.756800000003</v>
      </c>
      <c r="K11" s="308">
        <f t="shared" si="0"/>
        <v>140915.54670000001</v>
      </c>
      <c r="L11" s="375">
        <f t="shared" si="4"/>
        <v>45.5</v>
      </c>
      <c r="M11" s="11">
        <f>IFERROR(100/'Skjema total MA'!I11*K11,0)</f>
        <v>51.025650008696516</v>
      </c>
      <c r="N11" s="143"/>
    </row>
    <row r="12" spans="1:14" s="43" customFormat="1" ht="15.75" x14ac:dyDescent="0.2">
      <c r="A12" s="41" t="s">
        <v>370</v>
      </c>
      <c r="B12" s="311"/>
      <c r="C12" s="312"/>
      <c r="D12" s="169"/>
      <c r="E12" s="36"/>
      <c r="F12" s="311">
        <v>72813.567689999996</v>
      </c>
      <c r="G12" s="312">
        <v>20681.208610000001</v>
      </c>
      <c r="H12" s="169">
        <f t="shared" si="3"/>
        <v>-71.599999999999994</v>
      </c>
      <c r="I12" s="169">
        <f>IFERROR(100/'Skjema total MA'!F12*G12,0)</f>
        <v>12.269623037391485</v>
      </c>
      <c r="J12" s="313">
        <f t="shared" si="0"/>
        <v>72813.567689999996</v>
      </c>
      <c r="K12" s="314">
        <f t="shared" si="0"/>
        <v>20681.208610000001</v>
      </c>
      <c r="L12" s="376">
        <f t="shared" si="4"/>
        <v>-71.599999999999994</v>
      </c>
      <c r="M12" s="36">
        <f>IFERROR(100/'Skjema total MA'!I12*K12,0)</f>
        <v>11.922809684973512</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106112.52559675901</v>
      </c>
      <c r="C22" s="309">
        <v>114862.161777024</v>
      </c>
      <c r="D22" s="350">
        <f t="shared" ref="D22:D34" si="5">IF(B22=0, "    ---- ", IF(ABS(ROUND(100/B22*C22-100,1))&lt;999,ROUND(100/B22*C22-100,1),IF(ROUND(100/B22*C22-100,1)&gt;999,999,-999)))</f>
        <v>8.1999999999999993</v>
      </c>
      <c r="E22" s="11">
        <f>IFERROR(100/'Skjema total MA'!C22*C22,0)</f>
        <v>8.4285940919136184</v>
      </c>
      <c r="F22" s="317">
        <v>197463.18742</v>
      </c>
      <c r="G22" s="317">
        <v>203136.66443999999</v>
      </c>
      <c r="H22" s="350">
        <f t="shared" ref="H22:H35" si="6">IF(F22=0, "    ---- ", IF(ABS(ROUND(100/F22*G22-100,1))&lt;999,ROUND(100/F22*G22-100,1),IF(ROUND(100/F22*G22-100,1)&gt;999,999,-999)))</f>
        <v>2.9</v>
      </c>
      <c r="I22" s="11">
        <f>IFERROR(100/'Skjema total MA'!F22*G22,0)</f>
        <v>25.431115632806275</v>
      </c>
      <c r="J22" s="315">
        <f t="shared" ref="J22:K35" si="7">SUM(B22,F22)</f>
        <v>303575.71301675902</v>
      </c>
      <c r="K22" s="315">
        <f t="shared" si="7"/>
        <v>317998.82621702401</v>
      </c>
      <c r="L22" s="374">
        <f t="shared" ref="L22:L35" si="8">IF(J22=0, "    ---- ", IF(ABS(ROUND(100/J22*K22-100,1))&lt;999,ROUND(100/J22*K22-100,1),IF(ROUND(100/J22*K22-100,1)&gt;999,999,-999)))</f>
        <v>4.8</v>
      </c>
      <c r="M22" s="24">
        <f>IFERROR(100/'Skjema total MA'!I22*K22,0)</f>
        <v>14.711679826833272</v>
      </c>
    </row>
    <row r="23" spans="1:14" ht="15.75" x14ac:dyDescent="0.2">
      <c r="A23" s="562" t="s">
        <v>371</v>
      </c>
      <c r="B23" s="280">
        <v>105783.687596759</v>
      </c>
      <c r="C23" s="280">
        <v>114433.83877702399</v>
      </c>
      <c r="D23" s="166">
        <f t="shared" si="5"/>
        <v>8.1999999999999993</v>
      </c>
      <c r="E23" s="11">
        <f>IFERROR(100/'Skjema total MA'!C23*C23,0)</f>
        <v>11.563563418240888</v>
      </c>
      <c r="F23" s="289">
        <v>3502.0169999999998</v>
      </c>
      <c r="G23" s="289">
        <v>3128.0520000000001</v>
      </c>
      <c r="H23" s="166">
        <f t="shared" si="6"/>
        <v>-10.7</v>
      </c>
      <c r="I23" s="366">
        <f>IFERROR(100/'Skjema total MA'!F23*G23,0)</f>
        <v>5.5195993154707441</v>
      </c>
      <c r="J23" s="289">
        <f t="shared" ref="J23:J26" si="9">SUM(B23,F23)</f>
        <v>109285.70459675899</v>
      </c>
      <c r="K23" s="289">
        <f t="shared" ref="K23:K26" si="10">SUM(C23,G23)</f>
        <v>117561.89077702399</v>
      </c>
      <c r="L23" s="166">
        <f t="shared" si="8"/>
        <v>7.6</v>
      </c>
      <c r="M23" s="23">
        <f>IFERROR(100/'Skjema total MA'!I23*K23,0)</f>
        <v>11.236191913811959</v>
      </c>
    </row>
    <row r="24" spans="1:14" ht="15.75" x14ac:dyDescent="0.2">
      <c r="A24" s="562" t="s">
        <v>372</v>
      </c>
      <c r="B24" s="280">
        <v>328.78800000000001</v>
      </c>
      <c r="C24" s="280">
        <v>428.32299999999998</v>
      </c>
      <c r="D24" s="166">
        <f t="shared" si="5"/>
        <v>30.3</v>
      </c>
      <c r="E24" s="11">
        <f>IFERROR(100/'Skjema total MA'!C24*C24,0)</f>
        <v>1.6184765327515205</v>
      </c>
      <c r="F24" s="289"/>
      <c r="G24" s="289"/>
      <c r="H24" s="166"/>
      <c r="I24" s="366"/>
      <c r="J24" s="289">
        <f t="shared" si="9"/>
        <v>328.78800000000001</v>
      </c>
      <c r="K24" s="289">
        <f t="shared" si="10"/>
        <v>428.32299999999998</v>
      </c>
      <c r="L24" s="166">
        <f t="shared" si="8"/>
        <v>30.3</v>
      </c>
      <c r="M24" s="23">
        <f>IFERROR(100/'Skjema total MA'!I24*K24,0)</f>
        <v>1.5382967348350272</v>
      </c>
    </row>
    <row r="25" spans="1:14" ht="15.75" x14ac:dyDescent="0.2">
      <c r="A25" s="562" t="s">
        <v>373</v>
      </c>
      <c r="B25" s="280"/>
      <c r="C25" s="280"/>
      <c r="D25" s="166"/>
      <c r="E25" s="11"/>
      <c r="F25" s="289">
        <v>57121.413180000003</v>
      </c>
      <c r="G25" s="289">
        <v>633.923</v>
      </c>
      <c r="H25" s="166">
        <f t="shared" si="6"/>
        <v>-98.9</v>
      </c>
      <c r="I25" s="366">
        <f>IFERROR(100/'Skjema total MA'!F25*G25,0)</f>
        <v>2.2907065544763556</v>
      </c>
      <c r="J25" s="289">
        <f t="shared" si="9"/>
        <v>57121.413180000003</v>
      </c>
      <c r="K25" s="289">
        <f t="shared" si="10"/>
        <v>633.923</v>
      </c>
      <c r="L25" s="166">
        <f t="shared" si="8"/>
        <v>-98.9</v>
      </c>
      <c r="M25" s="23">
        <f>IFERROR(100/'Skjema total MA'!I25*K25,0)</f>
        <v>1.2315202735814004</v>
      </c>
    </row>
    <row r="26" spans="1:14" ht="15.75" x14ac:dyDescent="0.2">
      <c r="A26" s="562" t="s">
        <v>374</v>
      </c>
      <c r="B26" s="280"/>
      <c r="C26" s="280"/>
      <c r="D26" s="166"/>
      <c r="E26" s="11"/>
      <c r="F26" s="289">
        <v>136839.75724000001</v>
      </c>
      <c r="G26" s="289">
        <v>199374.68943999999</v>
      </c>
      <c r="H26" s="166">
        <f t="shared" si="6"/>
        <v>45.7</v>
      </c>
      <c r="I26" s="366">
        <f>IFERROR(100/'Skjema total MA'!F26*G26,0)</f>
        <v>27.960933773641646</v>
      </c>
      <c r="J26" s="289">
        <f t="shared" si="9"/>
        <v>136839.75724000001</v>
      </c>
      <c r="K26" s="289">
        <f t="shared" si="10"/>
        <v>199374.68943999999</v>
      </c>
      <c r="L26" s="166">
        <f t="shared" si="8"/>
        <v>45.7</v>
      </c>
      <c r="M26" s="23">
        <f>IFERROR(100/'Skjema total MA'!I26*K26,0)</f>
        <v>27.960933773641646</v>
      </c>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109378.458000435</v>
      </c>
      <c r="C28" s="286">
        <v>118227.09279593499</v>
      </c>
      <c r="D28" s="166">
        <f t="shared" si="5"/>
        <v>8.1</v>
      </c>
      <c r="E28" s="11">
        <f>IFERROR(100/'Skjema total MA'!C28*C28,0)</f>
        <v>8.1302719295084742</v>
      </c>
      <c r="F28" s="233"/>
      <c r="G28" s="286"/>
      <c r="H28" s="166"/>
      <c r="I28" s="27"/>
      <c r="J28" s="44">
        <f t="shared" si="7"/>
        <v>109378.458000435</v>
      </c>
      <c r="K28" s="44">
        <f t="shared" si="7"/>
        <v>118227.09279593499</v>
      </c>
      <c r="L28" s="253">
        <f t="shared" si="8"/>
        <v>8.1</v>
      </c>
      <c r="M28" s="23">
        <f>IFERROR(100/'Skjema total MA'!I28*K28,0)</f>
        <v>8.1302719295084742</v>
      </c>
    </row>
    <row r="29" spans="1:14" s="3" customFormat="1" ht="15.75" x14ac:dyDescent="0.2">
      <c r="A29" s="13" t="s">
        <v>368</v>
      </c>
      <c r="B29" s="235">
        <v>3935168.7230000002</v>
      </c>
      <c r="C29" s="235">
        <v>3836646.19283493</v>
      </c>
      <c r="D29" s="171">
        <f t="shared" si="5"/>
        <v>-2.5</v>
      </c>
      <c r="E29" s="11">
        <f>IFERROR(100/'Skjema total MA'!C29*C29,0)</f>
        <v>8.1696390097478488</v>
      </c>
      <c r="F29" s="307">
        <v>3522129.35</v>
      </c>
      <c r="G29" s="307">
        <v>4098783.28</v>
      </c>
      <c r="H29" s="171">
        <f t="shared" si="6"/>
        <v>16.399999999999999</v>
      </c>
      <c r="I29" s="11">
        <f>IFERROR(100/'Skjema total MA'!F29*G29,0)</f>
        <v>19.246054111843939</v>
      </c>
      <c r="J29" s="235">
        <f t="shared" si="7"/>
        <v>7457298.0730000008</v>
      </c>
      <c r="K29" s="235">
        <f t="shared" si="7"/>
        <v>7935429.4728349298</v>
      </c>
      <c r="L29" s="375">
        <f t="shared" si="8"/>
        <v>6.4</v>
      </c>
      <c r="M29" s="24">
        <f>IFERROR(100/'Skjema total MA'!I29*K29,0)</f>
        <v>11.625470739245872</v>
      </c>
      <c r="N29" s="148"/>
    </row>
    <row r="30" spans="1:14" s="3" customFormat="1" ht="15.75" x14ac:dyDescent="0.2">
      <c r="A30" s="562" t="s">
        <v>371</v>
      </c>
      <c r="B30" s="280">
        <v>830285.21769895998</v>
      </c>
      <c r="C30" s="280">
        <v>730689.93191967404</v>
      </c>
      <c r="D30" s="166">
        <f t="shared" si="5"/>
        <v>-12</v>
      </c>
      <c r="E30" s="11">
        <f>IFERROR(100/'Skjema total MA'!C30*C30,0)</f>
        <v>7.0669459932788721</v>
      </c>
      <c r="F30" s="289">
        <v>479157.26299999998</v>
      </c>
      <c r="G30" s="289">
        <v>498539.13111248502</v>
      </c>
      <c r="H30" s="166">
        <f t="shared" si="6"/>
        <v>4</v>
      </c>
      <c r="I30" s="366">
        <f>IFERROR(100/'Skjema total MA'!F30*G30,0)</f>
        <v>11.616864368865768</v>
      </c>
      <c r="J30" s="289">
        <f t="shared" ref="J30:J33" si="11">SUM(B30,F30)</f>
        <v>1309442.4806989599</v>
      </c>
      <c r="K30" s="289">
        <f t="shared" ref="K30:K33" si="12">SUM(C30,G30)</f>
        <v>1229229.0630321591</v>
      </c>
      <c r="L30" s="166">
        <f t="shared" si="8"/>
        <v>-6.1</v>
      </c>
      <c r="M30" s="23">
        <f>IFERROR(100/'Skjema total MA'!I30*K30,0)</f>
        <v>8.4015065668641267</v>
      </c>
      <c r="N30" s="148"/>
    </row>
    <row r="31" spans="1:14" s="3" customFormat="1" ht="15.75" x14ac:dyDescent="0.2">
      <c r="A31" s="562" t="s">
        <v>372</v>
      </c>
      <c r="B31" s="280">
        <v>2811028.8303010399</v>
      </c>
      <c r="C31" s="280">
        <v>2696605.4469194598</v>
      </c>
      <c r="D31" s="166">
        <f t="shared" si="5"/>
        <v>-4.0999999999999996</v>
      </c>
      <c r="E31" s="11">
        <f>IFERROR(100/'Skjema total MA'!C31*C31,0)</f>
        <v>8.1421744913268004</v>
      </c>
      <c r="F31" s="289">
        <v>767791.00699999998</v>
      </c>
      <c r="G31" s="289">
        <v>865039.82233444694</v>
      </c>
      <c r="H31" s="166">
        <f t="shared" si="6"/>
        <v>12.7</v>
      </c>
      <c r="I31" s="366">
        <f>IFERROR(100/'Skjema total MA'!F31*G31,0)</f>
        <v>8.8765628327294639</v>
      </c>
      <c r="J31" s="289">
        <f t="shared" si="11"/>
        <v>3578819.8373010401</v>
      </c>
      <c r="K31" s="289">
        <f t="shared" si="12"/>
        <v>3561645.2692539068</v>
      </c>
      <c r="L31" s="166">
        <f t="shared" si="8"/>
        <v>-0.5</v>
      </c>
      <c r="M31" s="23">
        <f>IFERROR(100/'Skjema total MA'!I31*K31,0)</f>
        <v>8.3091383097336546</v>
      </c>
      <c r="N31" s="148"/>
    </row>
    <row r="32" spans="1:14" ht="15.75" x14ac:dyDescent="0.2">
      <c r="A32" s="562" t="s">
        <v>373</v>
      </c>
      <c r="B32" s="280">
        <v>293854.67499999999</v>
      </c>
      <c r="C32" s="280">
        <v>409350.813995804</v>
      </c>
      <c r="D32" s="166">
        <f t="shared" si="5"/>
        <v>39.299999999999997</v>
      </c>
      <c r="E32" s="11">
        <f>IFERROR(100/'Skjema total MA'!C32*C32,0)</f>
        <v>26.650030440017794</v>
      </c>
      <c r="F32" s="289">
        <v>1946767.19</v>
      </c>
      <c r="G32" s="289">
        <v>1985799.57387601</v>
      </c>
      <c r="H32" s="166">
        <f t="shared" si="6"/>
        <v>2</v>
      </c>
      <c r="I32" s="366">
        <f>IFERROR(100/'Skjema total MA'!F32*G32,0)</f>
        <v>44.693217358155991</v>
      </c>
      <c r="J32" s="289">
        <f t="shared" si="11"/>
        <v>2240621.8649999998</v>
      </c>
      <c r="K32" s="289">
        <f t="shared" si="12"/>
        <v>2395150.387871814</v>
      </c>
      <c r="L32" s="166">
        <f t="shared" si="8"/>
        <v>6.9</v>
      </c>
      <c r="M32" s="23">
        <f>IFERROR(100/'Skjema total MA'!I32*K32,0)</f>
        <v>40.058023266501451</v>
      </c>
    </row>
    <row r="33" spans="1:14" ht="15.75" x14ac:dyDescent="0.2">
      <c r="A33" s="562" t="s">
        <v>374</v>
      </c>
      <c r="B33" s="280"/>
      <c r="C33" s="280"/>
      <c r="D33" s="166"/>
      <c r="E33" s="11"/>
      <c r="F33" s="289">
        <v>328413.89</v>
      </c>
      <c r="G33" s="289">
        <v>749404.75267705903</v>
      </c>
      <c r="H33" s="166">
        <f t="shared" si="6"/>
        <v>128.19999999999999</v>
      </c>
      <c r="I33" s="366">
        <f>IFERROR(100/'Skjema total MA'!F33*G33,0)</f>
        <v>26.604413309654259</v>
      </c>
      <c r="J33" s="289">
        <f t="shared" si="11"/>
        <v>328413.89</v>
      </c>
      <c r="K33" s="289">
        <f t="shared" si="12"/>
        <v>749404.75267705903</v>
      </c>
      <c r="L33" s="166">
        <f t="shared" si="8"/>
        <v>128.19999999999999</v>
      </c>
      <c r="M33" s="23">
        <f>IFERROR(100/'Skjema total MA'!I33*K33,0)</f>
        <v>26.604413309654259</v>
      </c>
    </row>
    <row r="34" spans="1:14" ht="15.75" x14ac:dyDescent="0.2">
      <c r="A34" s="13" t="s">
        <v>369</v>
      </c>
      <c r="B34" s="235">
        <v>1506.04241</v>
      </c>
      <c r="C34" s="308">
        <v>0</v>
      </c>
      <c r="D34" s="171">
        <f t="shared" si="5"/>
        <v>-100</v>
      </c>
      <c r="E34" s="11">
        <f>IFERROR(100/'Skjema total MA'!C34*C34,0)</f>
        <v>0</v>
      </c>
      <c r="F34" s="307">
        <v>3696.1748200000002</v>
      </c>
      <c r="G34" s="308">
        <v>4365.30771</v>
      </c>
      <c r="H34" s="171">
        <f t="shared" si="6"/>
        <v>18.100000000000001</v>
      </c>
      <c r="I34" s="11">
        <f>IFERROR(100/'Skjema total MA'!F34*G34,0)</f>
        <v>7.6977179336838573</v>
      </c>
      <c r="J34" s="235">
        <f t="shared" si="7"/>
        <v>5202.2172300000002</v>
      </c>
      <c r="K34" s="235">
        <f t="shared" si="7"/>
        <v>4365.30771</v>
      </c>
      <c r="L34" s="375">
        <f t="shared" si="8"/>
        <v>-16.100000000000001</v>
      </c>
      <c r="M34" s="24">
        <f>IFERROR(100/'Skjema total MA'!I34*K34,0)</f>
        <v>5.559352222173124</v>
      </c>
    </row>
    <row r="35" spans="1:14" ht="15.75" x14ac:dyDescent="0.2">
      <c r="A35" s="13" t="s">
        <v>370</v>
      </c>
      <c r="B35" s="235"/>
      <c r="C35" s="308"/>
      <c r="D35" s="171"/>
      <c r="E35" s="11"/>
      <c r="F35" s="307">
        <v>15987.272629999999</v>
      </c>
      <c r="G35" s="308">
        <v>16246.516960000001</v>
      </c>
      <c r="H35" s="171">
        <f t="shared" si="6"/>
        <v>1.6</v>
      </c>
      <c r="I35" s="11">
        <f>IFERROR(100/'Skjema total MA'!F35*G35,0)</f>
        <v>18.459493165343066</v>
      </c>
      <c r="J35" s="235">
        <f t="shared" si="7"/>
        <v>15987.272629999999</v>
      </c>
      <c r="K35" s="235">
        <f t="shared" si="7"/>
        <v>16246.516960000001</v>
      </c>
      <c r="L35" s="375">
        <f t="shared" si="8"/>
        <v>1.6</v>
      </c>
      <c r="M35" s="24">
        <f>IFERROR(100/'Skjema total MA'!I35*K35,0)</f>
        <v>22.250696927592401</v>
      </c>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374"/>
      <c r="E47" s="11"/>
      <c r="F47" s="145"/>
      <c r="G47" s="33"/>
      <c r="H47" s="159"/>
      <c r="I47" s="159"/>
      <c r="J47" s="37"/>
      <c r="K47" s="37"/>
      <c r="L47" s="159"/>
      <c r="M47" s="159"/>
      <c r="N47" s="148"/>
    </row>
    <row r="48" spans="1:14" s="3" customFormat="1" ht="15.75" x14ac:dyDescent="0.2">
      <c r="A48" s="38" t="s">
        <v>379</v>
      </c>
      <c r="B48" s="280"/>
      <c r="C48" s="281"/>
      <c r="D48" s="253"/>
      <c r="E48" s="27"/>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v>772504</v>
      </c>
      <c r="C66" s="353">
        <v>763447</v>
      </c>
      <c r="D66" s="350">
        <f t="shared" ref="D66:D111" si="13">IF(B66=0, "    ---- ", IF(ABS(ROUND(100/B66*C66-100,1))&lt;999,ROUND(100/B66*C66-100,1),IF(ROUND(100/B66*C66-100,1)&gt;999,999,-999)))</f>
        <v>-1.2</v>
      </c>
      <c r="E66" s="11">
        <f>IFERROR(100/'Skjema total MA'!C66*C66,0)</f>
        <v>10.736170768226458</v>
      </c>
      <c r="F66" s="352">
        <v>2736191.9870000002</v>
      </c>
      <c r="G66" s="352">
        <v>3042954.1359999999</v>
      </c>
      <c r="H66" s="350">
        <f t="shared" ref="H66:H111" si="14">IF(F66=0, "    ---- ", IF(ABS(ROUND(100/F66*G66-100,1))&lt;999,ROUND(100/F66*G66-100,1),IF(ROUND(100/F66*G66-100,1)&gt;999,999,-999)))</f>
        <v>11.2</v>
      </c>
      <c r="I66" s="11">
        <f>IFERROR(100/'Skjema total MA'!F66*G66,0)</f>
        <v>12.792679082977974</v>
      </c>
      <c r="J66" s="308">
        <f t="shared" ref="J66:K86" si="15">SUM(B66,F66)</f>
        <v>3508695.9870000002</v>
      </c>
      <c r="K66" s="315">
        <f t="shared" si="15"/>
        <v>3806401.1359999999</v>
      </c>
      <c r="L66" s="375">
        <f t="shared" ref="L66:L111" si="16">IF(J66=0, "    ---- ", IF(ABS(ROUND(100/J66*K66-100,1))&lt;999,ROUND(100/J66*K66-100,1),IF(ROUND(100/J66*K66-100,1)&gt;999,999,-999)))</f>
        <v>8.5</v>
      </c>
      <c r="M66" s="11">
        <f>IFERROR(100/'Skjema total MA'!I66*K66,0)</f>
        <v>12.31938148384199</v>
      </c>
    </row>
    <row r="67" spans="1:14" x14ac:dyDescent="0.2">
      <c r="A67" s="368" t="s">
        <v>9</v>
      </c>
      <c r="B67" s="44">
        <v>585700.44700000004</v>
      </c>
      <c r="C67" s="145">
        <v>587898.54475553602</v>
      </c>
      <c r="D67" s="166">
        <f t="shared" si="13"/>
        <v>0.4</v>
      </c>
      <c r="E67" s="27">
        <f>IFERROR(100/'Skjema total MA'!C67*C67,0)</f>
        <v>10.815581094156059</v>
      </c>
      <c r="F67" s="233"/>
      <c r="G67" s="145"/>
      <c r="H67" s="166"/>
      <c r="I67" s="27"/>
      <c r="J67" s="286">
        <f t="shared" si="15"/>
        <v>585700.44700000004</v>
      </c>
      <c r="K67" s="44">
        <f t="shared" si="15"/>
        <v>587898.54475553602</v>
      </c>
      <c r="L67" s="253">
        <f t="shared" si="16"/>
        <v>0.4</v>
      </c>
      <c r="M67" s="27">
        <f>IFERROR(100/'Skjema total MA'!I67*K67,0)</f>
        <v>10.815581094156059</v>
      </c>
    </row>
    <row r="68" spans="1:14" x14ac:dyDescent="0.2">
      <c r="A68" s="21" t="s">
        <v>10</v>
      </c>
      <c r="B68" s="291">
        <v>18467</v>
      </c>
      <c r="C68" s="292">
        <v>14847</v>
      </c>
      <c r="D68" s="166">
        <f t="shared" si="13"/>
        <v>-19.600000000000001</v>
      </c>
      <c r="E68" s="27">
        <f>IFERROR(100/'Skjema total MA'!C68*C68,0)</f>
        <v>11.360362120983941</v>
      </c>
      <c r="F68" s="291">
        <v>2736191.9870000002</v>
      </c>
      <c r="G68" s="292">
        <v>3042954.1359999999</v>
      </c>
      <c r="H68" s="166">
        <f t="shared" si="14"/>
        <v>11.2</v>
      </c>
      <c r="I68" s="27">
        <f>IFERROR(100/'Skjema total MA'!F68*G68,0)</f>
        <v>12.965000468698069</v>
      </c>
      <c r="J68" s="286">
        <f t="shared" si="15"/>
        <v>2754658.9870000002</v>
      </c>
      <c r="K68" s="44">
        <f t="shared" si="15"/>
        <v>3057801.1359999999</v>
      </c>
      <c r="L68" s="253">
        <f t="shared" si="16"/>
        <v>11</v>
      </c>
      <c r="M68" s="27">
        <f>IFERROR(100/'Skjema total MA'!I68*K68,0)</f>
        <v>12.95611481771641</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v>168336.55300000001</v>
      </c>
      <c r="C76" s="145">
        <v>160701.45524446401</v>
      </c>
      <c r="D76" s="166">
        <f t="shared" ref="D76" si="17">IF(B76=0, "    ---- ", IF(ABS(ROUND(100/B76*C76-100,1))&lt;999,ROUND(100/B76*C76-100,1),IF(ROUND(100/B76*C76-100,1)&gt;999,999,-999)))</f>
        <v>-4.5</v>
      </c>
      <c r="E76" s="27">
        <f>IFERROR(100/'Skjema total MA'!C77*C76,0)</f>
        <v>2.9317865135220842</v>
      </c>
      <c r="F76" s="233"/>
      <c r="G76" s="145"/>
      <c r="H76" s="166"/>
      <c r="I76" s="27"/>
      <c r="J76" s="286">
        <f t="shared" ref="J76" si="18">SUM(B76,F76)</f>
        <v>168336.55300000001</v>
      </c>
      <c r="K76" s="44">
        <f t="shared" ref="K76" si="19">SUM(C76,G76)</f>
        <v>160701.45524446401</v>
      </c>
      <c r="L76" s="253">
        <f t="shared" ref="L76" si="20">IF(J76=0, "    ---- ", IF(ABS(ROUND(100/J76*K76-100,1))&lt;999,ROUND(100/J76*K76-100,1),IF(ROUND(100/J76*K76-100,1)&gt;999,999,-999)))</f>
        <v>-4.5</v>
      </c>
      <c r="M76" s="27">
        <f>IFERROR(100/'Skjema total MA'!I77*K76,0)</f>
        <v>0.55525497801112889</v>
      </c>
      <c r="N76" s="148"/>
    </row>
    <row r="77" spans="1:14" ht="15.75" x14ac:dyDescent="0.2">
      <c r="A77" s="21" t="s">
        <v>385</v>
      </c>
      <c r="B77" s="233">
        <v>592918.12699999998</v>
      </c>
      <c r="C77" s="233">
        <v>593557.34575553599</v>
      </c>
      <c r="D77" s="166">
        <f t="shared" si="13"/>
        <v>0.1</v>
      </c>
      <c r="E77" s="27">
        <f>IFERROR(100/'Skjema total MA'!C77*C77,0)</f>
        <v>10.828672451290652</v>
      </c>
      <c r="F77" s="233">
        <v>2733068.767</v>
      </c>
      <c r="G77" s="145">
        <v>3039906.8629999999</v>
      </c>
      <c r="H77" s="166">
        <f t="shared" si="14"/>
        <v>11.2</v>
      </c>
      <c r="I77" s="27">
        <f>IFERROR(100/'Skjema total MA'!F77*G77,0)</f>
        <v>12.957514104276498</v>
      </c>
      <c r="J77" s="286">
        <f t="shared" si="15"/>
        <v>3325986.8939999999</v>
      </c>
      <c r="K77" s="44">
        <f t="shared" si="15"/>
        <v>3633464.208755536</v>
      </c>
      <c r="L77" s="253">
        <f t="shared" si="16"/>
        <v>9.1999999999999993</v>
      </c>
      <c r="M77" s="27">
        <f>IFERROR(100/'Skjema total MA'!I77*K77,0)</f>
        <v>12.554329929792464</v>
      </c>
    </row>
    <row r="78" spans="1:14" x14ac:dyDescent="0.2">
      <c r="A78" s="21" t="s">
        <v>9</v>
      </c>
      <c r="B78" s="233">
        <v>577579.98</v>
      </c>
      <c r="C78" s="145">
        <v>581763.34575553599</v>
      </c>
      <c r="D78" s="166">
        <f t="shared" si="13"/>
        <v>0.7</v>
      </c>
      <c r="E78" s="27">
        <f>IFERROR(100/'Skjema total MA'!C78*C78,0)</f>
        <v>10.866543915756656</v>
      </c>
      <c r="F78" s="233"/>
      <c r="G78" s="145"/>
      <c r="H78" s="166"/>
      <c r="I78" s="27"/>
      <c r="J78" s="286">
        <f t="shared" si="15"/>
        <v>577579.98</v>
      </c>
      <c r="K78" s="44">
        <f t="shared" si="15"/>
        <v>581763.34575553599</v>
      </c>
      <c r="L78" s="253">
        <f t="shared" si="16"/>
        <v>0.7</v>
      </c>
      <c r="M78" s="27">
        <f>IFERROR(100/'Skjema total MA'!I78*K78,0)</f>
        <v>10.866543915756656</v>
      </c>
    </row>
    <row r="79" spans="1:14" x14ac:dyDescent="0.2">
      <c r="A79" s="21" t="s">
        <v>10</v>
      </c>
      <c r="B79" s="291">
        <v>15338.147000000001</v>
      </c>
      <c r="C79" s="292">
        <v>11794</v>
      </c>
      <c r="D79" s="166">
        <f t="shared" si="13"/>
        <v>-23.1</v>
      </c>
      <c r="E79" s="27">
        <f>IFERROR(100/'Skjema total MA'!C79*C79,0)</f>
        <v>9.2401763565894388</v>
      </c>
      <c r="F79" s="291">
        <v>2733068.767</v>
      </c>
      <c r="G79" s="292">
        <v>3039906.8629999999</v>
      </c>
      <c r="H79" s="166">
        <f t="shared" si="14"/>
        <v>11.2</v>
      </c>
      <c r="I79" s="27">
        <f>IFERROR(100/'Skjema total MA'!F79*G79,0)</f>
        <v>12.957514104276498</v>
      </c>
      <c r="J79" s="286">
        <f t="shared" si="15"/>
        <v>2748406.9139999999</v>
      </c>
      <c r="K79" s="44">
        <f t="shared" si="15"/>
        <v>3051700.8629999999</v>
      </c>
      <c r="L79" s="253">
        <f t="shared" si="16"/>
        <v>11</v>
      </c>
      <c r="M79" s="27">
        <f>IFERROR(100/'Skjema total MA'!I79*K79,0)</f>
        <v>12.937399203079265</v>
      </c>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v>11249.32</v>
      </c>
      <c r="C86" s="145">
        <v>9188</v>
      </c>
      <c r="D86" s="166">
        <f t="shared" si="13"/>
        <v>-18.3</v>
      </c>
      <c r="E86" s="27">
        <f>IFERROR(100/'Skjema total MA'!C86*C86,0)</f>
        <v>10.808782312088885</v>
      </c>
      <c r="F86" s="233">
        <v>3123.22</v>
      </c>
      <c r="G86" s="145">
        <v>3047.2730000000001</v>
      </c>
      <c r="H86" s="166">
        <f t="shared" si="14"/>
        <v>-2.4</v>
      </c>
      <c r="I86" s="27">
        <f>IFERROR(100/'Skjema total MA'!F86*G86,0)</f>
        <v>30.604233207251308</v>
      </c>
      <c r="J86" s="286">
        <f t="shared" si="15"/>
        <v>14372.539999999999</v>
      </c>
      <c r="K86" s="44">
        <f t="shared" si="15"/>
        <v>12235.273000000001</v>
      </c>
      <c r="L86" s="253">
        <f t="shared" si="16"/>
        <v>-14.9</v>
      </c>
      <c r="M86" s="27">
        <f>IFERROR(100/'Skjema total MA'!I86*K86,0)</f>
        <v>12.884391064721202</v>
      </c>
    </row>
    <row r="87" spans="1:13" ht="15.75" x14ac:dyDescent="0.2">
      <c r="A87" s="13" t="s">
        <v>368</v>
      </c>
      <c r="B87" s="353">
        <v>45419778.988371648</v>
      </c>
      <c r="C87" s="353">
        <v>46680109.298264585</v>
      </c>
      <c r="D87" s="171">
        <f t="shared" si="13"/>
        <v>2.8</v>
      </c>
      <c r="E87" s="11">
        <f>IFERROR(100/'Skjema total MA'!C87*C87,0)</f>
        <v>11.960331162752093</v>
      </c>
      <c r="F87" s="352">
        <v>33730048.969175398</v>
      </c>
      <c r="G87" s="352">
        <v>38656840.236000001</v>
      </c>
      <c r="H87" s="171">
        <f t="shared" si="14"/>
        <v>14.6</v>
      </c>
      <c r="I87" s="11">
        <f>IFERROR(100/'Skjema total MA'!F87*G87,0)</f>
        <v>13.126232317854907</v>
      </c>
      <c r="J87" s="308">
        <f t="shared" ref="J87:K111" si="21">SUM(B87,F87)</f>
        <v>79149827.957547039</v>
      </c>
      <c r="K87" s="235">
        <f t="shared" si="21"/>
        <v>85336949.534264594</v>
      </c>
      <c r="L87" s="375">
        <f t="shared" si="16"/>
        <v>7.8</v>
      </c>
      <c r="M87" s="11">
        <f>IFERROR(100/'Skjema total MA'!I87*K87,0)</f>
        <v>12.461737096103819</v>
      </c>
    </row>
    <row r="88" spans="1:13" x14ac:dyDescent="0.2">
      <c r="A88" s="21" t="s">
        <v>9</v>
      </c>
      <c r="B88" s="233">
        <v>44284063.5349143</v>
      </c>
      <c r="C88" s="145">
        <v>45357535.151651099</v>
      </c>
      <c r="D88" s="166">
        <f t="shared" si="13"/>
        <v>2.4</v>
      </c>
      <c r="E88" s="27">
        <f>IFERROR(100/'Skjema total MA'!C88*C88,0)</f>
        <v>11.90994769359471</v>
      </c>
      <c r="F88" s="233"/>
      <c r="G88" s="145"/>
      <c r="H88" s="166"/>
      <c r="I88" s="27"/>
      <c r="J88" s="286">
        <f t="shared" si="21"/>
        <v>44284063.5349143</v>
      </c>
      <c r="K88" s="44">
        <f t="shared" si="21"/>
        <v>45357535.151651099</v>
      </c>
      <c r="L88" s="253">
        <f t="shared" si="16"/>
        <v>2.4</v>
      </c>
      <c r="M88" s="27">
        <f>IFERROR(100/'Skjema total MA'!I88*K88,0)</f>
        <v>11.90994769359471</v>
      </c>
    </row>
    <row r="89" spans="1:13" x14ac:dyDescent="0.2">
      <c r="A89" s="21" t="s">
        <v>10</v>
      </c>
      <c r="B89" s="233">
        <v>1035484.9074573501</v>
      </c>
      <c r="C89" s="145">
        <v>1150474.7776134801</v>
      </c>
      <c r="D89" s="166">
        <f t="shared" si="13"/>
        <v>11.1</v>
      </c>
      <c r="E89" s="27">
        <f>IFERROR(100/'Skjema total MA'!C89*C89,0)</f>
        <v>37.926964989279099</v>
      </c>
      <c r="F89" s="233">
        <v>33730048.969175398</v>
      </c>
      <c r="G89" s="145">
        <v>38656840.236000001</v>
      </c>
      <c r="H89" s="166">
        <f t="shared" si="14"/>
        <v>14.6</v>
      </c>
      <c r="I89" s="27">
        <f>IFERROR(100/'Skjema total MA'!F89*G89,0)</f>
        <v>13.18873485398165</v>
      </c>
      <c r="J89" s="286">
        <f t="shared" si="21"/>
        <v>34765533.87663275</v>
      </c>
      <c r="K89" s="44">
        <f t="shared" si="21"/>
        <v>39807315.013613485</v>
      </c>
      <c r="L89" s="253">
        <f t="shared" si="16"/>
        <v>14.5</v>
      </c>
      <c r="M89" s="27">
        <f>IFERROR(100/'Skjema total MA'!I89*K89,0)</f>
        <v>13.442132706191593</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v>100230.546</v>
      </c>
      <c r="C97" s="145">
        <v>172099.36900000001</v>
      </c>
      <c r="D97" s="166">
        <f t="shared" ref="D97" si="22">IF(B97=0, "    ---- ", IF(ABS(ROUND(100/B97*C97-100,1))&lt;999,ROUND(100/B97*C97-100,1),IF(ROUND(100/B97*C97-100,1)&gt;999,999,-999)))</f>
        <v>71.7</v>
      </c>
      <c r="E97" s="27">
        <f>IFERROR(100/'Skjema total MA'!C98*C97,0)</f>
        <v>4.5392615860269353E-2</v>
      </c>
      <c r="F97" s="233"/>
      <c r="G97" s="145"/>
      <c r="H97" s="166"/>
      <c r="I97" s="27"/>
      <c r="J97" s="286">
        <f t="shared" ref="J97" si="23">SUM(B97,F97)</f>
        <v>100230.546</v>
      </c>
      <c r="K97" s="44">
        <f t="shared" ref="K97" si="24">SUM(C97,G97)</f>
        <v>172099.36900000001</v>
      </c>
      <c r="L97" s="253">
        <f t="shared" ref="L97" si="25">IF(J97=0, "    ---- ", IF(ABS(ROUND(100/J97*K97-100,1))&lt;999,ROUND(100/J97*K97-100,1),IF(ROUND(100/J97*K97-100,1)&gt;999,999,-999)))</f>
        <v>71.7</v>
      </c>
      <c r="M97" s="27">
        <f>IFERROR(100/'Skjema total MA'!I98*K97,0)</f>
        <v>2.5631753769363653E-2</v>
      </c>
    </row>
    <row r="98" spans="1:13" ht="15.75" x14ac:dyDescent="0.2">
      <c r="A98" s="21" t="s">
        <v>385</v>
      </c>
      <c r="B98" s="233">
        <v>45293513.348371655</v>
      </c>
      <c r="C98" s="233">
        <v>46482108.881264582</v>
      </c>
      <c r="D98" s="166">
        <f t="shared" si="13"/>
        <v>2.6</v>
      </c>
      <c r="E98" s="27">
        <f>IFERROR(100/'Skjema total MA'!C98*C98,0)</f>
        <v>12.260036309734858</v>
      </c>
      <c r="F98" s="291">
        <v>33708782.177175403</v>
      </c>
      <c r="G98" s="291">
        <v>38632563.642999999</v>
      </c>
      <c r="H98" s="166">
        <f t="shared" si="14"/>
        <v>14.6</v>
      </c>
      <c r="I98" s="27">
        <f>IFERROR(100/'Skjema total MA'!F98*G98,0)</f>
        <v>13.216969767321324</v>
      </c>
      <c r="J98" s="286">
        <f t="shared" si="21"/>
        <v>79002295.525547057</v>
      </c>
      <c r="K98" s="44">
        <f t="shared" si="21"/>
        <v>85114672.524264574</v>
      </c>
      <c r="L98" s="253">
        <f t="shared" si="16"/>
        <v>7.7</v>
      </c>
      <c r="M98" s="27">
        <f>IFERROR(100/'Skjema total MA'!I98*K98,0)</f>
        <v>12.676620146712864</v>
      </c>
    </row>
    <row r="99" spans="1:13" x14ac:dyDescent="0.2">
      <c r="A99" s="21" t="s">
        <v>9</v>
      </c>
      <c r="B99" s="291">
        <v>44258028.440914303</v>
      </c>
      <c r="C99" s="292">
        <v>45331634.103651099</v>
      </c>
      <c r="D99" s="166">
        <f t="shared" si="13"/>
        <v>2.4</v>
      </c>
      <c r="E99" s="27">
        <f>IFERROR(100/'Skjema total MA'!C99*C99,0)</f>
        <v>12.053023348353669</v>
      </c>
      <c r="F99" s="233"/>
      <c r="G99" s="145"/>
      <c r="H99" s="166"/>
      <c r="I99" s="27"/>
      <c r="J99" s="286">
        <f t="shared" si="21"/>
        <v>44258028.440914303</v>
      </c>
      <c r="K99" s="44">
        <f t="shared" si="21"/>
        <v>45331634.103651099</v>
      </c>
      <c r="L99" s="253">
        <f t="shared" si="16"/>
        <v>2.4</v>
      </c>
      <c r="M99" s="27">
        <f>IFERROR(100/'Skjema total MA'!I99*K99,0)</f>
        <v>12.053023348353669</v>
      </c>
    </row>
    <row r="100" spans="1:13" x14ac:dyDescent="0.2">
      <c r="A100" s="21" t="s">
        <v>10</v>
      </c>
      <c r="B100" s="291">
        <v>1035484.9074573501</v>
      </c>
      <c r="C100" s="292">
        <v>1150474.7776134801</v>
      </c>
      <c r="D100" s="166">
        <f t="shared" si="13"/>
        <v>11.1</v>
      </c>
      <c r="E100" s="27">
        <f>IFERROR(100/'Skjema total MA'!C100*C100,0)</f>
        <v>37.926964989279099</v>
      </c>
      <c r="F100" s="233">
        <v>33708782.177175403</v>
      </c>
      <c r="G100" s="233">
        <v>38632563.642999999</v>
      </c>
      <c r="H100" s="166">
        <f t="shared" si="14"/>
        <v>14.6</v>
      </c>
      <c r="I100" s="27">
        <f>IFERROR(100/'Skjema total MA'!F100*G100,0)</f>
        <v>13.216969767321324</v>
      </c>
      <c r="J100" s="286">
        <f t="shared" si="21"/>
        <v>34744267.084632754</v>
      </c>
      <c r="K100" s="44">
        <f t="shared" si="21"/>
        <v>39783038.420613483</v>
      </c>
      <c r="L100" s="253">
        <f t="shared" si="16"/>
        <v>14.5</v>
      </c>
      <c r="M100" s="27">
        <f>IFERROR(100/'Skjema total MA'!I100*K100,0)</f>
        <v>13.470772459010869</v>
      </c>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v>26035.094000000001</v>
      </c>
      <c r="C107" s="145">
        <v>25901.047999999999</v>
      </c>
      <c r="D107" s="166">
        <f t="shared" si="13"/>
        <v>-0.5</v>
      </c>
      <c r="E107" s="27">
        <f>IFERROR(100/'Skjema total MA'!C107*C107,0)</f>
        <v>0.54693979845956386</v>
      </c>
      <c r="F107" s="233">
        <v>21266.792000000001</v>
      </c>
      <c r="G107" s="145">
        <v>24276.593000000001</v>
      </c>
      <c r="H107" s="166">
        <f t="shared" si="14"/>
        <v>14.2</v>
      </c>
      <c r="I107" s="27">
        <f>IFERROR(100/'Skjema total MA'!F107*G107,0)</f>
        <v>2.9977520833990932</v>
      </c>
      <c r="J107" s="286">
        <f t="shared" si="21"/>
        <v>47301.885999999999</v>
      </c>
      <c r="K107" s="44">
        <f t="shared" si="21"/>
        <v>50177.641000000003</v>
      </c>
      <c r="L107" s="253">
        <f t="shared" si="16"/>
        <v>6.1</v>
      </c>
      <c r="M107" s="27">
        <f>IFERROR(100/'Skjema total MA'!I107*K107,0)</f>
        <v>0.9048422913356331</v>
      </c>
    </row>
    <row r="108" spans="1:13" ht="15.75" x14ac:dyDescent="0.2">
      <c r="A108" s="21" t="s">
        <v>387</v>
      </c>
      <c r="B108" s="233">
        <v>34073254.560535297</v>
      </c>
      <c r="C108" s="233">
        <v>35088037.789637201</v>
      </c>
      <c r="D108" s="166">
        <f t="shared" si="13"/>
        <v>3</v>
      </c>
      <c r="E108" s="27">
        <f>IFERROR(100/'Skjema total MA'!C108*C108,0)</f>
        <v>11.101957427953023</v>
      </c>
      <c r="F108" s="233"/>
      <c r="G108" s="233"/>
      <c r="H108" s="166"/>
      <c r="I108" s="27"/>
      <c r="J108" s="286">
        <f t="shared" si="21"/>
        <v>34073254.560535297</v>
      </c>
      <c r="K108" s="44">
        <f t="shared" si="21"/>
        <v>35088037.789637201</v>
      </c>
      <c r="L108" s="253">
        <f t="shared" si="16"/>
        <v>3</v>
      </c>
      <c r="M108" s="27">
        <f>IFERROR(100/'Skjema total MA'!I108*K108,0)</f>
        <v>10.551138472035685</v>
      </c>
    </row>
    <row r="109" spans="1:13" ht="15.75" x14ac:dyDescent="0.2">
      <c r="A109" s="21" t="s">
        <v>388</v>
      </c>
      <c r="B109" s="233">
        <v>510080.69116777199</v>
      </c>
      <c r="C109" s="233">
        <v>538581.74821826804</v>
      </c>
      <c r="D109" s="166">
        <f t="shared" si="13"/>
        <v>5.6</v>
      </c>
      <c r="E109" s="27">
        <f>IFERROR(100/'Skjema total MA'!C109*C109,0)</f>
        <v>55.037112596464603</v>
      </c>
      <c r="F109" s="233">
        <v>14223999.6978948</v>
      </c>
      <c r="G109" s="233">
        <v>15874769.530160001</v>
      </c>
      <c r="H109" s="166">
        <f t="shared" si="14"/>
        <v>11.6</v>
      </c>
      <c r="I109" s="27">
        <f>IFERROR(100/'Skjema total MA'!F109*G109,0)</f>
        <v>15.880786969853336</v>
      </c>
      <c r="J109" s="286">
        <f t="shared" si="21"/>
        <v>14734080.389062572</v>
      </c>
      <c r="K109" s="44">
        <f t="shared" si="21"/>
        <v>16413351.278378269</v>
      </c>
      <c r="L109" s="253">
        <f t="shared" si="16"/>
        <v>11.4</v>
      </c>
      <c r="M109" s="27">
        <f>IFERROR(100/'Skjema total MA'!I109*K109,0)</f>
        <v>16.260391740351935</v>
      </c>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v>853.54300000000001</v>
      </c>
      <c r="C111" s="159">
        <v>261</v>
      </c>
      <c r="D111" s="171">
        <f t="shared" si="13"/>
        <v>-69.400000000000006</v>
      </c>
      <c r="E111" s="11">
        <f>IFERROR(100/'Skjema total MA'!C111*C111,0)</f>
        <v>6.8858058879412765E-2</v>
      </c>
      <c r="F111" s="307">
        <v>1994516.48297</v>
      </c>
      <c r="G111" s="159">
        <v>2509772.0440000002</v>
      </c>
      <c r="H111" s="171">
        <f t="shared" si="14"/>
        <v>25.8</v>
      </c>
      <c r="I111" s="11">
        <f>IFERROR(100/'Skjema total MA'!F111*G111,0)</f>
        <v>22.741627854217295</v>
      </c>
      <c r="J111" s="308">
        <f t="shared" si="21"/>
        <v>1995370.0259700001</v>
      </c>
      <c r="K111" s="235">
        <f t="shared" si="21"/>
        <v>2510033.0440000002</v>
      </c>
      <c r="L111" s="375">
        <f t="shared" si="16"/>
        <v>25.8</v>
      </c>
      <c r="M111" s="11">
        <f>IFERROR(100/'Skjema total MA'!I111*K111,0)</f>
        <v>21.988771973967808</v>
      </c>
    </row>
    <row r="112" spans="1:13" x14ac:dyDescent="0.2">
      <c r="A112" s="21" t="s">
        <v>9</v>
      </c>
      <c r="B112" s="233">
        <v>853.54300000000001</v>
      </c>
      <c r="C112" s="145">
        <v>261</v>
      </c>
      <c r="D112" s="166">
        <f t="shared" ref="D112:D120" si="26">IF(B112=0, "    ---- ", IF(ABS(ROUND(100/B112*C112-100,1))&lt;999,ROUND(100/B112*C112-100,1),IF(ROUND(100/B112*C112-100,1)&gt;999,999,-999)))</f>
        <v>-69.400000000000006</v>
      </c>
      <c r="E112" s="27">
        <f>IFERROR(100/'Skjema total MA'!C112*C112,0)</f>
        <v>8.6278679806328737E-2</v>
      </c>
      <c r="F112" s="233"/>
      <c r="G112" s="145"/>
      <c r="H112" s="166"/>
      <c r="I112" s="27"/>
      <c r="J112" s="286">
        <f t="shared" ref="J112:K125" si="27">SUM(B112,F112)</f>
        <v>853.54300000000001</v>
      </c>
      <c r="K112" s="44">
        <f t="shared" si="27"/>
        <v>261</v>
      </c>
      <c r="L112" s="253">
        <f t="shared" ref="L112:L125" si="28">IF(J112=0, "    ---- ", IF(ABS(ROUND(100/J112*K112-100,1))&lt;999,ROUND(100/J112*K112-100,1),IF(ROUND(100/J112*K112-100,1)&gt;999,999,-999)))</f>
        <v>-69.400000000000006</v>
      </c>
      <c r="M112" s="27">
        <f>IFERROR(100/'Skjema total MA'!I112*K112,0)</f>
        <v>8.4636075256961069E-2</v>
      </c>
    </row>
    <row r="113" spans="1:14" x14ac:dyDescent="0.2">
      <c r="A113" s="21" t="s">
        <v>10</v>
      </c>
      <c r="B113" s="233"/>
      <c r="C113" s="145"/>
      <c r="D113" s="166"/>
      <c r="E113" s="27"/>
      <c r="F113" s="233">
        <v>1994516.48297</v>
      </c>
      <c r="G113" s="145">
        <v>2509772.0440000002</v>
      </c>
      <c r="H113" s="166">
        <f t="shared" ref="H113:H125" si="29">IF(F113=0, "    ---- ", IF(ABS(ROUND(100/F113*G113-100,1))&lt;999,ROUND(100/F113*G113-100,1),IF(ROUND(100/F113*G113-100,1)&gt;999,999,-999)))</f>
        <v>25.8</v>
      </c>
      <c r="I113" s="27">
        <f>IFERROR(100/'Skjema total MA'!F113*G113,0)</f>
        <v>22.817625072809285</v>
      </c>
      <c r="J113" s="286">
        <f t="shared" si="27"/>
        <v>1994516.48297</v>
      </c>
      <c r="K113" s="44">
        <f t="shared" si="27"/>
        <v>2509772.0440000002</v>
      </c>
      <c r="L113" s="253">
        <f t="shared" si="28"/>
        <v>25.8</v>
      </c>
      <c r="M113" s="27">
        <f>IFERROR(100/'Skjema total MA'!I113*K113,0)</f>
        <v>22.814736559464219</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v>556.01499999999999</v>
      </c>
      <c r="C116" s="233">
        <v>260.63900000000001</v>
      </c>
      <c r="D116" s="166">
        <f t="shared" si="26"/>
        <v>-53.1</v>
      </c>
      <c r="E116" s="27">
        <f>IFERROR(100/'Skjema total MA'!C116*C116,0)</f>
        <v>0.23801319412227784</v>
      </c>
      <c r="F116" s="233"/>
      <c r="G116" s="233"/>
      <c r="H116" s="166"/>
      <c r="I116" s="27"/>
      <c r="J116" s="286">
        <f t="shared" si="27"/>
        <v>556.01499999999999</v>
      </c>
      <c r="K116" s="44">
        <f t="shared" si="27"/>
        <v>260.63900000000001</v>
      </c>
      <c r="L116" s="253">
        <f t="shared" si="28"/>
        <v>-53.1</v>
      </c>
      <c r="M116" s="27">
        <f>IFERROR(100/'Skjema total MA'!I116*K116,0)</f>
        <v>0.2259017547957983</v>
      </c>
    </row>
    <row r="117" spans="1:14" ht="15.75" x14ac:dyDescent="0.2">
      <c r="A117" s="21" t="s">
        <v>391</v>
      </c>
      <c r="B117" s="233"/>
      <c r="C117" s="233"/>
      <c r="D117" s="166"/>
      <c r="E117" s="27"/>
      <c r="F117" s="233">
        <v>143047.826</v>
      </c>
      <c r="G117" s="233">
        <v>238856.49</v>
      </c>
      <c r="H117" s="166">
        <f t="shared" si="29"/>
        <v>67</v>
      </c>
      <c r="I117" s="27">
        <f>IFERROR(100/'Skjema total MA'!F117*G117,0)</f>
        <v>11.125854280725607</v>
      </c>
      <c r="J117" s="286">
        <f t="shared" si="27"/>
        <v>143047.826</v>
      </c>
      <c r="K117" s="44">
        <f t="shared" si="27"/>
        <v>238856.49</v>
      </c>
      <c r="L117" s="253">
        <f t="shared" si="28"/>
        <v>67</v>
      </c>
      <c r="M117" s="27">
        <f>IFERROR(100/'Skjema total MA'!I117*K117,0)</f>
        <v>11.125854280725607</v>
      </c>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v>149168.14468</v>
      </c>
      <c r="C119" s="159">
        <v>18783.302429999902</v>
      </c>
      <c r="D119" s="171">
        <f t="shared" si="26"/>
        <v>-87.4</v>
      </c>
      <c r="E119" s="11">
        <f>IFERROR(100/'Skjema total MA'!C119*C119,0)</f>
        <v>4.8365396627112638</v>
      </c>
      <c r="F119" s="307">
        <v>3092031.0150000001</v>
      </c>
      <c r="G119" s="159">
        <v>1482288.9720000001</v>
      </c>
      <c r="H119" s="171">
        <f t="shared" si="29"/>
        <v>-52.1</v>
      </c>
      <c r="I119" s="11">
        <f>IFERROR(100/'Skjema total MA'!F119*G119,0)</f>
        <v>13.398632316468309</v>
      </c>
      <c r="J119" s="308">
        <f t="shared" si="27"/>
        <v>3241199.15968</v>
      </c>
      <c r="K119" s="235">
        <f t="shared" si="27"/>
        <v>1501072.27443</v>
      </c>
      <c r="L119" s="375">
        <f t="shared" si="28"/>
        <v>-53.7</v>
      </c>
      <c r="M119" s="11">
        <f>IFERROR(100/'Skjema total MA'!I119*K119,0)</f>
        <v>13.108256497139767</v>
      </c>
    </row>
    <row r="120" spans="1:14" x14ac:dyDescent="0.2">
      <c r="A120" s="21" t="s">
        <v>9</v>
      </c>
      <c r="B120" s="233">
        <v>149168.14468</v>
      </c>
      <c r="C120" s="145">
        <v>18783.302429999902</v>
      </c>
      <c r="D120" s="166">
        <f t="shared" si="26"/>
        <v>-87.4</v>
      </c>
      <c r="E120" s="27">
        <f>IFERROR(100/'Skjema total MA'!C120*C120,0)</f>
        <v>8.9593344103146961</v>
      </c>
      <c r="F120" s="233"/>
      <c r="G120" s="145"/>
      <c r="H120" s="166"/>
      <c r="I120" s="27"/>
      <c r="J120" s="286">
        <f t="shared" si="27"/>
        <v>149168.14468</v>
      </c>
      <c r="K120" s="44">
        <f t="shared" si="27"/>
        <v>18783.302429999902</v>
      </c>
      <c r="L120" s="253">
        <f t="shared" si="28"/>
        <v>-87.4</v>
      </c>
      <c r="M120" s="27">
        <f>IFERROR(100/'Skjema total MA'!I120*K120,0)</f>
        <v>8.9593344103146961</v>
      </c>
    </row>
    <row r="121" spans="1:14" x14ac:dyDescent="0.2">
      <c r="A121" s="21" t="s">
        <v>10</v>
      </c>
      <c r="B121" s="233"/>
      <c r="C121" s="145"/>
      <c r="D121" s="166"/>
      <c r="E121" s="27"/>
      <c r="F121" s="233">
        <v>3092031.0150000001</v>
      </c>
      <c r="G121" s="145">
        <v>1482288.9720000001</v>
      </c>
      <c r="H121" s="166">
        <f t="shared" si="29"/>
        <v>-52.1</v>
      </c>
      <c r="I121" s="27">
        <f>IFERROR(100/'Skjema total MA'!F121*G121,0)</f>
        <v>13.398632316468309</v>
      </c>
      <c r="J121" s="286">
        <f t="shared" si="27"/>
        <v>3092031.0150000001</v>
      </c>
      <c r="K121" s="44">
        <f t="shared" si="27"/>
        <v>1482288.9720000001</v>
      </c>
      <c r="L121" s="253">
        <f t="shared" si="28"/>
        <v>-52.1</v>
      </c>
      <c r="M121" s="27">
        <f>IFERROR(100/'Skjema total MA'!I121*K121,0)</f>
        <v>13.356598780327863</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v>212588.959</v>
      </c>
      <c r="G125" s="233">
        <v>375352.23599999998</v>
      </c>
      <c r="H125" s="166">
        <f t="shared" si="29"/>
        <v>76.599999999999994</v>
      </c>
      <c r="I125" s="27">
        <f>IFERROR(100/'Skjema total MA'!F125*G125,0)</f>
        <v>16.65888725920292</v>
      </c>
      <c r="J125" s="286">
        <f t="shared" si="27"/>
        <v>212588.959</v>
      </c>
      <c r="K125" s="44">
        <f t="shared" si="27"/>
        <v>375352.23599999998</v>
      </c>
      <c r="L125" s="253">
        <f t="shared" si="28"/>
        <v>76.599999999999994</v>
      </c>
      <c r="M125" s="27">
        <f>IFERROR(100/'Skjema total MA'!I125*K125,0)</f>
        <v>16.639587451721628</v>
      </c>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92" priority="132">
      <formula>kvartal &lt; 4</formula>
    </cfRule>
  </conditionalFormatting>
  <conditionalFormatting sqref="B69">
    <cfRule type="expression" dxfId="691" priority="100">
      <formula>kvartal &lt; 4</formula>
    </cfRule>
  </conditionalFormatting>
  <conditionalFormatting sqref="C69">
    <cfRule type="expression" dxfId="690" priority="99">
      <formula>kvartal &lt; 4</formula>
    </cfRule>
  </conditionalFormatting>
  <conditionalFormatting sqref="B72">
    <cfRule type="expression" dxfId="689" priority="98">
      <formula>kvartal &lt; 4</formula>
    </cfRule>
  </conditionalFormatting>
  <conditionalFormatting sqref="C72">
    <cfRule type="expression" dxfId="688" priority="97">
      <formula>kvartal &lt; 4</formula>
    </cfRule>
  </conditionalFormatting>
  <conditionalFormatting sqref="B80">
    <cfRule type="expression" dxfId="687" priority="96">
      <formula>kvartal &lt; 4</formula>
    </cfRule>
  </conditionalFormatting>
  <conditionalFormatting sqref="C80">
    <cfRule type="expression" dxfId="686" priority="95">
      <formula>kvartal &lt; 4</formula>
    </cfRule>
  </conditionalFormatting>
  <conditionalFormatting sqref="B83">
    <cfRule type="expression" dxfId="685" priority="94">
      <formula>kvartal &lt; 4</formula>
    </cfRule>
  </conditionalFormatting>
  <conditionalFormatting sqref="C83">
    <cfRule type="expression" dxfId="684" priority="93">
      <formula>kvartal &lt; 4</formula>
    </cfRule>
  </conditionalFormatting>
  <conditionalFormatting sqref="B90">
    <cfRule type="expression" dxfId="683" priority="84">
      <formula>kvartal &lt; 4</formula>
    </cfRule>
  </conditionalFormatting>
  <conditionalFormatting sqref="C90">
    <cfRule type="expression" dxfId="682" priority="83">
      <formula>kvartal &lt; 4</formula>
    </cfRule>
  </conditionalFormatting>
  <conditionalFormatting sqref="B93">
    <cfRule type="expression" dxfId="681" priority="82">
      <formula>kvartal &lt; 4</formula>
    </cfRule>
  </conditionalFormatting>
  <conditionalFormatting sqref="C93">
    <cfRule type="expression" dxfId="680" priority="81">
      <formula>kvartal &lt; 4</formula>
    </cfRule>
  </conditionalFormatting>
  <conditionalFormatting sqref="B101">
    <cfRule type="expression" dxfId="679" priority="80">
      <formula>kvartal &lt; 4</formula>
    </cfRule>
  </conditionalFormatting>
  <conditionalFormatting sqref="C101">
    <cfRule type="expression" dxfId="678" priority="79">
      <formula>kvartal &lt; 4</formula>
    </cfRule>
  </conditionalFormatting>
  <conditionalFormatting sqref="B104">
    <cfRule type="expression" dxfId="677" priority="78">
      <formula>kvartal &lt; 4</formula>
    </cfRule>
  </conditionalFormatting>
  <conditionalFormatting sqref="C104">
    <cfRule type="expression" dxfId="676" priority="77">
      <formula>kvartal &lt; 4</formula>
    </cfRule>
  </conditionalFormatting>
  <conditionalFormatting sqref="B115">
    <cfRule type="expression" dxfId="675" priority="76">
      <formula>kvartal &lt; 4</formula>
    </cfRule>
  </conditionalFormatting>
  <conditionalFormatting sqref="C115">
    <cfRule type="expression" dxfId="674" priority="75">
      <formula>kvartal &lt; 4</formula>
    </cfRule>
  </conditionalFormatting>
  <conditionalFormatting sqref="B123">
    <cfRule type="expression" dxfId="673" priority="74">
      <formula>kvartal &lt; 4</formula>
    </cfRule>
  </conditionalFormatting>
  <conditionalFormatting sqref="C123">
    <cfRule type="expression" dxfId="672" priority="73">
      <formula>kvartal &lt; 4</formula>
    </cfRule>
  </conditionalFormatting>
  <conditionalFormatting sqref="F70">
    <cfRule type="expression" dxfId="671" priority="72">
      <formula>kvartal &lt; 4</formula>
    </cfRule>
  </conditionalFormatting>
  <conditionalFormatting sqref="G70">
    <cfRule type="expression" dxfId="670" priority="71">
      <formula>kvartal &lt; 4</formula>
    </cfRule>
  </conditionalFormatting>
  <conditionalFormatting sqref="F71:G71">
    <cfRule type="expression" dxfId="669" priority="70">
      <formula>kvartal &lt; 4</formula>
    </cfRule>
  </conditionalFormatting>
  <conditionalFormatting sqref="F73:G74">
    <cfRule type="expression" dxfId="668" priority="69">
      <formula>kvartal &lt; 4</formula>
    </cfRule>
  </conditionalFormatting>
  <conditionalFormatting sqref="F81:G82">
    <cfRule type="expression" dxfId="667" priority="68">
      <formula>kvartal &lt; 4</formula>
    </cfRule>
  </conditionalFormatting>
  <conditionalFormatting sqref="F84:G85">
    <cfRule type="expression" dxfId="666" priority="67">
      <formula>kvartal &lt; 4</formula>
    </cfRule>
  </conditionalFormatting>
  <conditionalFormatting sqref="F91:G92">
    <cfRule type="expression" dxfId="665" priority="62">
      <formula>kvartal &lt; 4</formula>
    </cfRule>
  </conditionalFormatting>
  <conditionalFormatting sqref="F94:G95">
    <cfRule type="expression" dxfId="664" priority="61">
      <formula>kvartal &lt; 4</formula>
    </cfRule>
  </conditionalFormatting>
  <conditionalFormatting sqref="F102:G103">
    <cfRule type="expression" dxfId="663" priority="60">
      <formula>kvartal &lt; 4</formula>
    </cfRule>
  </conditionalFormatting>
  <conditionalFormatting sqref="F105:G106">
    <cfRule type="expression" dxfId="662" priority="59">
      <formula>kvartal &lt; 4</formula>
    </cfRule>
  </conditionalFormatting>
  <conditionalFormatting sqref="F115">
    <cfRule type="expression" dxfId="661" priority="58">
      <formula>kvartal &lt; 4</formula>
    </cfRule>
  </conditionalFormatting>
  <conditionalFormatting sqref="G115">
    <cfRule type="expression" dxfId="660" priority="57">
      <formula>kvartal &lt; 4</formula>
    </cfRule>
  </conditionalFormatting>
  <conditionalFormatting sqref="F123:G123">
    <cfRule type="expression" dxfId="659" priority="56">
      <formula>kvartal &lt; 4</formula>
    </cfRule>
  </conditionalFormatting>
  <conditionalFormatting sqref="F69:G69">
    <cfRule type="expression" dxfId="658" priority="55">
      <formula>kvartal &lt; 4</formula>
    </cfRule>
  </conditionalFormatting>
  <conditionalFormatting sqref="F72:G72">
    <cfRule type="expression" dxfId="657" priority="54">
      <formula>kvartal &lt; 4</formula>
    </cfRule>
  </conditionalFormatting>
  <conditionalFormatting sqref="F80:G80">
    <cfRule type="expression" dxfId="656" priority="53">
      <formula>kvartal &lt; 4</formula>
    </cfRule>
  </conditionalFormatting>
  <conditionalFormatting sqref="F83:G83">
    <cfRule type="expression" dxfId="655" priority="52">
      <formula>kvartal &lt; 4</formula>
    </cfRule>
  </conditionalFormatting>
  <conditionalFormatting sqref="F90:G90">
    <cfRule type="expression" dxfId="654" priority="46">
      <formula>kvartal &lt; 4</formula>
    </cfRule>
  </conditionalFormatting>
  <conditionalFormatting sqref="F93">
    <cfRule type="expression" dxfId="653" priority="45">
      <formula>kvartal &lt; 4</formula>
    </cfRule>
  </conditionalFormatting>
  <conditionalFormatting sqref="G93">
    <cfRule type="expression" dxfId="652" priority="44">
      <formula>kvartal &lt; 4</formula>
    </cfRule>
  </conditionalFormatting>
  <conditionalFormatting sqref="F101">
    <cfRule type="expression" dxfId="651" priority="43">
      <formula>kvartal &lt; 4</formula>
    </cfRule>
  </conditionalFormatting>
  <conditionalFormatting sqref="G101">
    <cfRule type="expression" dxfId="650" priority="42">
      <formula>kvartal &lt; 4</formula>
    </cfRule>
  </conditionalFormatting>
  <conditionalFormatting sqref="G104">
    <cfRule type="expression" dxfId="649" priority="41">
      <formula>kvartal &lt; 4</formula>
    </cfRule>
  </conditionalFormatting>
  <conditionalFormatting sqref="F104">
    <cfRule type="expression" dxfId="648" priority="40">
      <formula>kvartal &lt; 4</formula>
    </cfRule>
  </conditionalFormatting>
  <conditionalFormatting sqref="J69:K73">
    <cfRule type="expression" dxfId="647" priority="39">
      <formula>kvartal &lt; 4</formula>
    </cfRule>
  </conditionalFormatting>
  <conditionalFormatting sqref="J74:K74">
    <cfRule type="expression" dxfId="646" priority="38">
      <formula>kvartal &lt; 4</formula>
    </cfRule>
  </conditionalFormatting>
  <conditionalFormatting sqref="J80:K85">
    <cfRule type="expression" dxfId="645" priority="37">
      <formula>kvartal &lt; 4</formula>
    </cfRule>
  </conditionalFormatting>
  <conditionalFormatting sqref="J90:K95">
    <cfRule type="expression" dxfId="644" priority="34">
      <formula>kvartal &lt; 4</formula>
    </cfRule>
  </conditionalFormatting>
  <conditionalFormatting sqref="J101:K106">
    <cfRule type="expression" dxfId="643" priority="33">
      <formula>kvartal &lt; 4</formula>
    </cfRule>
  </conditionalFormatting>
  <conditionalFormatting sqref="J115:K115">
    <cfRule type="expression" dxfId="642" priority="32">
      <formula>kvartal &lt; 4</formula>
    </cfRule>
  </conditionalFormatting>
  <conditionalFormatting sqref="J123:K123">
    <cfRule type="expression" dxfId="641" priority="31">
      <formula>kvartal &lt; 4</formula>
    </cfRule>
  </conditionalFormatting>
  <conditionalFormatting sqref="A50:A52">
    <cfRule type="expression" dxfId="640" priority="12">
      <formula>kvartal &lt; 4</formula>
    </cfRule>
  </conditionalFormatting>
  <conditionalFormatting sqref="A69:A74">
    <cfRule type="expression" dxfId="639" priority="10">
      <formula>kvartal &lt; 4</formula>
    </cfRule>
  </conditionalFormatting>
  <conditionalFormatting sqref="A80:A85">
    <cfRule type="expression" dxfId="638" priority="9">
      <formula>kvartal &lt; 4</formula>
    </cfRule>
  </conditionalFormatting>
  <conditionalFormatting sqref="A90:A95">
    <cfRule type="expression" dxfId="637" priority="6">
      <formula>kvartal &lt; 4</formula>
    </cfRule>
  </conditionalFormatting>
  <conditionalFormatting sqref="A101:A106">
    <cfRule type="expression" dxfId="636" priority="5">
      <formula>kvartal &lt; 4</formula>
    </cfRule>
  </conditionalFormatting>
  <conditionalFormatting sqref="A115">
    <cfRule type="expression" dxfId="635" priority="4">
      <formula>kvartal &lt; 4</formula>
    </cfRule>
  </conditionalFormatting>
  <conditionalFormatting sqref="A123">
    <cfRule type="expression" dxfId="634" priority="3">
      <formula>kvartal &lt; 4</formula>
    </cfRule>
  </conditionalFormatting>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96</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c r="G7" s="306"/>
      <c r="H7" s="350"/>
      <c r="I7" s="160"/>
      <c r="J7" s="307"/>
      <c r="K7" s="308"/>
      <c r="L7" s="374"/>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24041.633999999998</v>
      </c>
      <c r="C47" s="310">
        <v>23126</v>
      </c>
      <c r="D47" s="374">
        <f t="shared" ref="D47:D48" si="0">IF(B47=0, "    ---- ", IF(ABS(ROUND(100/B47*C47-100,1))&lt;999,ROUND(100/B47*C47-100,1),IF(ROUND(100/B47*C47-100,1)&gt;999,999,-999)))</f>
        <v>-3.8</v>
      </c>
      <c r="E47" s="11">
        <f>IFERROR(100/'Skjema total MA'!C47*C47,0)</f>
        <v>0.60439790732443355</v>
      </c>
      <c r="F47" s="145"/>
      <c r="G47" s="33"/>
      <c r="H47" s="159"/>
      <c r="I47" s="159"/>
      <c r="J47" s="37"/>
      <c r="K47" s="37"/>
      <c r="L47" s="159"/>
      <c r="M47" s="159"/>
      <c r="N47" s="148"/>
    </row>
    <row r="48" spans="1:14" s="3" customFormat="1" ht="15.75" x14ac:dyDescent="0.2">
      <c r="A48" s="38" t="s">
        <v>379</v>
      </c>
      <c r="B48" s="280">
        <v>24041.633999999998</v>
      </c>
      <c r="C48" s="281">
        <v>23126</v>
      </c>
      <c r="D48" s="253">
        <f t="shared" si="0"/>
        <v>-3.8</v>
      </c>
      <c r="E48" s="27">
        <f>IFERROR(100/'Skjema total MA'!C48*C48,0)</f>
        <v>1.0677180473614185</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v>3979326.8810000001</v>
      </c>
      <c r="C134" s="308">
        <v>4440448</v>
      </c>
      <c r="D134" s="350">
        <f t="shared" ref="D134:D136" si="1">IF(B134=0, "    ---- ", IF(ABS(ROUND(100/B134*C134-100,1))&lt;999,ROUND(100/B134*C134-100,1),IF(ROUND(100/B134*C134-100,1)&gt;999,999,-999)))</f>
        <v>11.6</v>
      </c>
      <c r="E134" s="11">
        <f>IFERROR(100/'Skjema total MA'!C134*C134,0)</f>
        <v>12.106161995832954</v>
      </c>
      <c r="F134" s="315"/>
      <c r="G134" s="316"/>
      <c r="H134" s="378"/>
      <c r="I134" s="24"/>
      <c r="J134" s="317">
        <f t="shared" ref="J134:K136" si="2">SUM(B134,F134)</f>
        <v>3979326.8810000001</v>
      </c>
      <c r="K134" s="317">
        <f t="shared" si="2"/>
        <v>4440448</v>
      </c>
      <c r="L134" s="374">
        <f t="shared" ref="L134:L136" si="3">IF(J134=0, "    ---- ", IF(ABS(ROUND(100/J134*K134-100,1))&lt;999,ROUND(100/J134*K134-100,1),IF(ROUND(100/J134*K134-100,1)&gt;999,999,-999)))</f>
        <v>11.6</v>
      </c>
      <c r="M134" s="11">
        <f>IFERROR(100/'Skjema total MA'!I134*K134,0)</f>
        <v>12.064827849965535</v>
      </c>
      <c r="N134" s="148"/>
    </row>
    <row r="135" spans="1:14" s="3" customFormat="1" ht="15.75" x14ac:dyDescent="0.2">
      <c r="A135" s="13" t="s">
        <v>397</v>
      </c>
      <c r="B135" s="235">
        <v>74741399.903610006</v>
      </c>
      <c r="C135" s="308">
        <v>76175866</v>
      </c>
      <c r="D135" s="171">
        <f t="shared" si="1"/>
        <v>1.9</v>
      </c>
      <c r="E135" s="11">
        <f>IFERROR(100/'Skjema total MA'!C135*C135,0)</f>
        <v>13.219188383766005</v>
      </c>
      <c r="F135" s="235"/>
      <c r="G135" s="308"/>
      <c r="H135" s="379"/>
      <c r="I135" s="24"/>
      <c r="J135" s="307">
        <f t="shared" si="2"/>
        <v>74741399.903610006</v>
      </c>
      <c r="K135" s="307">
        <f t="shared" si="2"/>
        <v>76175866</v>
      </c>
      <c r="L135" s="375">
        <f t="shared" si="3"/>
        <v>1.9</v>
      </c>
      <c r="M135" s="11">
        <f>IFERROR(100/'Skjema total MA'!I135*K135,0)</f>
        <v>13.158799909147604</v>
      </c>
      <c r="N135" s="148"/>
    </row>
    <row r="136" spans="1:14" s="3" customFormat="1" ht="15.75" x14ac:dyDescent="0.2">
      <c r="A136" s="13" t="s">
        <v>394</v>
      </c>
      <c r="B136" s="235">
        <v>310238.70312999998</v>
      </c>
      <c r="C136" s="308">
        <v>105872.379</v>
      </c>
      <c r="D136" s="171">
        <f t="shared" si="1"/>
        <v>-65.900000000000006</v>
      </c>
      <c r="E136" s="11">
        <f>IFERROR(100/'Skjema total MA'!C136*C136,0)</f>
        <v>99.778391771320415</v>
      </c>
      <c r="F136" s="235"/>
      <c r="G136" s="308"/>
      <c r="H136" s="379"/>
      <c r="I136" s="24"/>
      <c r="J136" s="307">
        <f t="shared" si="2"/>
        <v>310238.70312999998</v>
      </c>
      <c r="K136" s="307">
        <f t="shared" si="2"/>
        <v>105872.379</v>
      </c>
      <c r="L136" s="375">
        <f t="shared" si="3"/>
        <v>-65.900000000000006</v>
      </c>
      <c r="M136" s="11">
        <f>IFERROR(100/'Skjema total MA'!I136*K136,0)</f>
        <v>99.778391771320415</v>
      </c>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33" priority="132">
      <formula>kvartal &lt; 4</formula>
    </cfRule>
  </conditionalFormatting>
  <conditionalFormatting sqref="B69">
    <cfRule type="expression" dxfId="632" priority="100">
      <formula>kvartal &lt; 4</formula>
    </cfRule>
  </conditionalFormatting>
  <conditionalFormatting sqref="C69">
    <cfRule type="expression" dxfId="631" priority="99">
      <formula>kvartal &lt; 4</formula>
    </cfRule>
  </conditionalFormatting>
  <conditionalFormatting sqref="B72">
    <cfRule type="expression" dxfId="630" priority="98">
      <formula>kvartal &lt; 4</formula>
    </cfRule>
  </conditionalFormatting>
  <conditionalFormatting sqref="C72">
    <cfRule type="expression" dxfId="629" priority="97">
      <formula>kvartal &lt; 4</formula>
    </cfRule>
  </conditionalFormatting>
  <conditionalFormatting sqref="B80">
    <cfRule type="expression" dxfId="628" priority="96">
      <formula>kvartal &lt; 4</formula>
    </cfRule>
  </conditionalFormatting>
  <conditionalFormatting sqref="C80">
    <cfRule type="expression" dxfId="627" priority="95">
      <formula>kvartal &lt; 4</formula>
    </cfRule>
  </conditionalFormatting>
  <conditionalFormatting sqref="B83">
    <cfRule type="expression" dxfId="626" priority="94">
      <formula>kvartal &lt; 4</formula>
    </cfRule>
  </conditionalFormatting>
  <conditionalFormatting sqref="C83">
    <cfRule type="expression" dxfId="625" priority="93">
      <formula>kvartal &lt; 4</formula>
    </cfRule>
  </conditionalFormatting>
  <conditionalFormatting sqref="B90">
    <cfRule type="expression" dxfId="624" priority="84">
      <formula>kvartal &lt; 4</formula>
    </cfRule>
  </conditionalFormatting>
  <conditionalFormatting sqref="C90">
    <cfRule type="expression" dxfId="623" priority="83">
      <formula>kvartal &lt; 4</formula>
    </cfRule>
  </conditionalFormatting>
  <conditionalFormatting sqref="B93">
    <cfRule type="expression" dxfId="622" priority="82">
      <formula>kvartal &lt; 4</formula>
    </cfRule>
  </conditionalFormatting>
  <conditionalFormatting sqref="C93">
    <cfRule type="expression" dxfId="621" priority="81">
      <formula>kvartal &lt; 4</formula>
    </cfRule>
  </conditionalFormatting>
  <conditionalFormatting sqref="B101">
    <cfRule type="expression" dxfId="620" priority="80">
      <formula>kvartal &lt; 4</formula>
    </cfRule>
  </conditionalFormatting>
  <conditionalFormatting sqref="C101">
    <cfRule type="expression" dxfId="619" priority="79">
      <formula>kvartal &lt; 4</formula>
    </cfRule>
  </conditionalFormatting>
  <conditionalFormatting sqref="B104">
    <cfRule type="expression" dxfId="618" priority="78">
      <formula>kvartal &lt; 4</formula>
    </cfRule>
  </conditionalFormatting>
  <conditionalFormatting sqref="C104">
    <cfRule type="expression" dxfId="617" priority="77">
      <formula>kvartal &lt; 4</formula>
    </cfRule>
  </conditionalFormatting>
  <conditionalFormatting sqref="B115">
    <cfRule type="expression" dxfId="616" priority="76">
      <formula>kvartal &lt; 4</formula>
    </cfRule>
  </conditionalFormatting>
  <conditionalFormatting sqref="C115">
    <cfRule type="expression" dxfId="615" priority="75">
      <formula>kvartal &lt; 4</formula>
    </cfRule>
  </conditionalFormatting>
  <conditionalFormatting sqref="B123">
    <cfRule type="expression" dxfId="614" priority="74">
      <formula>kvartal &lt; 4</formula>
    </cfRule>
  </conditionalFormatting>
  <conditionalFormatting sqref="C123">
    <cfRule type="expression" dxfId="613" priority="73">
      <formula>kvartal &lt; 4</formula>
    </cfRule>
  </conditionalFormatting>
  <conditionalFormatting sqref="F70">
    <cfRule type="expression" dxfId="612" priority="72">
      <formula>kvartal &lt; 4</formula>
    </cfRule>
  </conditionalFormatting>
  <conditionalFormatting sqref="G70">
    <cfRule type="expression" dxfId="611" priority="71">
      <formula>kvartal &lt; 4</formula>
    </cfRule>
  </conditionalFormatting>
  <conditionalFormatting sqref="F71:G71">
    <cfRule type="expression" dxfId="610" priority="70">
      <formula>kvartal &lt; 4</formula>
    </cfRule>
  </conditionalFormatting>
  <conditionalFormatting sqref="F73:G74">
    <cfRule type="expression" dxfId="609" priority="69">
      <formula>kvartal &lt; 4</formula>
    </cfRule>
  </conditionalFormatting>
  <conditionalFormatting sqref="F81:G82">
    <cfRule type="expression" dxfId="608" priority="68">
      <formula>kvartal &lt; 4</formula>
    </cfRule>
  </conditionalFormatting>
  <conditionalFormatting sqref="F84:G85">
    <cfRule type="expression" dxfId="607" priority="67">
      <formula>kvartal &lt; 4</formula>
    </cfRule>
  </conditionalFormatting>
  <conditionalFormatting sqref="F91:G92">
    <cfRule type="expression" dxfId="606" priority="62">
      <formula>kvartal &lt; 4</formula>
    </cfRule>
  </conditionalFormatting>
  <conditionalFormatting sqref="F94:G95">
    <cfRule type="expression" dxfId="605" priority="61">
      <formula>kvartal &lt; 4</formula>
    </cfRule>
  </conditionalFormatting>
  <conditionalFormatting sqref="F102:G103">
    <cfRule type="expression" dxfId="604" priority="60">
      <formula>kvartal &lt; 4</formula>
    </cfRule>
  </conditionalFormatting>
  <conditionalFormatting sqref="F105:G106">
    <cfRule type="expression" dxfId="603" priority="59">
      <formula>kvartal &lt; 4</formula>
    </cfRule>
  </conditionalFormatting>
  <conditionalFormatting sqref="F115">
    <cfRule type="expression" dxfId="602" priority="58">
      <formula>kvartal &lt; 4</formula>
    </cfRule>
  </conditionalFormatting>
  <conditionalFormatting sqref="G115">
    <cfRule type="expression" dxfId="601" priority="57">
      <formula>kvartal &lt; 4</formula>
    </cfRule>
  </conditionalFormatting>
  <conditionalFormatting sqref="F123:G123">
    <cfRule type="expression" dxfId="600" priority="56">
      <formula>kvartal &lt; 4</formula>
    </cfRule>
  </conditionalFormatting>
  <conditionalFormatting sqref="F69:G69">
    <cfRule type="expression" dxfId="599" priority="55">
      <formula>kvartal &lt; 4</formula>
    </cfRule>
  </conditionalFormatting>
  <conditionalFormatting sqref="F72:G72">
    <cfRule type="expression" dxfId="598" priority="54">
      <formula>kvartal &lt; 4</formula>
    </cfRule>
  </conditionalFormatting>
  <conditionalFormatting sqref="F80:G80">
    <cfRule type="expression" dxfId="597" priority="53">
      <formula>kvartal &lt; 4</formula>
    </cfRule>
  </conditionalFormatting>
  <conditionalFormatting sqref="F83:G83">
    <cfRule type="expression" dxfId="596" priority="52">
      <formula>kvartal &lt; 4</formula>
    </cfRule>
  </conditionalFormatting>
  <conditionalFormatting sqref="F90:G90">
    <cfRule type="expression" dxfId="595" priority="46">
      <formula>kvartal &lt; 4</formula>
    </cfRule>
  </conditionalFormatting>
  <conditionalFormatting sqref="F93">
    <cfRule type="expression" dxfId="594" priority="45">
      <formula>kvartal &lt; 4</formula>
    </cfRule>
  </conditionalFormatting>
  <conditionalFormatting sqref="G93">
    <cfRule type="expression" dxfId="593" priority="44">
      <formula>kvartal &lt; 4</formula>
    </cfRule>
  </conditionalFormatting>
  <conditionalFormatting sqref="F101">
    <cfRule type="expression" dxfId="592" priority="43">
      <formula>kvartal &lt; 4</formula>
    </cfRule>
  </conditionalFormatting>
  <conditionalFormatting sqref="G101">
    <cfRule type="expression" dxfId="591" priority="42">
      <formula>kvartal &lt; 4</formula>
    </cfRule>
  </conditionalFormatting>
  <conditionalFormatting sqref="G104">
    <cfRule type="expression" dxfId="590" priority="41">
      <formula>kvartal &lt; 4</formula>
    </cfRule>
  </conditionalFormatting>
  <conditionalFormatting sqref="F104">
    <cfRule type="expression" dxfId="589" priority="40">
      <formula>kvartal &lt; 4</formula>
    </cfRule>
  </conditionalFormatting>
  <conditionalFormatting sqref="J69:K73">
    <cfRule type="expression" dxfId="588" priority="39">
      <formula>kvartal &lt; 4</formula>
    </cfRule>
  </conditionalFormatting>
  <conditionalFormatting sqref="J74:K74">
    <cfRule type="expression" dxfId="587" priority="38">
      <formula>kvartal &lt; 4</formula>
    </cfRule>
  </conditionalFormatting>
  <conditionalFormatting sqref="J80:K85">
    <cfRule type="expression" dxfId="586" priority="37">
      <formula>kvartal &lt; 4</formula>
    </cfRule>
  </conditionalFormatting>
  <conditionalFormatting sqref="J90:K95">
    <cfRule type="expression" dxfId="585" priority="34">
      <formula>kvartal &lt; 4</formula>
    </cfRule>
  </conditionalFormatting>
  <conditionalFormatting sqref="J101:K106">
    <cfRule type="expression" dxfId="584" priority="33">
      <formula>kvartal &lt; 4</formula>
    </cfRule>
  </conditionalFormatting>
  <conditionalFormatting sqref="J115:K115">
    <cfRule type="expression" dxfId="583" priority="32">
      <formula>kvartal &lt; 4</formula>
    </cfRule>
  </conditionalFormatting>
  <conditionalFormatting sqref="J123:K123">
    <cfRule type="expression" dxfId="582" priority="31">
      <formula>kvartal &lt; 4</formula>
    </cfRule>
  </conditionalFormatting>
  <conditionalFormatting sqref="A50:A52">
    <cfRule type="expression" dxfId="581" priority="12">
      <formula>kvartal &lt; 4</formula>
    </cfRule>
  </conditionalFormatting>
  <conditionalFormatting sqref="A69:A74">
    <cfRule type="expression" dxfId="580" priority="10">
      <formula>kvartal &lt; 4</formula>
    </cfRule>
  </conditionalFormatting>
  <conditionalFormatting sqref="A80:A85">
    <cfRule type="expression" dxfId="579" priority="9">
      <formula>kvartal &lt; 4</formula>
    </cfRule>
  </conditionalFormatting>
  <conditionalFormatting sqref="A90:A95">
    <cfRule type="expression" dxfId="578" priority="6">
      <formula>kvartal &lt; 4</formula>
    </cfRule>
  </conditionalFormatting>
  <conditionalFormatting sqref="A101:A106">
    <cfRule type="expression" dxfId="577" priority="5">
      <formula>kvartal &lt; 4</formula>
    </cfRule>
  </conditionalFormatting>
  <conditionalFormatting sqref="A115">
    <cfRule type="expression" dxfId="576" priority="4">
      <formula>kvartal &lt; 4</formula>
    </cfRule>
  </conditionalFormatting>
  <conditionalFormatting sqref="A123">
    <cfRule type="expression" dxfId="575" priority="3">
      <formula>kvartal &lt; 4</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561" t="s">
        <v>367</v>
      </c>
      <c r="D1" s="26"/>
      <c r="E1" s="26"/>
      <c r="F1" s="26"/>
      <c r="G1" s="26"/>
      <c r="H1" s="26"/>
      <c r="I1" s="26"/>
      <c r="J1" s="26"/>
      <c r="K1" s="26"/>
      <c r="L1" s="26"/>
      <c r="M1" s="26"/>
    </row>
    <row r="2" spans="1:14" ht="15.75" x14ac:dyDescent="0.25">
      <c r="A2" s="165" t="s">
        <v>28</v>
      </c>
      <c r="B2" s="671"/>
      <c r="C2" s="671"/>
      <c r="D2" s="671"/>
      <c r="E2" s="558"/>
      <c r="F2" s="671"/>
      <c r="G2" s="671"/>
      <c r="H2" s="671"/>
      <c r="I2" s="558"/>
      <c r="J2" s="671"/>
      <c r="K2" s="671"/>
      <c r="L2" s="671"/>
      <c r="M2" s="558"/>
    </row>
    <row r="3" spans="1:14" ht="15.75" x14ac:dyDescent="0.25">
      <c r="A3" s="163"/>
      <c r="B3" s="558"/>
      <c r="C3" s="558"/>
      <c r="D3" s="558"/>
      <c r="E3" s="558"/>
      <c r="F3" s="558"/>
      <c r="G3" s="558"/>
      <c r="H3" s="558"/>
      <c r="I3" s="558"/>
      <c r="J3" s="558"/>
      <c r="K3" s="558"/>
      <c r="L3" s="558"/>
      <c r="M3" s="558"/>
    </row>
    <row r="4" spans="1:14" x14ac:dyDescent="0.2">
      <c r="A4" s="144"/>
      <c r="B4" s="672" t="s">
        <v>0</v>
      </c>
      <c r="C4" s="673"/>
      <c r="D4" s="673"/>
      <c r="E4" s="556"/>
      <c r="F4" s="672" t="s">
        <v>1</v>
      </c>
      <c r="G4" s="673"/>
      <c r="H4" s="673"/>
      <c r="I4" s="557"/>
      <c r="J4" s="672" t="s">
        <v>2</v>
      </c>
      <c r="K4" s="673"/>
      <c r="L4" s="673"/>
      <c r="M4" s="557"/>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v>2112.5284044913501</v>
      </c>
      <c r="D7" s="350" t="str">
        <f>IF(B7=0, "    ---- ", IF(ABS(ROUND(100/B7*C7-100,1))&lt;999,ROUND(100/B7*C7-100,1),IF(ROUND(100/B7*C7-100,1)&gt;999,999,-999)))</f>
        <v xml:space="preserve">    ---- </v>
      </c>
      <c r="E7" s="11">
        <f>IFERROR(100/'Skjema total MA'!C7*C7,0)</f>
        <v>5.7906994167653193E-2</v>
      </c>
      <c r="F7" s="305"/>
      <c r="G7" s="306"/>
      <c r="H7" s="350"/>
      <c r="I7" s="160"/>
      <c r="J7" s="307">
        <f t="shared" ref="J7:K9" si="0">SUM(B7,F7)</f>
        <v>0</v>
      </c>
      <c r="K7" s="308">
        <f t="shared" si="0"/>
        <v>2112.5284044913501</v>
      </c>
      <c r="L7" s="374" t="str">
        <f>IF(J7=0, "    ---- ", IF(ABS(ROUND(100/J7*K7-100,1))&lt;999,ROUND(100/J7*K7-100,1),IF(ROUND(100/J7*K7-100,1)&gt;999,999,-999)))</f>
        <v xml:space="preserve">    ---- </v>
      </c>
      <c r="M7" s="11">
        <f>IFERROR(100/'Skjema total MA'!I7*K7,0)</f>
        <v>1.9535216206114859E-2</v>
      </c>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v>2112.5284044913501</v>
      </c>
      <c r="D9" s="166" t="str">
        <f t="shared" ref="D9" si="1">IF(B9=0, "    ---- ", IF(ABS(ROUND(100/B9*C9-100,1))&lt;999,ROUND(100/B9*C9-100,1),IF(ROUND(100/B9*C9-100,1)&gt;999,999,-999)))</f>
        <v xml:space="preserve">    ---- </v>
      </c>
      <c r="E9" s="27">
        <f>IFERROR(100/'Skjema total MA'!C9*C9,0)</f>
        <v>0.26931130245384638</v>
      </c>
      <c r="F9" s="284"/>
      <c r="G9" s="285"/>
      <c r="H9" s="166"/>
      <c r="I9" s="175"/>
      <c r="J9" s="233">
        <f t="shared" si="0"/>
        <v>0</v>
      </c>
      <c r="K9" s="286">
        <f t="shared" si="0"/>
        <v>2112.5284044913501</v>
      </c>
      <c r="L9" s="166" t="str">
        <f t="shared" ref="L9" si="2">IF(J9=0, "    ---- ", IF(ABS(ROUND(100/J9*K9-100,1))&lt;999,ROUND(100/J9*K9-100,1),IF(ROUND(100/J9*K9-100,1)&gt;999,999,-999)))</f>
        <v xml:space="preserve">    ---- </v>
      </c>
      <c r="M9" s="27">
        <f>IFERROR(100/'Skjema total MA'!I9*K9,0)</f>
        <v>0.26931130245384638</v>
      </c>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558"/>
      <c r="F18" s="674"/>
      <c r="G18" s="674"/>
      <c r="H18" s="674"/>
      <c r="I18" s="558"/>
      <c r="J18" s="674"/>
      <c r="K18" s="674"/>
      <c r="L18" s="674"/>
      <c r="M18" s="558"/>
    </row>
    <row r="19" spans="1:14" x14ac:dyDescent="0.2">
      <c r="A19" s="144"/>
      <c r="B19" s="672" t="s">
        <v>0</v>
      </c>
      <c r="C19" s="673"/>
      <c r="D19" s="673"/>
      <c r="E19" s="556"/>
      <c r="F19" s="672" t="s">
        <v>1</v>
      </c>
      <c r="G19" s="673"/>
      <c r="H19" s="673"/>
      <c r="I19" s="557"/>
      <c r="J19" s="672" t="s">
        <v>2</v>
      </c>
      <c r="K19" s="673"/>
      <c r="L19" s="673"/>
      <c r="M19" s="557"/>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560"/>
    </row>
    <row r="41" spans="1:14" x14ac:dyDescent="0.2">
      <c r="A41" s="155"/>
    </row>
    <row r="42" spans="1:14" ht="15.75" x14ac:dyDescent="0.25">
      <c r="A42" s="147" t="s">
        <v>276</v>
      </c>
      <c r="B42" s="671"/>
      <c r="C42" s="671"/>
      <c r="D42" s="671"/>
      <c r="E42" s="558"/>
      <c r="F42" s="676"/>
      <c r="G42" s="676"/>
      <c r="H42" s="676"/>
      <c r="I42" s="560"/>
      <c r="J42" s="676"/>
      <c r="K42" s="676"/>
      <c r="L42" s="676"/>
      <c r="M42" s="560"/>
    </row>
    <row r="43" spans="1:14" ht="15.75" x14ac:dyDescent="0.25">
      <c r="A43" s="163"/>
      <c r="B43" s="559"/>
      <c r="C43" s="559"/>
      <c r="D43" s="559"/>
      <c r="E43" s="559"/>
      <c r="F43" s="560"/>
      <c r="G43" s="560"/>
      <c r="H43" s="560"/>
      <c r="I43" s="560"/>
      <c r="J43" s="560"/>
      <c r="K43" s="560"/>
      <c r="L43" s="560"/>
      <c r="M43" s="560"/>
    </row>
    <row r="44" spans="1:14" ht="15.75" x14ac:dyDescent="0.25">
      <c r="A44" s="246"/>
      <c r="B44" s="672" t="s">
        <v>0</v>
      </c>
      <c r="C44" s="673"/>
      <c r="D44" s="673"/>
      <c r="E44" s="242"/>
      <c r="F44" s="560"/>
      <c r="G44" s="560"/>
      <c r="H44" s="560"/>
      <c r="I44" s="560"/>
      <c r="J44" s="560"/>
      <c r="K44" s="560"/>
      <c r="L44" s="560"/>
      <c r="M44" s="560"/>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299297.71739252901</v>
      </c>
      <c r="C47" s="310">
        <v>296480.35550791997</v>
      </c>
      <c r="D47" s="374">
        <f t="shared" ref="D47:D48" si="3">IF(B47=0, "    ---- ", IF(ABS(ROUND(100/B47*C47-100,1))&lt;999,ROUND(100/B47*C47-100,1),IF(ROUND(100/B47*C47-100,1)&gt;999,999,-999)))</f>
        <v>-0.9</v>
      </c>
      <c r="E47" s="11">
        <f>IFERROR(100/'Skjema total MA'!C47*C47,0)</f>
        <v>7.74851277487637</v>
      </c>
      <c r="F47" s="145"/>
      <c r="G47" s="33"/>
      <c r="H47" s="159"/>
      <c r="I47" s="159"/>
      <c r="J47" s="37"/>
      <c r="K47" s="37"/>
      <c r="L47" s="159"/>
      <c r="M47" s="159"/>
      <c r="N47" s="148"/>
    </row>
    <row r="48" spans="1:14" s="3" customFormat="1" ht="15.75" x14ac:dyDescent="0.2">
      <c r="A48" s="38" t="s">
        <v>379</v>
      </c>
      <c r="B48" s="280">
        <v>299297.71739252901</v>
      </c>
      <c r="C48" s="281">
        <v>296480.35550791997</v>
      </c>
      <c r="D48" s="253">
        <f t="shared" si="3"/>
        <v>-0.9</v>
      </c>
      <c r="E48" s="27">
        <f>IFERROR(100/'Skjema total MA'!C48*C48,0)</f>
        <v>13.688377854533231</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558"/>
      <c r="F62" s="674"/>
      <c r="G62" s="674"/>
      <c r="H62" s="674"/>
      <c r="I62" s="558"/>
      <c r="J62" s="674"/>
      <c r="K62" s="674"/>
      <c r="L62" s="674"/>
      <c r="M62" s="558"/>
    </row>
    <row r="63" spans="1:14" x14ac:dyDescent="0.2">
      <c r="A63" s="144"/>
      <c r="B63" s="672" t="s">
        <v>0</v>
      </c>
      <c r="C63" s="673"/>
      <c r="D63" s="677"/>
      <c r="E63" s="555"/>
      <c r="F63" s="673" t="s">
        <v>1</v>
      </c>
      <c r="G63" s="673"/>
      <c r="H63" s="673"/>
      <c r="I63" s="557"/>
      <c r="J63" s="672" t="s">
        <v>2</v>
      </c>
      <c r="K63" s="673"/>
      <c r="L63" s="673"/>
      <c r="M63" s="557"/>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558"/>
      <c r="F130" s="674"/>
      <c r="G130" s="674"/>
      <c r="H130" s="674"/>
      <c r="I130" s="558"/>
      <c r="J130" s="674"/>
      <c r="K130" s="674"/>
      <c r="L130" s="674"/>
      <c r="M130" s="558"/>
    </row>
    <row r="131" spans="1:14" s="3" customFormat="1" x14ac:dyDescent="0.2">
      <c r="A131" s="144"/>
      <c r="B131" s="672" t="s">
        <v>0</v>
      </c>
      <c r="C131" s="673"/>
      <c r="D131" s="673"/>
      <c r="E131" s="556"/>
      <c r="F131" s="672" t="s">
        <v>1</v>
      </c>
      <c r="G131" s="673"/>
      <c r="H131" s="673"/>
      <c r="I131" s="557"/>
      <c r="J131" s="672" t="s">
        <v>2</v>
      </c>
      <c r="K131" s="673"/>
      <c r="L131" s="673"/>
      <c r="M131" s="557"/>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574" priority="82">
      <formula>kvartal &lt; 4</formula>
    </cfRule>
  </conditionalFormatting>
  <conditionalFormatting sqref="B69">
    <cfRule type="expression" dxfId="573" priority="61">
      <formula>kvartal &lt; 4</formula>
    </cfRule>
  </conditionalFormatting>
  <conditionalFormatting sqref="C69">
    <cfRule type="expression" dxfId="572" priority="60">
      <formula>kvartal &lt; 4</formula>
    </cfRule>
  </conditionalFormatting>
  <conditionalFormatting sqref="B72">
    <cfRule type="expression" dxfId="571" priority="59">
      <formula>kvartal &lt; 4</formula>
    </cfRule>
  </conditionalFormatting>
  <conditionalFormatting sqref="C72">
    <cfRule type="expression" dxfId="570" priority="58">
      <formula>kvartal &lt; 4</formula>
    </cfRule>
  </conditionalFormatting>
  <conditionalFormatting sqref="B80">
    <cfRule type="expression" dxfId="569" priority="57">
      <formula>kvartal &lt; 4</formula>
    </cfRule>
  </conditionalFormatting>
  <conditionalFormatting sqref="C80">
    <cfRule type="expression" dxfId="568" priority="56">
      <formula>kvartal &lt; 4</formula>
    </cfRule>
  </conditionalFormatting>
  <conditionalFormatting sqref="B83">
    <cfRule type="expression" dxfId="567" priority="55">
      <formula>kvartal &lt; 4</formula>
    </cfRule>
  </conditionalFormatting>
  <conditionalFormatting sqref="C83">
    <cfRule type="expression" dxfId="566" priority="54">
      <formula>kvartal &lt; 4</formula>
    </cfRule>
  </conditionalFormatting>
  <conditionalFormatting sqref="B90">
    <cfRule type="expression" dxfId="565" priority="53">
      <formula>kvartal &lt; 4</formula>
    </cfRule>
  </conditionalFormatting>
  <conditionalFormatting sqref="C90">
    <cfRule type="expression" dxfId="564" priority="52">
      <formula>kvartal &lt; 4</formula>
    </cfRule>
  </conditionalFormatting>
  <conditionalFormatting sqref="B93">
    <cfRule type="expression" dxfId="563" priority="51">
      <formula>kvartal &lt; 4</formula>
    </cfRule>
  </conditionalFormatting>
  <conditionalFormatting sqref="C93">
    <cfRule type="expression" dxfId="562" priority="50">
      <formula>kvartal &lt; 4</formula>
    </cfRule>
  </conditionalFormatting>
  <conditionalFormatting sqref="B101">
    <cfRule type="expression" dxfId="561" priority="49">
      <formula>kvartal &lt; 4</formula>
    </cfRule>
  </conditionalFormatting>
  <conditionalFormatting sqref="C101">
    <cfRule type="expression" dxfId="560" priority="48">
      <formula>kvartal &lt; 4</formula>
    </cfRule>
  </conditionalFormatting>
  <conditionalFormatting sqref="B104">
    <cfRule type="expression" dxfId="559" priority="47">
      <formula>kvartal &lt; 4</formula>
    </cfRule>
  </conditionalFormatting>
  <conditionalFormatting sqref="C104">
    <cfRule type="expression" dxfId="558" priority="46">
      <formula>kvartal &lt; 4</formula>
    </cfRule>
  </conditionalFormatting>
  <conditionalFormatting sqref="B115">
    <cfRule type="expression" dxfId="557" priority="45">
      <formula>kvartal &lt; 4</formula>
    </cfRule>
  </conditionalFormatting>
  <conditionalFormatting sqref="C115">
    <cfRule type="expression" dxfId="556" priority="44">
      <formula>kvartal &lt; 4</formula>
    </cfRule>
  </conditionalFormatting>
  <conditionalFormatting sqref="B123">
    <cfRule type="expression" dxfId="555" priority="43">
      <formula>kvartal &lt; 4</formula>
    </cfRule>
  </conditionalFormatting>
  <conditionalFormatting sqref="C123">
    <cfRule type="expression" dxfId="554" priority="42">
      <formula>kvartal &lt; 4</formula>
    </cfRule>
  </conditionalFormatting>
  <conditionalFormatting sqref="F70">
    <cfRule type="expression" dxfId="553" priority="41">
      <formula>kvartal &lt; 4</formula>
    </cfRule>
  </conditionalFormatting>
  <conditionalFormatting sqref="G70">
    <cfRule type="expression" dxfId="552" priority="40">
      <formula>kvartal &lt; 4</formula>
    </cfRule>
  </conditionalFormatting>
  <conditionalFormatting sqref="F71:G71">
    <cfRule type="expression" dxfId="551" priority="39">
      <formula>kvartal &lt; 4</formula>
    </cfRule>
  </conditionalFormatting>
  <conditionalFormatting sqref="F73:G74">
    <cfRule type="expression" dxfId="550" priority="38">
      <formula>kvartal &lt; 4</formula>
    </cfRule>
  </conditionalFormatting>
  <conditionalFormatting sqref="F81:G82">
    <cfRule type="expression" dxfId="549" priority="37">
      <formula>kvartal &lt; 4</formula>
    </cfRule>
  </conditionalFormatting>
  <conditionalFormatting sqref="F84:G85">
    <cfRule type="expression" dxfId="548" priority="36">
      <formula>kvartal &lt; 4</formula>
    </cfRule>
  </conditionalFormatting>
  <conditionalFormatting sqref="F91:G92">
    <cfRule type="expression" dxfId="547" priority="35">
      <formula>kvartal &lt; 4</formula>
    </cfRule>
  </conditionalFormatting>
  <conditionalFormatting sqref="F94:G95">
    <cfRule type="expression" dxfId="546" priority="34">
      <formula>kvartal &lt; 4</formula>
    </cfRule>
  </conditionalFormatting>
  <conditionalFormatting sqref="F102:G103">
    <cfRule type="expression" dxfId="545" priority="33">
      <formula>kvartal &lt; 4</formula>
    </cfRule>
  </conditionalFormatting>
  <conditionalFormatting sqref="F105:G106">
    <cfRule type="expression" dxfId="544" priority="32">
      <formula>kvartal &lt; 4</formula>
    </cfRule>
  </conditionalFormatting>
  <conditionalFormatting sqref="F115">
    <cfRule type="expression" dxfId="543" priority="31">
      <formula>kvartal &lt; 4</formula>
    </cfRule>
  </conditionalFormatting>
  <conditionalFormatting sqref="G115">
    <cfRule type="expression" dxfId="542" priority="30">
      <formula>kvartal &lt; 4</formula>
    </cfRule>
  </conditionalFormatting>
  <conditionalFormatting sqref="F123:G123">
    <cfRule type="expression" dxfId="541" priority="29">
      <formula>kvartal &lt; 4</formula>
    </cfRule>
  </conditionalFormatting>
  <conditionalFormatting sqref="F69:G69">
    <cfRule type="expression" dxfId="540" priority="28">
      <formula>kvartal &lt; 4</formula>
    </cfRule>
  </conditionalFormatting>
  <conditionalFormatting sqref="F72:G72">
    <cfRule type="expression" dxfId="539" priority="27">
      <formula>kvartal &lt; 4</formula>
    </cfRule>
  </conditionalFormatting>
  <conditionalFormatting sqref="F80:G80">
    <cfRule type="expression" dxfId="538" priority="26">
      <formula>kvartal &lt; 4</formula>
    </cfRule>
  </conditionalFormatting>
  <conditionalFormatting sqref="F83:G83">
    <cfRule type="expression" dxfId="537" priority="25">
      <formula>kvartal &lt; 4</formula>
    </cfRule>
  </conditionalFormatting>
  <conditionalFormatting sqref="F90:G90">
    <cfRule type="expression" dxfId="536" priority="24">
      <formula>kvartal &lt; 4</formula>
    </cfRule>
  </conditionalFormatting>
  <conditionalFormatting sqref="F93">
    <cfRule type="expression" dxfId="535" priority="23">
      <formula>kvartal &lt; 4</formula>
    </cfRule>
  </conditionalFormatting>
  <conditionalFormatting sqref="G93">
    <cfRule type="expression" dxfId="534" priority="22">
      <formula>kvartal &lt; 4</formula>
    </cfRule>
  </conditionalFormatting>
  <conditionalFormatting sqref="F101">
    <cfRule type="expression" dxfId="533" priority="21">
      <formula>kvartal &lt; 4</formula>
    </cfRule>
  </conditionalFormatting>
  <conditionalFormatting sqref="G101">
    <cfRule type="expression" dxfId="532" priority="20">
      <formula>kvartal &lt; 4</formula>
    </cfRule>
  </conditionalFormatting>
  <conditionalFormatting sqref="G104">
    <cfRule type="expression" dxfId="531" priority="19">
      <formula>kvartal &lt; 4</formula>
    </cfRule>
  </conditionalFormatting>
  <conditionalFormatting sqref="F104">
    <cfRule type="expression" dxfId="530" priority="18">
      <formula>kvartal &lt; 4</formula>
    </cfRule>
  </conditionalFormatting>
  <conditionalFormatting sqref="J69:K73">
    <cfRule type="expression" dxfId="529" priority="17">
      <formula>kvartal &lt; 4</formula>
    </cfRule>
  </conditionalFormatting>
  <conditionalFormatting sqref="J74:K74">
    <cfRule type="expression" dxfId="528" priority="16">
      <formula>kvartal &lt; 4</formula>
    </cfRule>
  </conditionalFormatting>
  <conditionalFormatting sqref="J80:K85">
    <cfRule type="expression" dxfId="527" priority="15">
      <formula>kvartal &lt; 4</formula>
    </cfRule>
  </conditionalFormatting>
  <conditionalFormatting sqref="J90:K95">
    <cfRule type="expression" dxfId="526" priority="14">
      <formula>kvartal &lt; 4</formula>
    </cfRule>
  </conditionalFormatting>
  <conditionalFormatting sqref="J101:K106">
    <cfRule type="expression" dxfId="525" priority="13">
      <formula>kvartal &lt; 4</formula>
    </cfRule>
  </conditionalFormatting>
  <conditionalFormatting sqref="J115:K115">
    <cfRule type="expression" dxfId="524" priority="12">
      <formula>kvartal &lt; 4</formula>
    </cfRule>
  </conditionalFormatting>
  <conditionalFormatting sqref="J123:K123">
    <cfRule type="expression" dxfId="523" priority="11">
      <formula>kvartal &lt; 4</formula>
    </cfRule>
  </conditionalFormatting>
  <conditionalFormatting sqref="A50:A52">
    <cfRule type="expression" dxfId="522" priority="8">
      <formula>kvartal &lt; 4</formula>
    </cfRule>
  </conditionalFormatting>
  <conditionalFormatting sqref="A69:A74">
    <cfRule type="expression" dxfId="521" priority="7">
      <formula>kvartal &lt; 4</formula>
    </cfRule>
  </conditionalFormatting>
  <conditionalFormatting sqref="A80:A85">
    <cfRule type="expression" dxfId="520" priority="6">
      <formula>kvartal &lt; 4</formula>
    </cfRule>
  </conditionalFormatting>
  <conditionalFormatting sqref="A90:A95">
    <cfRule type="expression" dxfId="519" priority="5">
      <formula>kvartal &lt; 4</formula>
    </cfRule>
  </conditionalFormatting>
  <conditionalFormatting sqref="A101:A106">
    <cfRule type="expression" dxfId="518" priority="4">
      <formula>kvartal &lt; 4</formula>
    </cfRule>
  </conditionalFormatting>
  <conditionalFormatting sqref="A115">
    <cfRule type="expression" dxfId="517" priority="3">
      <formula>kvartal &lt; 4</formula>
    </cfRule>
  </conditionalFormatting>
  <conditionalFormatting sqref="A123">
    <cfRule type="expression" dxfId="516" priority="2">
      <formula>kvartal &lt; 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134</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v>82378</v>
      </c>
      <c r="G7" s="306">
        <v>68645.916549999994</v>
      </c>
      <c r="H7" s="350">
        <f>IF(F7=0, "    ---- ", IF(ABS(ROUND(100/F7*G7-100,1))&lt;999,ROUND(100/F7*G7-100,1),IF(ROUND(100/F7*G7-100,1)&gt;999,999,-999)))</f>
        <v>-16.7</v>
      </c>
      <c r="I7" s="160">
        <f>IFERROR(100/'Skjema total MA'!F7*G7,0)</f>
        <v>0.95796462602834198</v>
      </c>
      <c r="J7" s="307">
        <f t="shared" ref="J7:K12" si="0">SUM(B7,F7)</f>
        <v>82378</v>
      </c>
      <c r="K7" s="308">
        <f t="shared" si="0"/>
        <v>68645.916549999994</v>
      </c>
      <c r="L7" s="374">
        <f>IF(J7=0, "    ---- ", IF(ABS(ROUND(100/J7*K7-100,1))&lt;999,ROUND(100/J7*K7-100,1),IF(ROUND(100/J7*K7-100,1)&gt;999,999,-999)))</f>
        <v>-16.7</v>
      </c>
      <c r="M7" s="11">
        <f>IFERROR(100/'Skjema total MA'!I7*K7,0)</f>
        <v>0.63479043340676611</v>
      </c>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v>865183.09143999999</v>
      </c>
      <c r="G10" s="310">
        <v>887180.73270000005</v>
      </c>
      <c r="H10" s="171">
        <f t="shared" ref="H10:H12" si="1">IF(F10=0, "    ---- ", IF(ABS(ROUND(100/F10*G10-100,1))&lt;999,ROUND(100/F10*G10-100,1),IF(ROUND(100/F10*G10-100,1)&gt;999,999,-999)))</f>
        <v>2.5</v>
      </c>
      <c r="I10" s="160">
        <f>IFERROR(100/'Skjema total MA'!F10*G10,0)</f>
        <v>1.8016341108709044</v>
      </c>
      <c r="J10" s="307">
        <f t="shared" si="0"/>
        <v>865183.09143999999</v>
      </c>
      <c r="K10" s="308">
        <f t="shared" si="0"/>
        <v>887180.73270000005</v>
      </c>
      <c r="L10" s="375">
        <f t="shared" ref="L10:L12" si="2">IF(J10=0, "    ---- ", IF(ABS(ROUND(100/J10*K10-100,1))&lt;999,ROUND(100/J10*K10-100,1),IF(ROUND(100/J10*K10-100,1)&gt;999,999,-999)))</f>
        <v>2.5</v>
      </c>
      <c r="M10" s="11">
        <f>IFERROR(100/'Skjema total MA'!I10*K10,0)</f>
        <v>1.294174647048723</v>
      </c>
    </row>
    <row r="11" spans="1:14" s="43" customFormat="1" ht="15.75" x14ac:dyDescent="0.2">
      <c r="A11" s="13" t="s">
        <v>369</v>
      </c>
      <c r="B11" s="309"/>
      <c r="C11" s="310"/>
      <c r="D11" s="171"/>
      <c r="E11" s="11"/>
      <c r="F11" s="309">
        <v>12878</v>
      </c>
      <c r="G11" s="310">
        <v>13631.232</v>
      </c>
      <c r="H11" s="171">
        <f t="shared" si="1"/>
        <v>5.8</v>
      </c>
      <c r="I11" s="160">
        <f>IFERROR(100/'Skjema total MA'!F11*G11,0)</f>
        <v>5.9100671697388441</v>
      </c>
      <c r="J11" s="307">
        <f t="shared" si="0"/>
        <v>12878</v>
      </c>
      <c r="K11" s="308">
        <f t="shared" si="0"/>
        <v>13631.232</v>
      </c>
      <c r="L11" s="375">
        <f t="shared" si="2"/>
        <v>5.8</v>
      </c>
      <c r="M11" s="11">
        <f>IFERROR(100/'Skjema total MA'!I11*K11,0)</f>
        <v>4.9358817356051468</v>
      </c>
      <c r="N11" s="143"/>
    </row>
    <row r="12" spans="1:14" s="43" customFormat="1" ht="15.75" x14ac:dyDescent="0.2">
      <c r="A12" s="41" t="s">
        <v>370</v>
      </c>
      <c r="B12" s="311"/>
      <c r="C12" s="312"/>
      <c r="D12" s="169"/>
      <c r="E12" s="36"/>
      <c r="F12" s="311">
        <v>1307</v>
      </c>
      <c r="G12" s="312">
        <v>1874.90922</v>
      </c>
      <c r="H12" s="169">
        <f t="shared" si="1"/>
        <v>43.5</v>
      </c>
      <c r="I12" s="169">
        <f>IFERROR(100/'Skjema total MA'!F12*G12,0)</f>
        <v>1.1123348636213819</v>
      </c>
      <c r="J12" s="313">
        <f t="shared" si="0"/>
        <v>1307</v>
      </c>
      <c r="K12" s="314">
        <f t="shared" si="0"/>
        <v>1874.90922</v>
      </c>
      <c r="L12" s="376">
        <f t="shared" si="2"/>
        <v>43.5</v>
      </c>
      <c r="M12" s="36">
        <f>IFERROR(100/'Skjema total MA'!I12*K12,0)</f>
        <v>1.0808935893549856</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v>26403</v>
      </c>
      <c r="G22" s="317">
        <v>29245.956999999999</v>
      </c>
      <c r="H22" s="350">
        <f t="shared" ref="H22:H35" si="3">IF(F22=0, "    ---- ", IF(ABS(ROUND(100/F22*G22-100,1))&lt;999,ROUND(100/F22*G22-100,1),IF(ROUND(100/F22*G22-100,1)&gt;999,999,-999)))</f>
        <v>10.8</v>
      </c>
      <c r="I22" s="11">
        <f>IFERROR(100/'Skjema total MA'!F22*G22,0)</f>
        <v>3.6613642165949907</v>
      </c>
      <c r="J22" s="315">
        <f t="shared" ref="J22:K35" si="4">SUM(B22,F22)</f>
        <v>26403</v>
      </c>
      <c r="K22" s="315">
        <f t="shared" si="4"/>
        <v>29245.956999999999</v>
      </c>
      <c r="L22" s="374">
        <f t="shared" ref="L22:L35" si="5">IF(J22=0, "    ---- ", IF(ABS(ROUND(100/J22*K22-100,1))&lt;999,ROUND(100/J22*K22-100,1),IF(ROUND(100/J22*K22-100,1)&gt;999,999,-999)))</f>
        <v>10.8</v>
      </c>
      <c r="M22" s="24">
        <f>IFERROR(100/'Skjema total MA'!I22*K22,0)</f>
        <v>1.3530149174817916</v>
      </c>
    </row>
    <row r="23" spans="1:14" ht="15.75" x14ac:dyDescent="0.2">
      <c r="A23" s="562" t="s">
        <v>371</v>
      </c>
      <c r="B23" s="280"/>
      <c r="C23" s="280"/>
      <c r="D23" s="166"/>
      <c r="E23" s="11"/>
      <c r="F23" s="289">
        <v>376</v>
      </c>
      <c r="G23" s="289">
        <v>238.22920999999999</v>
      </c>
      <c r="H23" s="253">
        <f t="shared" si="3"/>
        <v>-36.6</v>
      </c>
      <c r="I23" s="366">
        <f>IFERROR(100/'Skjema total MA'!F23*G23,0)</f>
        <v>0.42036698381009524</v>
      </c>
      <c r="J23" s="289">
        <f t="shared" ref="J23:J26" si="6">SUM(B23,F23)</f>
        <v>376</v>
      </c>
      <c r="K23" s="289">
        <f t="shared" ref="K23:K26" si="7">SUM(C23,G23)</f>
        <v>238.22920999999999</v>
      </c>
      <c r="L23" s="253">
        <f t="shared" si="5"/>
        <v>-36.6</v>
      </c>
      <c r="M23" s="23">
        <f>IFERROR(100/'Skjema total MA'!I23*K23,0)</f>
        <v>2.2769190809569358E-2</v>
      </c>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v>26027</v>
      </c>
      <c r="G26" s="289">
        <v>29007.727790000001</v>
      </c>
      <c r="H26" s="253">
        <f t="shared" si="3"/>
        <v>11.5</v>
      </c>
      <c r="I26" s="366">
        <f>IFERROR(100/'Skjema total MA'!F26*G26,0)</f>
        <v>4.0681350172289674</v>
      </c>
      <c r="J26" s="289">
        <f t="shared" si="6"/>
        <v>26027</v>
      </c>
      <c r="K26" s="289">
        <f t="shared" si="7"/>
        <v>29007.727790000001</v>
      </c>
      <c r="L26" s="253">
        <f t="shared" si="5"/>
        <v>11.5</v>
      </c>
      <c r="M26" s="23">
        <f>IFERROR(100/'Skjema total MA'!I26*K26,0)</f>
        <v>4.0681350172289674</v>
      </c>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v>892957.55039999995</v>
      </c>
      <c r="G29" s="307">
        <v>888766.05273999996</v>
      </c>
      <c r="H29" s="171">
        <f t="shared" si="3"/>
        <v>-0.5</v>
      </c>
      <c r="I29" s="11">
        <f>IFERROR(100/'Skjema total MA'!F29*G29,0)</f>
        <v>4.1732481020084533</v>
      </c>
      <c r="J29" s="235">
        <f t="shared" si="4"/>
        <v>892957.55039999995</v>
      </c>
      <c r="K29" s="235">
        <f t="shared" si="4"/>
        <v>888766.05273999996</v>
      </c>
      <c r="L29" s="375">
        <f t="shared" si="5"/>
        <v>-0.5</v>
      </c>
      <c r="M29" s="24">
        <f>IFERROR(100/'Skjema total MA'!I29*K29,0)</f>
        <v>1.302049722139702</v>
      </c>
      <c r="N29" s="148"/>
    </row>
    <row r="30" spans="1:14" s="3" customFormat="1" ht="15.75" x14ac:dyDescent="0.2">
      <c r="A30" s="562" t="s">
        <v>371</v>
      </c>
      <c r="B30" s="280"/>
      <c r="C30" s="280"/>
      <c r="D30" s="166"/>
      <c r="E30" s="11"/>
      <c r="F30" s="289">
        <v>125529.81813</v>
      </c>
      <c r="G30" s="289">
        <v>120063.83826999999</v>
      </c>
      <c r="H30" s="253">
        <f t="shared" si="3"/>
        <v>-4.4000000000000004</v>
      </c>
      <c r="I30" s="366">
        <f>IFERROR(100/'Skjema total MA'!F30*G30,0)</f>
        <v>2.7977048094010604</v>
      </c>
      <c r="J30" s="289">
        <f t="shared" ref="J30:J33" si="8">SUM(B30,F30)</f>
        <v>125529.81813</v>
      </c>
      <c r="K30" s="289">
        <f t="shared" ref="K30:K33" si="9">SUM(C30,G30)</f>
        <v>120063.83826999999</v>
      </c>
      <c r="L30" s="253">
        <f t="shared" si="5"/>
        <v>-4.4000000000000004</v>
      </c>
      <c r="M30" s="23">
        <f>IFERROR(100/'Skjema total MA'!I30*K30,0)</f>
        <v>0.82060956416056297</v>
      </c>
      <c r="N30" s="148"/>
    </row>
    <row r="31" spans="1:14" s="3" customFormat="1" ht="15.75" x14ac:dyDescent="0.2">
      <c r="A31" s="562" t="s">
        <v>372</v>
      </c>
      <c r="B31" s="280"/>
      <c r="C31" s="280"/>
      <c r="D31" s="166"/>
      <c r="E31" s="11"/>
      <c r="F31" s="289">
        <v>680833.71946000005</v>
      </c>
      <c r="G31" s="289">
        <v>646576.62974999996</v>
      </c>
      <c r="H31" s="253">
        <f t="shared" si="3"/>
        <v>-5</v>
      </c>
      <c r="I31" s="366">
        <f>IFERROR(100/'Skjema total MA'!F31*G31,0)</f>
        <v>6.6348137183577389</v>
      </c>
      <c r="J31" s="289">
        <f t="shared" si="8"/>
        <v>680833.71946000005</v>
      </c>
      <c r="K31" s="289">
        <f t="shared" si="9"/>
        <v>646576.62974999996</v>
      </c>
      <c r="L31" s="253">
        <f t="shared" si="5"/>
        <v>-5</v>
      </c>
      <c r="M31" s="23">
        <f>IFERROR(100/'Skjema total MA'!I31*K31,0)</f>
        <v>1.5084305814541794</v>
      </c>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v>86594.01281</v>
      </c>
      <c r="G33" s="289">
        <v>122125.58472</v>
      </c>
      <c r="H33" s="253">
        <f t="shared" ref="H33" si="10">IF(F33=0, "    ---- ", IF(ABS(ROUND(100/F33*G33-100,1))&lt;999,ROUND(100/F33*G33-100,1),IF(ROUND(100/F33*G33-100,1)&gt;999,999,-999)))</f>
        <v>41</v>
      </c>
      <c r="I33" s="366">
        <f>IFERROR(100/'Skjema total MA'!F33*G33,0)</f>
        <v>4.3355470057636563</v>
      </c>
      <c r="J33" s="289">
        <f t="shared" si="8"/>
        <v>86594.01281</v>
      </c>
      <c r="K33" s="289">
        <f t="shared" si="9"/>
        <v>122125.58472</v>
      </c>
      <c r="L33" s="253">
        <f t="shared" si="5"/>
        <v>41</v>
      </c>
      <c r="M33" s="23">
        <f>IFERROR(100/'Skjema total MA'!I33*K33,0)</f>
        <v>4.3355470057636563</v>
      </c>
    </row>
    <row r="34" spans="1:14" ht="15.75" x14ac:dyDescent="0.2">
      <c r="A34" s="13" t="s">
        <v>369</v>
      </c>
      <c r="B34" s="235"/>
      <c r="C34" s="308"/>
      <c r="D34" s="171"/>
      <c r="E34" s="11"/>
      <c r="F34" s="307">
        <v>5316</v>
      </c>
      <c r="G34" s="308">
        <v>6268.1859999999997</v>
      </c>
      <c r="H34" s="171">
        <f t="shared" si="3"/>
        <v>17.899999999999999</v>
      </c>
      <c r="I34" s="11">
        <f>IFERROR(100/'Skjema total MA'!F34*G34,0)</f>
        <v>11.053224878817554</v>
      </c>
      <c r="J34" s="235">
        <f t="shared" si="4"/>
        <v>5316</v>
      </c>
      <c r="K34" s="235">
        <f t="shared" si="4"/>
        <v>6268.1859999999997</v>
      </c>
      <c r="L34" s="375">
        <f t="shared" si="5"/>
        <v>17.899999999999999</v>
      </c>
      <c r="M34" s="24">
        <f>IFERROR(100/'Skjema total MA'!I34*K34,0)</f>
        <v>7.9827256365610157</v>
      </c>
    </row>
    <row r="35" spans="1:14" ht="15.75" x14ac:dyDescent="0.2">
      <c r="A35" s="13" t="s">
        <v>370</v>
      </c>
      <c r="B35" s="235"/>
      <c r="C35" s="308"/>
      <c r="D35" s="171"/>
      <c r="E35" s="11"/>
      <c r="F35" s="307">
        <v>5496</v>
      </c>
      <c r="G35" s="308">
        <v>4990.9125599999998</v>
      </c>
      <c r="H35" s="171">
        <f t="shared" si="3"/>
        <v>-9.1999999999999993</v>
      </c>
      <c r="I35" s="11">
        <f>IFERROR(100/'Skjema total MA'!F35*G35,0)</f>
        <v>5.6707364733606793</v>
      </c>
      <c r="J35" s="235">
        <f t="shared" si="4"/>
        <v>5496</v>
      </c>
      <c r="K35" s="235">
        <f t="shared" si="4"/>
        <v>4990.9125599999998</v>
      </c>
      <c r="L35" s="375">
        <f t="shared" si="5"/>
        <v>-9.1999999999999993</v>
      </c>
      <c r="M35" s="24">
        <f>IFERROR(100/'Skjema total MA'!I35*K35,0)</f>
        <v>6.8353901970551547</v>
      </c>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374"/>
      <c r="E47" s="11"/>
      <c r="F47" s="145"/>
      <c r="G47" s="33"/>
      <c r="H47" s="159"/>
      <c r="I47" s="159"/>
      <c r="J47" s="37"/>
      <c r="K47" s="37"/>
      <c r="L47" s="159"/>
      <c r="M47" s="159"/>
      <c r="N47" s="148"/>
    </row>
    <row r="48" spans="1:14" s="3" customFormat="1" ht="15.75" x14ac:dyDescent="0.2">
      <c r="A48" s="38" t="s">
        <v>379</v>
      </c>
      <c r="B48" s="280"/>
      <c r="C48" s="281"/>
      <c r="D48" s="253"/>
      <c r="E48" s="27"/>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v>62</v>
      </c>
      <c r="G66" s="352">
        <v>-51.444560000000003</v>
      </c>
      <c r="H66" s="350">
        <f t="shared" ref="H66:H111" si="11">IF(F66=0, "    ---- ", IF(ABS(ROUND(100/F66*G66-100,1))&lt;999,ROUND(100/F66*G66-100,1),IF(ROUND(100/F66*G66-100,1)&gt;999,999,-999)))</f>
        <v>-183</v>
      </c>
      <c r="I66" s="11">
        <f>IFERROR(100/'Skjema total MA'!F66*G66,0)</f>
        <v>-2.1627461908121424E-4</v>
      </c>
      <c r="J66" s="308">
        <f t="shared" ref="J66:K86" si="12">SUM(B66,F66)</f>
        <v>62</v>
      </c>
      <c r="K66" s="315">
        <f t="shared" si="12"/>
        <v>-51.444560000000003</v>
      </c>
      <c r="L66" s="375">
        <f t="shared" ref="L66:L111" si="13">IF(J66=0, "    ---- ", IF(ABS(ROUND(100/J66*K66-100,1))&lt;999,ROUND(100/J66*K66-100,1),IF(ROUND(100/J66*K66-100,1)&gt;999,999,-999)))</f>
        <v>-183</v>
      </c>
      <c r="M66" s="11">
        <f>IFERROR(100/'Skjema total MA'!I66*K66,0)</f>
        <v>-1.6649983469014978E-4</v>
      </c>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v>62</v>
      </c>
      <c r="G68" s="292">
        <v>-51.444560000000003</v>
      </c>
      <c r="H68" s="166">
        <f t="shared" si="11"/>
        <v>-183</v>
      </c>
      <c r="I68" s="27">
        <f>IFERROR(100/'Skjema total MA'!F68*G68,0)</f>
        <v>-2.1918790579890816E-4</v>
      </c>
      <c r="J68" s="286">
        <f t="shared" si="12"/>
        <v>62</v>
      </c>
      <c r="K68" s="44">
        <f t="shared" si="12"/>
        <v>-51.444560000000003</v>
      </c>
      <c r="L68" s="253">
        <f t="shared" si="13"/>
        <v>-183</v>
      </c>
      <c r="M68" s="27">
        <f>IFERROR(100/'Skjema total MA'!I68*K68,0)</f>
        <v>-2.1797415739690569E-4</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v>62</v>
      </c>
      <c r="G86" s="145">
        <v>-51.444560000000003</v>
      </c>
      <c r="H86" s="166">
        <f t="shared" si="11"/>
        <v>-183</v>
      </c>
      <c r="I86" s="27">
        <f>IFERROR(100/'Skjema total MA'!F86*G86,0)</f>
        <v>-0.51666565860178337</v>
      </c>
      <c r="J86" s="286">
        <f t="shared" si="12"/>
        <v>62</v>
      </c>
      <c r="K86" s="44">
        <f t="shared" si="12"/>
        <v>-51.444560000000003</v>
      </c>
      <c r="L86" s="253">
        <f t="shared" si="13"/>
        <v>-183</v>
      </c>
      <c r="M86" s="27">
        <f>IFERROR(100/'Skjema total MA'!I86*K86,0)</f>
        <v>-5.4173848772521356E-2</v>
      </c>
    </row>
    <row r="87" spans="1:13" ht="15.75" x14ac:dyDescent="0.2">
      <c r="A87" s="13" t="s">
        <v>368</v>
      </c>
      <c r="B87" s="353"/>
      <c r="C87" s="353"/>
      <c r="D87" s="171"/>
      <c r="E87" s="11"/>
      <c r="F87" s="352">
        <v>491512.76977000001</v>
      </c>
      <c r="G87" s="352">
        <v>601697.13809999998</v>
      </c>
      <c r="H87" s="171">
        <f t="shared" si="11"/>
        <v>22.4</v>
      </c>
      <c r="I87" s="11">
        <f>IFERROR(100/'Skjema total MA'!F87*G87,0)</f>
        <v>0.20431096725628992</v>
      </c>
      <c r="J87" s="308">
        <f t="shared" ref="J87:K111" si="14">SUM(B87,F87)</f>
        <v>491512.76977000001</v>
      </c>
      <c r="K87" s="235">
        <f t="shared" si="14"/>
        <v>601697.13809999998</v>
      </c>
      <c r="L87" s="375">
        <f t="shared" si="13"/>
        <v>22.4</v>
      </c>
      <c r="M87" s="11">
        <f>IFERROR(100/'Skjema total MA'!I87*K87,0)</f>
        <v>8.786570866901669E-2</v>
      </c>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v>491512.76977000001</v>
      </c>
      <c r="G89" s="145">
        <v>601697.13809999998</v>
      </c>
      <c r="H89" s="166">
        <f t="shared" si="11"/>
        <v>22.4</v>
      </c>
      <c r="I89" s="27">
        <f>IFERROR(100/'Skjema total MA'!F89*G89,0)</f>
        <v>0.20528382476046922</v>
      </c>
      <c r="J89" s="286">
        <f t="shared" si="14"/>
        <v>491512.76977000001</v>
      </c>
      <c r="K89" s="44">
        <f t="shared" si="14"/>
        <v>601697.13809999998</v>
      </c>
      <c r="L89" s="253">
        <f t="shared" si="13"/>
        <v>22.4</v>
      </c>
      <c r="M89" s="27">
        <f>IFERROR(100/'Skjema total MA'!I89*K89,0)</f>
        <v>0.20318106801500899</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v>491512.76977000001</v>
      </c>
      <c r="G107" s="145">
        <v>601697.13809999998</v>
      </c>
      <c r="H107" s="166">
        <f t="shared" si="11"/>
        <v>22.4</v>
      </c>
      <c r="I107" s="27">
        <f>IFERROR(100/'Skjema total MA'!F107*G107,0)</f>
        <v>74.299505260665981</v>
      </c>
      <c r="J107" s="286">
        <f t="shared" si="14"/>
        <v>491512.76977000001</v>
      </c>
      <c r="K107" s="44">
        <f t="shared" si="14"/>
        <v>601697.13809999998</v>
      </c>
      <c r="L107" s="253">
        <f t="shared" si="13"/>
        <v>22.4</v>
      </c>
      <c r="M107" s="27">
        <f>IFERROR(100/'Skjema total MA'!I107*K107,0)</f>
        <v>10.850271281754692</v>
      </c>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v>317025.239</v>
      </c>
      <c r="G109" s="233">
        <v>432564.33708999999</v>
      </c>
      <c r="H109" s="166">
        <f t="shared" si="11"/>
        <v>36.4</v>
      </c>
      <c r="I109" s="27">
        <f>IFERROR(100/'Skjema total MA'!F109*G109,0)</f>
        <v>0.4327283035530709</v>
      </c>
      <c r="J109" s="286">
        <f t="shared" si="14"/>
        <v>317025.239</v>
      </c>
      <c r="K109" s="44">
        <f t="shared" si="14"/>
        <v>432564.33708999999</v>
      </c>
      <c r="L109" s="253">
        <f t="shared" si="13"/>
        <v>36.4</v>
      </c>
      <c r="M109" s="27">
        <f>IFERROR(100/'Skjema total MA'!I109*K109,0)</f>
        <v>0.42853317733196117</v>
      </c>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v>110356</v>
      </c>
      <c r="G111" s="159">
        <v>62490.014000000003</v>
      </c>
      <c r="H111" s="171">
        <f t="shared" si="11"/>
        <v>-43.4</v>
      </c>
      <c r="I111" s="11">
        <f>IFERROR(100/'Skjema total MA'!F111*G111,0)</f>
        <v>0.5662365418366373</v>
      </c>
      <c r="J111" s="308">
        <f t="shared" si="14"/>
        <v>110356</v>
      </c>
      <c r="K111" s="235">
        <f t="shared" si="14"/>
        <v>62490.014000000003</v>
      </c>
      <c r="L111" s="375">
        <f t="shared" si="13"/>
        <v>-43.4</v>
      </c>
      <c r="M111" s="11">
        <f>IFERROR(100/'Skjema total MA'!I111*K111,0)</f>
        <v>0.54743449365364449</v>
      </c>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v>110356</v>
      </c>
      <c r="G113" s="145">
        <v>62490.014000000003</v>
      </c>
      <c r="H113" s="166">
        <f t="shared" ref="H113:H125" si="15">IF(F113=0, "    ---- ", IF(ABS(ROUND(100/F113*G113-100,1))&lt;999,ROUND(100/F113*G113-100,1),IF(ROUND(100/F113*G113-100,1)&gt;999,999,-999)))</f>
        <v>-43.4</v>
      </c>
      <c r="I113" s="27">
        <f>IFERROR(100/'Skjema total MA'!F113*G113,0)</f>
        <v>0.56812877235419679</v>
      </c>
      <c r="J113" s="286">
        <f t="shared" ref="J113:K125" si="16">SUM(B113,F113)</f>
        <v>110356</v>
      </c>
      <c r="K113" s="44">
        <f t="shared" si="16"/>
        <v>62490.014000000003</v>
      </c>
      <c r="L113" s="253">
        <f t="shared" ref="L113:L125" si="17">IF(J113=0, "    ---- ", IF(ABS(ROUND(100/J113*K113-100,1))&lt;999,ROUND(100/J113*K113-100,1),IF(ROUND(100/J113*K113-100,1)&gt;999,999,-999)))</f>
        <v>-43.4</v>
      </c>
      <c r="M113" s="27">
        <f>IFERROR(100/'Skjema total MA'!I113*K113,0)</f>
        <v>0.56805685218128543</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v>110356</v>
      </c>
      <c r="G117" s="233">
        <v>62490.014000000003</v>
      </c>
      <c r="H117" s="166">
        <f t="shared" si="15"/>
        <v>-43.4</v>
      </c>
      <c r="I117" s="27">
        <f>IFERROR(100/'Skjema total MA'!F117*G117,0)</f>
        <v>2.9107636546300384</v>
      </c>
      <c r="J117" s="286">
        <f t="shared" si="16"/>
        <v>110356</v>
      </c>
      <c r="K117" s="44">
        <f t="shared" si="16"/>
        <v>62490.014000000003</v>
      </c>
      <c r="L117" s="253">
        <f t="shared" si="17"/>
        <v>-43.4</v>
      </c>
      <c r="M117" s="27">
        <f>IFERROR(100/'Skjema total MA'!I117*K117,0)</f>
        <v>2.9107636546300384</v>
      </c>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v>1162</v>
      </c>
      <c r="G119" s="159">
        <v>5073.1112300000004</v>
      </c>
      <c r="H119" s="171">
        <f t="shared" si="15"/>
        <v>336.6</v>
      </c>
      <c r="I119" s="11">
        <f>IFERROR(100/'Skjema total MA'!F119*G119,0)</f>
        <v>4.5856613221376852E-2</v>
      </c>
      <c r="J119" s="308">
        <f t="shared" si="16"/>
        <v>1162</v>
      </c>
      <c r="K119" s="235">
        <f t="shared" si="16"/>
        <v>5073.1112300000004</v>
      </c>
      <c r="L119" s="375">
        <f t="shared" si="17"/>
        <v>336.6</v>
      </c>
      <c r="M119" s="11">
        <f>IFERROR(100/'Skjema total MA'!I119*K119,0)</f>
        <v>4.4301426636243764E-2</v>
      </c>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v>1162</v>
      </c>
      <c r="G121" s="145">
        <v>5073.1112300000004</v>
      </c>
      <c r="H121" s="166">
        <f t="shared" si="15"/>
        <v>336.6</v>
      </c>
      <c r="I121" s="27">
        <f>IFERROR(100/'Skjema total MA'!F121*G121,0)</f>
        <v>4.5856613221376852E-2</v>
      </c>
      <c r="J121" s="286">
        <f t="shared" si="16"/>
        <v>1162</v>
      </c>
      <c r="K121" s="44">
        <f t="shared" si="16"/>
        <v>5073.1112300000004</v>
      </c>
      <c r="L121" s="253">
        <f t="shared" si="17"/>
        <v>336.6</v>
      </c>
      <c r="M121" s="27">
        <f>IFERROR(100/'Skjema total MA'!I121*K121,0)</f>
        <v>4.5712754089818314E-2</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v>1009</v>
      </c>
      <c r="G125" s="233">
        <v>5073.1112300000004</v>
      </c>
      <c r="H125" s="166">
        <f t="shared" si="15"/>
        <v>402.8</v>
      </c>
      <c r="I125" s="27">
        <f>IFERROR(100/'Skjema total MA'!F125*G125,0)</f>
        <v>0.22515488101146219</v>
      </c>
      <c r="J125" s="286">
        <f t="shared" si="16"/>
        <v>1009</v>
      </c>
      <c r="K125" s="44">
        <f t="shared" si="16"/>
        <v>5073.1112300000004</v>
      </c>
      <c r="L125" s="253">
        <f t="shared" si="17"/>
        <v>402.8</v>
      </c>
      <c r="M125" s="27">
        <f>IFERROR(100/'Skjema total MA'!I125*K125,0)</f>
        <v>0.22489403250523354</v>
      </c>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15" priority="132">
      <formula>kvartal &lt; 4</formula>
    </cfRule>
  </conditionalFormatting>
  <conditionalFormatting sqref="B69">
    <cfRule type="expression" dxfId="514" priority="100">
      <formula>kvartal &lt; 4</formula>
    </cfRule>
  </conditionalFormatting>
  <conditionalFormatting sqref="C69">
    <cfRule type="expression" dxfId="513" priority="99">
      <formula>kvartal &lt; 4</formula>
    </cfRule>
  </conditionalFormatting>
  <conditionalFormatting sqref="B72">
    <cfRule type="expression" dxfId="512" priority="98">
      <formula>kvartal &lt; 4</formula>
    </cfRule>
  </conditionalFormatting>
  <conditionalFormatting sqref="C72">
    <cfRule type="expression" dxfId="511" priority="97">
      <formula>kvartal &lt; 4</formula>
    </cfRule>
  </conditionalFormatting>
  <conditionalFormatting sqref="B80">
    <cfRule type="expression" dxfId="510" priority="96">
      <formula>kvartal &lt; 4</formula>
    </cfRule>
  </conditionalFormatting>
  <conditionalFormatting sqref="C80">
    <cfRule type="expression" dxfId="509" priority="95">
      <formula>kvartal &lt; 4</formula>
    </cfRule>
  </conditionalFormatting>
  <conditionalFormatting sqref="B83">
    <cfRule type="expression" dxfId="508" priority="94">
      <formula>kvartal &lt; 4</formula>
    </cfRule>
  </conditionalFormatting>
  <conditionalFormatting sqref="C83">
    <cfRule type="expression" dxfId="507" priority="93">
      <formula>kvartal &lt; 4</formula>
    </cfRule>
  </conditionalFormatting>
  <conditionalFormatting sqref="B90">
    <cfRule type="expression" dxfId="506" priority="84">
      <formula>kvartal &lt; 4</formula>
    </cfRule>
  </conditionalFormatting>
  <conditionalFormatting sqref="C90">
    <cfRule type="expression" dxfId="505" priority="83">
      <formula>kvartal &lt; 4</formula>
    </cfRule>
  </conditionalFormatting>
  <conditionalFormatting sqref="B93">
    <cfRule type="expression" dxfId="504" priority="82">
      <formula>kvartal &lt; 4</formula>
    </cfRule>
  </conditionalFormatting>
  <conditionalFormatting sqref="C93">
    <cfRule type="expression" dxfId="503" priority="81">
      <formula>kvartal &lt; 4</formula>
    </cfRule>
  </conditionalFormatting>
  <conditionalFormatting sqref="B101">
    <cfRule type="expression" dxfId="502" priority="80">
      <formula>kvartal &lt; 4</formula>
    </cfRule>
  </conditionalFormatting>
  <conditionalFormatting sqref="C101">
    <cfRule type="expression" dxfId="501" priority="79">
      <formula>kvartal &lt; 4</formula>
    </cfRule>
  </conditionalFormatting>
  <conditionalFormatting sqref="B104">
    <cfRule type="expression" dxfId="500" priority="78">
      <formula>kvartal &lt; 4</formula>
    </cfRule>
  </conditionalFormatting>
  <conditionalFormatting sqref="C104">
    <cfRule type="expression" dxfId="499" priority="77">
      <formula>kvartal &lt; 4</formula>
    </cfRule>
  </conditionalFormatting>
  <conditionalFormatting sqref="B115">
    <cfRule type="expression" dxfId="498" priority="76">
      <formula>kvartal &lt; 4</formula>
    </cfRule>
  </conditionalFormatting>
  <conditionalFormatting sqref="C115">
    <cfRule type="expression" dxfId="497" priority="75">
      <formula>kvartal &lt; 4</formula>
    </cfRule>
  </conditionalFormatting>
  <conditionalFormatting sqref="B123">
    <cfRule type="expression" dxfId="496" priority="74">
      <formula>kvartal &lt; 4</formula>
    </cfRule>
  </conditionalFormatting>
  <conditionalFormatting sqref="C123">
    <cfRule type="expression" dxfId="495" priority="73">
      <formula>kvartal &lt; 4</formula>
    </cfRule>
  </conditionalFormatting>
  <conditionalFormatting sqref="F70">
    <cfRule type="expression" dxfId="494" priority="72">
      <formula>kvartal &lt; 4</formula>
    </cfRule>
  </conditionalFormatting>
  <conditionalFormatting sqref="G70">
    <cfRule type="expression" dxfId="493" priority="71">
      <formula>kvartal &lt; 4</formula>
    </cfRule>
  </conditionalFormatting>
  <conditionalFormatting sqref="F71:G71">
    <cfRule type="expression" dxfId="492" priority="70">
      <formula>kvartal &lt; 4</formula>
    </cfRule>
  </conditionalFormatting>
  <conditionalFormatting sqref="F73:G74">
    <cfRule type="expression" dxfId="491" priority="69">
      <formula>kvartal &lt; 4</formula>
    </cfRule>
  </conditionalFormatting>
  <conditionalFormatting sqref="F81:G82">
    <cfRule type="expression" dxfId="490" priority="68">
      <formula>kvartal &lt; 4</formula>
    </cfRule>
  </conditionalFormatting>
  <conditionalFormatting sqref="F84:G85">
    <cfRule type="expression" dxfId="489" priority="67">
      <formula>kvartal &lt; 4</formula>
    </cfRule>
  </conditionalFormatting>
  <conditionalFormatting sqref="F91:G92">
    <cfRule type="expression" dxfId="488" priority="62">
      <formula>kvartal &lt; 4</formula>
    </cfRule>
  </conditionalFormatting>
  <conditionalFormatting sqref="F94:G95">
    <cfRule type="expression" dxfId="487" priority="61">
      <formula>kvartal &lt; 4</formula>
    </cfRule>
  </conditionalFormatting>
  <conditionalFormatting sqref="F102:G103">
    <cfRule type="expression" dxfId="486" priority="60">
      <formula>kvartal &lt; 4</formula>
    </cfRule>
  </conditionalFormatting>
  <conditionalFormatting sqref="F105:G106">
    <cfRule type="expression" dxfId="485" priority="59">
      <formula>kvartal &lt; 4</formula>
    </cfRule>
  </conditionalFormatting>
  <conditionalFormatting sqref="F115">
    <cfRule type="expression" dxfId="484" priority="58">
      <formula>kvartal &lt; 4</formula>
    </cfRule>
  </conditionalFormatting>
  <conditionalFormatting sqref="G115">
    <cfRule type="expression" dxfId="483" priority="57">
      <formula>kvartal &lt; 4</formula>
    </cfRule>
  </conditionalFormatting>
  <conditionalFormatting sqref="F123:G123">
    <cfRule type="expression" dxfId="482" priority="56">
      <formula>kvartal &lt; 4</formula>
    </cfRule>
  </conditionalFormatting>
  <conditionalFormatting sqref="F69:G69">
    <cfRule type="expression" dxfId="481" priority="55">
      <formula>kvartal &lt; 4</formula>
    </cfRule>
  </conditionalFormatting>
  <conditionalFormatting sqref="F72:G72">
    <cfRule type="expression" dxfId="480" priority="54">
      <formula>kvartal &lt; 4</formula>
    </cfRule>
  </conditionalFormatting>
  <conditionalFormatting sqref="F80:G80">
    <cfRule type="expression" dxfId="479" priority="53">
      <formula>kvartal &lt; 4</formula>
    </cfRule>
  </conditionalFormatting>
  <conditionalFormatting sqref="F83:G83">
    <cfRule type="expression" dxfId="478" priority="52">
      <formula>kvartal &lt; 4</formula>
    </cfRule>
  </conditionalFormatting>
  <conditionalFormatting sqref="F90:G90">
    <cfRule type="expression" dxfId="477" priority="46">
      <formula>kvartal &lt; 4</formula>
    </cfRule>
  </conditionalFormatting>
  <conditionalFormatting sqref="F93">
    <cfRule type="expression" dxfId="476" priority="45">
      <formula>kvartal &lt; 4</formula>
    </cfRule>
  </conditionalFormatting>
  <conditionalFormatting sqref="G93">
    <cfRule type="expression" dxfId="475" priority="44">
      <formula>kvartal &lt; 4</formula>
    </cfRule>
  </conditionalFormatting>
  <conditionalFormatting sqref="F101">
    <cfRule type="expression" dxfId="474" priority="43">
      <formula>kvartal &lt; 4</formula>
    </cfRule>
  </conditionalFormatting>
  <conditionalFormatting sqref="G101">
    <cfRule type="expression" dxfId="473" priority="42">
      <formula>kvartal &lt; 4</formula>
    </cfRule>
  </conditionalFormatting>
  <conditionalFormatting sqref="G104">
    <cfRule type="expression" dxfId="472" priority="41">
      <formula>kvartal &lt; 4</formula>
    </cfRule>
  </conditionalFormatting>
  <conditionalFormatting sqref="F104">
    <cfRule type="expression" dxfId="471" priority="40">
      <formula>kvartal &lt; 4</formula>
    </cfRule>
  </conditionalFormatting>
  <conditionalFormatting sqref="J69:K73">
    <cfRule type="expression" dxfId="470" priority="39">
      <formula>kvartal &lt; 4</formula>
    </cfRule>
  </conditionalFormatting>
  <conditionalFormatting sqref="J74:K74">
    <cfRule type="expression" dxfId="469" priority="38">
      <formula>kvartal &lt; 4</formula>
    </cfRule>
  </conditionalFormatting>
  <conditionalFormatting sqref="J80:K85">
    <cfRule type="expression" dxfId="468" priority="37">
      <formula>kvartal &lt; 4</formula>
    </cfRule>
  </conditionalFormatting>
  <conditionalFormatting sqref="J90:K95">
    <cfRule type="expression" dxfId="467" priority="34">
      <formula>kvartal &lt; 4</formula>
    </cfRule>
  </conditionalFormatting>
  <conditionalFormatting sqref="J101:K106">
    <cfRule type="expression" dxfId="466" priority="33">
      <formula>kvartal &lt; 4</formula>
    </cfRule>
  </conditionalFormatting>
  <conditionalFormatting sqref="J115:K115">
    <cfRule type="expression" dxfId="465" priority="32">
      <formula>kvartal &lt; 4</formula>
    </cfRule>
  </conditionalFormatting>
  <conditionalFormatting sqref="J123:K123">
    <cfRule type="expression" dxfId="464" priority="31">
      <formula>kvartal &lt; 4</formula>
    </cfRule>
  </conditionalFormatting>
  <conditionalFormatting sqref="A50:A52">
    <cfRule type="expression" dxfId="463" priority="12">
      <formula>kvartal &lt; 4</formula>
    </cfRule>
  </conditionalFormatting>
  <conditionalFormatting sqref="A69:A74">
    <cfRule type="expression" dxfId="462" priority="10">
      <formula>kvartal &lt; 4</formula>
    </cfRule>
  </conditionalFormatting>
  <conditionalFormatting sqref="A80:A85">
    <cfRule type="expression" dxfId="461" priority="9">
      <formula>kvartal &lt; 4</formula>
    </cfRule>
  </conditionalFormatting>
  <conditionalFormatting sqref="A90:A95">
    <cfRule type="expression" dxfId="460" priority="6">
      <formula>kvartal &lt; 4</formula>
    </cfRule>
  </conditionalFormatting>
  <conditionalFormatting sqref="A101:A106">
    <cfRule type="expression" dxfId="459" priority="5">
      <formula>kvartal &lt; 4</formula>
    </cfRule>
  </conditionalFormatting>
  <conditionalFormatting sqref="A115">
    <cfRule type="expression" dxfId="458" priority="4">
      <formula>kvartal &lt; 4</formula>
    </cfRule>
  </conditionalFormatting>
  <conditionalFormatting sqref="A123">
    <cfRule type="expression" dxfId="457" priority="3">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134</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633215.16139999998</v>
      </c>
      <c r="C7" s="306">
        <v>678425.43463999999</v>
      </c>
      <c r="D7" s="350">
        <f>IF(B7=0, "    ---- ", IF(ABS(ROUND(100/B7*C7-100,1))&lt;999,ROUND(100/B7*C7-100,1),IF(ROUND(100/B7*C7-100,1)&gt;999,999,-999)))</f>
        <v>7.1</v>
      </c>
      <c r="E7" s="11">
        <f>IFERROR(100/'Skjema total MA'!C7*C7,0)</f>
        <v>18.596473118828978</v>
      </c>
      <c r="F7" s="305">
        <v>278375.26510000002</v>
      </c>
      <c r="G7" s="306">
        <v>299126.386</v>
      </c>
      <c r="H7" s="350">
        <f>IF(F7=0, "    ---- ", IF(ABS(ROUND(100/F7*G7-100,1))&lt;999,ROUND(100/F7*G7-100,1),IF(ROUND(100/F7*G7-100,1)&gt;999,999,-999)))</f>
        <v>7.5</v>
      </c>
      <c r="I7" s="160">
        <f>IFERROR(100/'Skjema total MA'!F7*G7,0)</f>
        <v>4.1743560418627625</v>
      </c>
      <c r="J7" s="307">
        <f t="shared" ref="J7:K12" si="0">SUM(B7,F7)</f>
        <v>911590.42650000006</v>
      </c>
      <c r="K7" s="308">
        <f t="shared" si="0"/>
        <v>977551.82064000005</v>
      </c>
      <c r="L7" s="374">
        <f>IF(J7=0, "    ---- ", IF(ABS(ROUND(100/J7*K7-100,1))&lt;999,ROUND(100/J7*K7-100,1),IF(ROUND(100/J7*K7-100,1)&gt;999,999,-999)))</f>
        <v>7.2</v>
      </c>
      <c r="M7" s="11">
        <f>IFERROR(100/'Skjema total MA'!I7*K7,0)</f>
        <v>9.0397298934693726</v>
      </c>
    </row>
    <row r="8" spans="1:14" ht="15.75" x14ac:dyDescent="0.2">
      <c r="A8" s="21" t="s">
        <v>25</v>
      </c>
      <c r="B8" s="280">
        <v>565356.83800202701</v>
      </c>
      <c r="C8" s="281">
        <v>608603.04417916096</v>
      </c>
      <c r="D8" s="166">
        <f t="shared" ref="D8:D10" si="1">IF(B8=0, "    ---- ", IF(ABS(ROUND(100/B8*C8-100,1))&lt;999,ROUND(100/B8*C8-100,1),IF(ROUND(100/B8*C8-100,1)&gt;999,999,-999)))</f>
        <v>7.6</v>
      </c>
      <c r="E8" s="27">
        <f>IFERROR(100/'Skjema total MA'!C8*C8,0)</f>
        <v>27.796965474816442</v>
      </c>
      <c r="F8" s="284"/>
      <c r="G8" s="285"/>
      <c r="H8" s="166"/>
      <c r="I8" s="175"/>
      <c r="J8" s="233">
        <f t="shared" si="0"/>
        <v>565356.83800202701</v>
      </c>
      <c r="K8" s="286">
        <f t="shared" si="0"/>
        <v>608603.04417916096</v>
      </c>
      <c r="L8" s="166">
        <f t="shared" ref="L8:L9" si="2">IF(J8=0, "    ---- ", IF(ABS(ROUND(100/J8*K8-100,1))&lt;999,ROUND(100/J8*K8-100,1),IF(ROUND(100/J8*K8-100,1)&gt;999,999,-999)))</f>
        <v>7.6</v>
      </c>
      <c r="M8" s="27">
        <f>IFERROR(100/'Skjema total MA'!I8*K8,0)</f>
        <v>27.796965474816442</v>
      </c>
    </row>
    <row r="9" spans="1:14" ht="15.75" x14ac:dyDescent="0.2">
      <c r="A9" s="21" t="s">
        <v>24</v>
      </c>
      <c r="B9" s="280">
        <v>67550.898805746605</v>
      </c>
      <c r="C9" s="281">
        <v>70955.091011012206</v>
      </c>
      <c r="D9" s="166">
        <f t="shared" si="1"/>
        <v>5</v>
      </c>
      <c r="E9" s="27">
        <f>IFERROR(100/'Skjema total MA'!C9*C9,0)</f>
        <v>9.0455626231013575</v>
      </c>
      <c r="F9" s="284"/>
      <c r="G9" s="285"/>
      <c r="H9" s="166"/>
      <c r="I9" s="175"/>
      <c r="J9" s="233">
        <f t="shared" si="0"/>
        <v>67550.898805746605</v>
      </c>
      <c r="K9" s="286">
        <f t="shared" si="0"/>
        <v>70955.091011012206</v>
      </c>
      <c r="L9" s="166">
        <f t="shared" si="2"/>
        <v>5</v>
      </c>
      <c r="M9" s="27">
        <f>IFERROR(100/'Skjema total MA'!I9*K9,0)</f>
        <v>9.0455626231013575</v>
      </c>
    </row>
    <row r="10" spans="1:14" ht="15.75" x14ac:dyDescent="0.2">
      <c r="A10" s="13" t="s">
        <v>368</v>
      </c>
      <c r="B10" s="309">
        <v>877413.55894000002</v>
      </c>
      <c r="C10" s="310">
        <v>832826.10377000005</v>
      </c>
      <c r="D10" s="171">
        <f t="shared" si="1"/>
        <v>-5.0999999999999996</v>
      </c>
      <c r="E10" s="11">
        <f>IFERROR(100/'Skjema total MA'!C10*C10,0)</f>
        <v>4.3132075319657019</v>
      </c>
      <c r="F10" s="309">
        <v>2373708.3891699999</v>
      </c>
      <c r="G10" s="310">
        <v>2509548.1102300002</v>
      </c>
      <c r="H10" s="171">
        <f t="shared" ref="H10:H12" si="3">IF(F10=0, "    ---- ", IF(ABS(ROUND(100/F10*G10-100,1))&lt;999,ROUND(100/F10*G10-100,1),IF(ROUND(100/F10*G10-100,1)&gt;999,999,-999)))</f>
        <v>5.7</v>
      </c>
      <c r="I10" s="160">
        <f>IFERROR(100/'Skjema total MA'!F10*G10,0)</f>
        <v>5.0962417370157844</v>
      </c>
      <c r="J10" s="307">
        <f t="shared" si="0"/>
        <v>3251121.9481099998</v>
      </c>
      <c r="K10" s="308">
        <f t="shared" si="0"/>
        <v>3342374.2140000002</v>
      </c>
      <c r="L10" s="375">
        <f t="shared" ref="L10:L12" si="4">IF(J10=0, "    ---- ", IF(ABS(ROUND(100/J10*K10-100,1))&lt;999,ROUND(100/J10*K10-100,1),IF(ROUND(100/J10*K10-100,1)&gt;999,999,-999)))</f>
        <v>2.8</v>
      </c>
      <c r="M10" s="11">
        <f>IFERROR(100/'Skjema total MA'!I10*K10,0)</f>
        <v>4.8756874549606675</v>
      </c>
    </row>
    <row r="11" spans="1:14" s="43" customFormat="1" ht="15.75" x14ac:dyDescent="0.2">
      <c r="A11" s="13" t="s">
        <v>369</v>
      </c>
      <c r="B11" s="309"/>
      <c r="C11" s="310"/>
      <c r="D11" s="171"/>
      <c r="E11" s="11"/>
      <c r="F11" s="309">
        <v>38722.868640000001</v>
      </c>
      <c r="G11" s="310">
        <v>22610.95448</v>
      </c>
      <c r="H11" s="171">
        <f t="shared" si="3"/>
        <v>-41.6</v>
      </c>
      <c r="I11" s="160">
        <f>IFERROR(100/'Skjema total MA'!F11*G11,0)</f>
        <v>9.8033882593082886</v>
      </c>
      <c r="J11" s="307">
        <f t="shared" si="0"/>
        <v>38722.868640000001</v>
      </c>
      <c r="K11" s="308">
        <f t="shared" si="0"/>
        <v>22610.95448</v>
      </c>
      <c r="L11" s="375">
        <f t="shared" si="4"/>
        <v>-41.6</v>
      </c>
      <c r="M11" s="11">
        <f>IFERROR(100/'Skjema total MA'!I11*K11,0)</f>
        <v>8.1874475647125209</v>
      </c>
      <c r="N11" s="143"/>
    </row>
    <row r="12" spans="1:14" s="43" customFormat="1" ht="15.75" x14ac:dyDescent="0.2">
      <c r="A12" s="41" t="s">
        <v>370</v>
      </c>
      <c r="B12" s="311"/>
      <c r="C12" s="312"/>
      <c r="D12" s="169"/>
      <c r="E12" s="36"/>
      <c r="F12" s="311">
        <v>2358.45055</v>
      </c>
      <c r="G12" s="312">
        <v>15812.48402</v>
      </c>
      <c r="H12" s="169">
        <f t="shared" si="3"/>
        <v>570.5</v>
      </c>
      <c r="I12" s="169">
        <f>IFERROR(100/'Skjema total MA'!F12*G12,0)</f>
        <v>9.3811354001992573</v>
      </c>
      <c r="J12" s="313">
        <f t="shared" si="0"/>
        <v>2358.45055</v>
      </c>
      <c r="K12" s="314">
        <f t="shared" si="0"/>
        <v>15812.48402</v>
      </c>
      <c r="L12" s="376">
        <f t="shared" si="4"/>
        <v>570.5</v>
      </c>
      <c r="M12" s="36">
        <f>IFERROR(100/'Skjema total MA'!I12*K12,0)</f>
        <v>9.1159680835086778</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389070.39088999998</v>
      </c>
      <c r="C22" s="309">
        <v>494587.55842000002</v>
      </c>
      <c r="D22" s="350">
        <f t="shared" ref="D22:D35" si="5">IF(B22=0, "    ---- ", IF(ABS(ROUND(100/B22*C22-100,1))&lt;999,ROUND(100/B22*C22-100,1),IF(ROUND(100/B22*C22-100,1)&gt;999,999,-999)))</f>
        <v>27.1</v>
      </c>
      <c r="E22" s="11">
        <f>IFERROR(100/'Skjema total MA'!C22*C22,0)</f>
        <v>36.292872329229127</v>
      </c>
      <c r="F22" s="317">
        <v>117491.52709</v>
      </c>
      <c r="G22" s="317">
        <v>173999.4032</v>
      </c>
      <c r="H22" s="350">
        <f t="shared" ref="H22:H35" si="6">IF(F22=0, "    ---- ", IF(ABS(ROUND(100/F22*G22-100,1))&lt;999,ROUND(100/F22*G22-100,1),IF(ROUND(100/F22*G22-100,1)&gt;999,999,-999)))</f>
        <v>48.1</v>
      </c>
      <c r="I22" s="11">
        <f>IFERROR(100/'Skjema total MA'!F22*G22,0)</f>
        <v>21.783359272030797</v>
      </c>
      <c r="J22" s="315">
        <f t="shared" ref="J22:K35" si="7">SUM(B22,F22)</f>
        <v>506561.91797999997</v>
      </c>
      <c r="K22" s="315">
        <f t="shared" si="7"/>
        <v>668586.96161999996</v>
      </c>
      <c r="L22" s="374">
        <f t="shared" ref="L22:L35" si="8">IF(J22=0, "    ---- ", IF(ABS(ROUND(100/J22*K22-100,1))&lt;999,ROUND(100/J22*K22-100,1),IF(ROUND(100/J22*K22-100,1)&gt;999,999,-999)))</f>
        <v>32</v>
      </c>
      <c r="M22" s="24">
        <f>IFERROR(100/'Skjema total MA'!I22*K22,0)</f>
        <v>30.93104912606163</v>
      </c>
    </row>
    <row r="23" spans="1:14" ht="15.75" x14ac:dyDescent="0.2">
      <c r="A23" s="562" t="s">
        <v>371</v>
      </c>
      <c r="B23" s="280">
        <v>385997.23130713002</v>
      </c>
      <c r="C23" s="280">
        <v>490680.94786747301</v>
      </c>
      <c r="D23" s="166">
        <f t="shared" si="5"/>
        <v>27.1</v>
      </c>
      <c r="E23" s="11">
        <f>IFERROR(100/'Skjema total MA'!C23*C23,0)</f>
        <v>49.583412733745533</v>
      </c>
      <c r="F23" s="289">
        <v>6257.5892000000003</v>
      </c>
      <c r="G23" s="289">
        <v>5706.0901599999997</v>
      </c>
      <c r="H23" s="166">
        <f t="shared" si="6"/>
        <v>-8.8000000000000007</v>
      </c>
      <c r="I23" s="366">
        <f>IFERROR(100/'Skjema total MA'!F23*G23,0)</f>
        <v>10.068672560798332</v>
      </c>
      <c r="J23" s="289">
        <f t="shared" ref="J23:J26" si="9">SUM(B23,F23)</f>
        <v>392254.82050713</v>
      </c>
      <c r="K23" s="289">
        <f t="shared" ref="K23:K26" si="10">SUM(C23,G23)</f>
        <v>496387.03802747303</v>
      </c>
      <c r="L23" s="166">
        <f t="shared" si="8"/>
        <v>26.5</v>
      </c>
      <c r="M23" s="23">
        <f>IFERROR(100/'Skjema total MA'!I23*K23,0)</f>
        <v>47.443095597909654</v>
      </c>
    </row>
    <row r="24" spans="1:14" ht="15.75" x14ac:dyDescent="0.2">
      <c r="A24" s="562" t="s">
        <v>372</v>
      </c>
      <c r="B24" s="280">
        <v>3073.1595828701902</v>
      </c>
      <c r="C24" s="280">
        <v>3906.6105525272901</v>
      </c>
      <c r="D24" s="166">
        <f t="shared" si="5"/>
        <v>27.1</v>
      </c>
      <c r="E24" s="11">
        <f>IFERROR(100/'Skjema total MA'!C24*C24,0)</f>
        <v>14.761657678585719</v>
      </c>
      <c r="F24" s="289">
        <v>-46.00309</v>
      </c>
      <c r="G24" s="289">
        <v>-1.1592500000000101</v>
      </c>
      <c r="H24" s="166">
        <f t="shared" si="6"/>
        <v>-97.5</v>
      </c>
      <c r="I24" s="366">
        <f>IFERROR(100/'Skjema total MA'!F24*G24,0)</f>
        <v>-8.4040238545961418E-2</v>
      </c>
      <c r="J24" s="289">
        <f t="shared" si="9"/>
        <v>3027.15649287019</v>
      </c>
      <c r="K24" s="289">
        <f t="shared" si="10"/>
        <v>3905.45130252729</v>
      </c>
      <c r="L24" s="166">
        <f t="shared" si="8"/>
        <v>29</v>
      </c>
      <c r="M24" s="23">
        <f>IFERROR(100/'Skjema total MA'!I24*K24,0)</f>
        <v>14.026197488192169</v>
      </c>
    </row>
    <row r="25" spans="1:14" ht="15.75" x14ac:dyDescent="0.2">
      <c r="A25" s="562" t="s">
        <v>373</v>
      </c>
      <c r="B25" s="280"/>
      <c r="C25" s="280"/>
      <c r="D25" s="166"/>
      <c r="E25" s="11"/>
      <c r="F25" s="289">
        <v>8011.4312099999997</v>
      </c>
      <c r="G25" s="289">
        <v>6868.5986599999997</v>
      </c>
      <c r="H25" s="166">
        <f t="shared" si="6"/>
        <v>-14.3</v>
      </c>
      <c r="I25" s="366">
        <f>IFERROR(100/'Skjema total MA'!F25*G25,0)</f>
        <v>24.819960737391629</v>
      </c>
      <c r="J25" s="289">
        <f t="shared" si="9"/>
        <v>8011.4312099999997</v>
      </c>
      <c r="K25" s="289">
        <f t="shared" si="10"/>
        <v>6868.5986599999997</v>
      </c>
      <c r="L25" s="166">
        <f t="shared" si="8"/>
        <v>-14.3</v>
      </c>
      <c r="M25" s="23">
        <f>IFERROR(100/'Skjema total MA'!I25*K25,0)</f>
        <v>13.343605612801616</v>
      </c>
    </row>
    <row r="26" spans="1:14" ht="15.75" x14ac:dyDescent="0.2">
      <c r="A26" s="562" t="s">
        <v>374</v>
      </c>
      <c r="B26" s="280"/>
      <c r="C26" s="280"/>
      <c r="D26" s="166"/>
      <c r="E26" s="11"/>
      <c r="F26" s="289">
        <v>103268.50977</v>
      </c>
      <c r="G26" s="289">
        <v>161425.87362999999</v>
      </c>
      <c r="H26" s="166">
        <f t="shared" si="6"/>
        <v>56.3</v>
      </c>
      <c r="I26" s="366">
        <f>IFERROR(100/'Skjema total MA'!F26*G26,0)</f>
        <v>22.638872439618307</v>
      </c>
      <c r="J26" s="289">
        <f t="shared" si="9"/>
        <v>103268.50977</v>
      </c>
      <c r="K26" s="289">
        <f t="shared" si="10"/>
        <v>161425.87362999999</v>
      </c>
      <c r="L26" s="166">
        <f t="shared" si="8"/>
        <v>56.3</v>
      </c>
      <c r="M26" s="23">
        <f>IFERROR(100/'Skjema total MA'!I26*K26,0)</f>
        <v>22.638872439618307</v>
      </c>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400678.12867215101</v>
      </c>
      <c r="C28" s="286">
        <v>414980.66503537999</v>
      </c>
      <c r="D28" s="166">
        <f t="shared" si="5"/>
        <v>3.6</v>
      </c>
      <c r="E28" s="11">
        <f>IFERROR(100/'Skjema total MA'!C28*C28,0)</f>
        <v>28.537499928628151</v>
      </c>
      <c r="F28" s="233"/>
      <c r="G28" s="286"/>
      <c r="H28" s="166"/>
      <c r="I28" s="27"/>
      <c r="J28" s="44">
        <f t="shared" si="7"/>
        <v>400678.12867215101</v>
      </c>
      <c r="K28" s="44">
        <f t="shared" si="7"/>
        <v>414980.66503537999</v>
      </c>
      <c r="L28" s="253">
        <f t="shared" si="8"/>
        <v>3.6</v>
      </c>
      <c r="M28" s="23">
        <f>IFERROR(100/'Skjema total MA'!I28*K28,0)</f>
        <v>28.537499928628151</v>
      </c>
    </row>
    <row r="29" spans="1:14" s="3" customFormat="1" ht="15.75" x14ac:dyDescent="0.2">
      <c r="A29" s="13" t="s">
        <v>368</v>
      </c>
      <c r="B29" s="235">
        <v>5202048.2378099998</v>
      </c>
      <c r="C29" s="235">
        <v>5563312.0461499998</v>
      </c>
      <c r="D29" s="171">
        <f t="shared" si="5"/>
        <v>6.9</v>
      </c>
      <c r="E29" s="11">
        <f>IFERROR(100/'Skjema total MA'!C29*C29,0)</f>
        <v>11.846349345557869</v>
      </c>
      <c r="F29" s="307">
        <v>2255456.8505500001</v>
      </c>
      <c r="G29" s="307">
        <v>2434316.41922</v>
      </c>
      <c r="H29" s="171">
        <f t="shared" si="6"/>
        <v>7.9</v>
      </c>
      <c r="I29" s="11">
        <f>IFERROR(100/'Skjema total MA'!F29*G29,0)</f>
        <v>11.430461756362561</v>
      </c>
      <c r="J29" s="235">
        <f t="shared" si="7"/>
        <v>7457505.0883600004</v>
      </c>
      <c r="K29" s="235">
        <f t="shared" si="7"/>
        <v>7997628.4653699994</v>
      </c>
      <c r="L29" s="375">
        <f t="shared" si="8"/>
        <v>7.2</v>
      </c>
      <c r="M29" s="24">
        <f>IFERROR(100/'Skjema total MA'!I29*K29,0)</f>
        <v>11.716592785028316</v>
      </c>
      <c r="N29" s="148"/>
    </row>
    <row r="30" spans="1:14" s="3" customFormat="1" ht="15.75" x14ac:dyDescent="0.2">
      <c r="A30" s="562" t="s">
        <v>371</v>
      </c>
      <c r="B30" s="280">
        <v>2984373.6051410399</v>
      </c>
      <c r="C30" s="280">
        <v>3191627.7721182602</v>
      </c>
      <c r="D30" s="166">
        <f t="shared" si="5"/>
        <v>6.9</v>
      </c>
      <c r="E30" s="11">
        <f>IFERROR(100/'Skjema total MA'!C30*C30,0)</f>
        <v>30.868170082694157</v>
      </c>
      <c r="F30" s="289">
        <v>633868.37846000004</v>
      </c>
      <c r="G30" s="289">
        <v>593859.23484999896</v>
      </c>
      <c r="H30" s="166">
        <f t="shared" si="6"/>
        <v>-6.3</v>
      </c>
      <c r="I30" s="366">
        <f>IFERROR(100/'Skjema total MA'!F30*G30,0)</f>
        <v>13.837995364689384</v>
      </c>
      <c r="J30" s="289">
        <f t="shared" ref="J30:J33" si="11">SUM(B30,F30)</f>
        <v>3618241.9836010402</v>
      </c>
      <c r="K30" s="289">
        <f t="shared" ref="K30:K33" si="12">SUM(C30,G30)</f>
        <v>3785487.0069682589</v>
      </c>
      <c r="L30" s="166">
        <f t="shared" si="8"/>
        <v>4.5999999999999996</v>
      </c>
      <c r="M30" s="23">
        <f>IFERROR(100/'Skjema total MA'!I30*K30,0)</f>
        <v>25.872959649499112</v>
      </c>
      <c r="N30" s="148"/>
    </row>
    <row r="31" spans="1:14" s="3" customFormat="1" ht="15.75" x14ac:dyDescent="0.2">
      <c r="A31" s="562" t="s">
        <v>372</v>
      </c>
      <c r="B31" s="280">
        <v>2217674.6326689599</v>
      </c>
      <c r="C31" s="280">
        <v>2371684.2740317401</v>
      </c>
      <c r="D31" s="166">
        <f t="shared" si="5"/>
        <v>6.9</v>
      </c>
      <c r="E31" s="11">
        <f>IFERROR(100/'Skjema total MA'!C31*C31,0)</f>
        <v>7.1611021996422277</v>
      </c>
      <c r="F31" s="289">
        <v>971759.06215000001</v>
      </c>
      <c r="G31" s="289">
        <v>890868.20090999897</v>
      </c>
      <c r="H31" s="166">
        <f t="shared" si="6"/>
        <v>-8.3000000000000007</v>
      </c>
      <c r="I31" s="366">
        <f>IFERROR(100/'Skjema total MA'!F31*G31,0)</f>
        <v>9.1415994465060386</v>
      </c>
      <c r="J31" s="289">
        <f t="shared" si="11"/>
        <v>3189433.69481896</v>
      </c>
      <c r="K31" s="289">
        <f t="shared" si="12"/>
        <v>3262552.4749417389</v>
      </c>
      <c r="L31" s="166">
        <f t="shared" si="8"/>
        <v>2.2999999999999998</v>
      </c>
      <c r="M31" s="23">
        <f>IFERROR(100/'Skjema total MA'!I31*K31,0)</f>
        <v>7.6113699449730845</v>
      </c>
      <c r="N31" s="148"/>
    </row>
    <row r="32" spans="1:14" ht="15.75" x14ac:dyDescent="0.2">
      <c r="A32" s="562" t="s">
        <v>373</v>
      </c>
      <c r="B32" s="280"/>
      <c r="C32" s="280"/>
      <c r="D32" s="166"/>
      <c r="E32" s="11"/>
      <c r="F32" s="289">
        <v>379798.07728999999</v>
      </c>
      <c r="G32" s="289">
        <v>398805.30909</v>
      </c>
      <c r="H32" s="166">
        <f t="shared" si="6"/>
        <v>5</v>
      </c>
      <c r="I32" s="366">
        <f>IFERROR(100/'Skjema total MA'!F32*G32,0)</f>
        <v>8.9756753890102541</v>
      </c>
      <c r="J32" s="289">
        <f t="shared" si="11"/>
        <v>379798.07728999999</v>
      </c>
      <c r="K32" s="289">
        <f t="shared" si="12"/>
        <v>398805.30909</v>
      </c>
      <c r="L32" s="166">
        <f t="shared" si="8"/>
        <v>5</v>
      </c>
      <c r="M32" s="23">
        <f>IFERROR(100/'Skjema total MA'!I32*K32,0)</f>
        <v>6.6698744392940839</v>
      </c>
    </row>
    <row r="33" spans="1:14" ht="15.75" x14ac:dyDescent="0.2">
      <c r="A33" s="562" t="s">
        <v>374</v>
      </c>
      <c r="B33" s="280"/>
      <c r="C33" s="280"/>
      <c r="D33" s="166"/>
      <c r="E33" s="11"/>
      <c r="F33" s="289">
        <v>270031.33265</v>
      </c>
      <c r="G33" s="289">
        <v>550783.67437000002</v>
      </c>
      <c r="H33" s="166">
        <f t="shared" si="6"/>
        <v>104</v>
      </c>
      <c r="I33" s="366">
        <f>IFERROR(100/'Skjema total MA'!F33*G33,0)</f>
        <v>19.553220692562167</v>
      </c>
      <c r="J33" s="289">
        <f t="shared" si="11"/>
        <v>270031.33265</v>
      </c>
      <c r="K33" s="289">
        <f t="shared" si="12"/>
        <v>550783.67437000002</v>
      </c>
      <c r="L33" s="166">
        <f t="shared" si="8"/>
        <v>104</v>
      </c>
      <c r="M33" s="23">
        <f>IFERROR(100/'Skjema total MA'!I33*K33,0)</f>
        <v>19.553220692562167</v>
      </c>
    </row>
    <row r="34" spans="1:14" ht="15.75" x14ac:dyDescent="0.2">
      <c r="A34" s="13" t="s">
        <v>369</v>
      </c>
      <c r="B34" s="235"/>
      <c r="C34" s="308"/>
      <c r="D34" s="171"/>
      <c r="E34" s="11"/>
      <c r="F34" s="307">
        <v>18610.990740000001</v>
      </c>
      <c r="G34" s="308">
        <v>12727.95822</v>
      </c>
      <c r="H34" s="171">
        <f t="shared" si="6"/>
        <v>-31.6</v>
      </c>
      <c r="I34" s="11">
        <f>IFERROR(100/'Skjema total MA'!F34*G34,0)</f>
        <v>22.444290015301778</v>
      </c>
      <c r="J34" s="235">
        <f t="shared" si="7"/>
        <v>18610.990740000001</v>
      </c>
      <c r="K34" s="235">
        <f t="shared" si="7"/>
        <v>12727.95822</v>
      </c>
      <c r="L34" s="375">
        <f t="shared" si="8"/>
        <v>-31.6</v>
      </c>
      <c r="M34" s="24">
        <f>IFERROR(100/'Skjema total MA'!I34*K34,0)</f>
        <v>16.209442155014468</v>
      </c>
    </row>
    <row r="35" spans="1:14" ht="15.75" x14ac:dyDescent="0.2">
      <c r="A35" s="13" t="s">
        <v>370</v>
      </c>
      <c r="B35" s="235">
        <v>566.68266000000006</v>
      </c>
      <c r="C35" s="308">
        <v>801.90830000000005</v>
      </c>
      <c r="D35" s="171">
        <f t="shared" si="5"/>
        <v>41.5</v>
      </c>
      <c r="E35" s="11">
        <f>IFERROR(100/'Skjema total MA'!C35*C35,0)</f>
        <v>-5.3474989084886762</v>
      </c>
      <c r="F35" s="307">
        <v>4036.8112000000001</v>
      </c>
      <c r="G35" s="308">
        <v>6652.5898900000002</v>
      </c>
      <c r="H35" s="171">
        <f t="shared" si="6"/>
        <v>64.8</v>
      </c>
      <c r="I35" s="11">
        <f>IFERROR(100/'Skjema total MA'!F35*G35,0)</f>
        <v>7.5587547724004827</v>
      </c>
      <c r="J35" s="235">
        <f t="shared" si="7"/>
        <v>4603.4938600000005</v>
      </c>
      <c r="K35" s="235">
        <f t="shared" si="7"/>
        <v>7454.4981900000002</v>
      </c>
      <c r="L35" s="375">
        <f t="shared" si="8"/>
        <v>61.9</v>
      </c>
      <c r="M35" s="24">
        <f>IFERROR(100/'Skjema total MA'!I35*K35,0)</f>
        <v>10.209436298337272</v>
      </c>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584965.62494000001</v>
      </c>
      <c r="C47" s="310">
        <v>571295.41954000003</v>
      </c>
      <c r="D47" s="374">
        <f t="shared" ref="D47:D58" si="13">IF(B47=0, "    ---- ", IF(ABS(ROUND(100/B47*C47-100,1))&lt;999,ROUND(100/B47*C47-100,1),IF(ROUND(100/B47*C47-100,1)&gt;999,999,-999)))</f>
        <v>-2.2999999999999998</v>
      </c>
      <c r="E47" s="11">
        <f>IFERROR(100/'Skjema total MA'!C47*C47,0)</f>
        <v>14.93080325322193</v>
      </c>
      <c r="F47" s="145"/>
      <c r="G47" s="33"/>
      <c r="H47" s="159"/>
      <c r="I47" s="159"/>
      <c r="J47" s="37"/>
      <c r="K47" s="37"/>
      <c r="L47" s="159"/>
      <c r="M47" s="159"/>
      <c r="N47" s="148"/>
    </row>
    <row r="48" spans="1:14" s="3" customFormat="1" ht="15.75" x14ac:dyDescent="0.2">
      <c r="A48" s="38" t="s">
        <v>379</v>
      </c>
      <c r="B48" s="280">
        <v>91056.283609999999</v>
      </c>
      <c r="C48" s="281">
        <v>91310.053419999997</v>
      </c>
      <c r="D48" s="253">
        <f t="shared" si="13"/>
        <v>0.3</v>
      </c>
      <c r="E48" s="27">
        <f>IFERROR(100/'Skjema total MA'!C48*C48,0)</f>
        <v>4.2157481597366262</v>
      </c>
      <c r="F48" s="145"/>
      <c r="G48" s="33"/>
      <c r="H48" s="145"/>
      <c r="I48" s="145"/>
      <c r="J48" s="33"/>
      <c r="K48" s="33"/>
      <c r="L48" s="159"/>
      <c r="M48" s="159"/>
      <c r="N48" s="148"/>
    </row>
    <row r="49" spans="1:14" s="3" customFormat="1" ht="15.75" x14ac:dyDescent="0.2">
      <c r="A49" s="38" t="s">
        <v>380</v>
      </c>
      <c r="B49" s="44">
        <v>493909.34133000002</v>
      </c>
      <c r="C49" s="286">
        <v>479985.36612000002</v>
      </c>
      <c r="D49" s="253">
        <f>IF(B49=0, "    ---- ", IF(ABS(ROUND(100/B49*C49-100,1))&lt;999,ROUND(100/B49*C49-100,1),IF(ROUND(100/B49*C49-100,1)&gt;999,999,-999)))</f>
        <v>-2.8</v>
      </c>
      <c r="E49" s="27">
        <f>IFERROR(100/'Skjema total MA'!C49*C49,0)</f>
        <v>28.90851826222535</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43.43</v>
      </c>
      <c r="C53" s="310">
        <v>50.279000000000003</v>
      </c>
      <c r="D53" s="375">
        <f t="shared" si="13"/>
        <v>15.8</v>
      </c>
      <c r="E53" s="11">
        <f>IFERROR(100/'Skjema total MA'!C53*C53,0)</f>
        <v>2.2095772144358101E-2</v>
      </c>
      <c r="F53" s="145"/>
      <c r="G53" s="33"/>
      <c r="H53" s="145"/>
      <c r="I53" s="145"/>
      <c r="J53" s="33"/>
      <c r="K53" s="33"/>
      <c r="L53" s="159"/>
      <c r="M53" s="159"/>
      <c r="N53" s="148"/>
    </row>
    <row r="54" spans="1:14" s="3" customFormat="1" ht="15.75" x14ac:dyDescent="0.2">
      <c r="A54" s="38" t="s">
        <v>379</v>
      </c>
      <c r="B54" s="280">
        <v>43.43</v>
      </c>
      <c r="C54" s="281">
        <v>50.279000000000003</v>
      </c>
      <c r="D54" s="253">
        <f t="shared" si="13"/>
        <v>15.8</v>
      </c>
      <c r="E54" s="27">
        <f>IFERROR(100/'Skjema total MA'!C54*C54,0)</f>
        <v>3.6452950901502384E-2</v>
      </c>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v>2506.4369999999999</v>
      </c>
      <c r="C56" s="310">
        <v>7075.2469999999994</v>
      </c>
      <c r="D56" s="375">
        <f t="shared" si="13"/>
        <v>182.3</v>
      </c>
      <c r="E56" s="11">
        <f>IFERROR(100/'Skjema total MA'!C56*C56,0)</f>
        <v>4.2171703364830986</v>
      </c>
      <c r="F56" s="145"/>
      <c r="G56" s="33"/>
      <c r="H56" s="145"/>
      <c r="I56" s="145"/>
      <c r="J56" s="33"/>
      <c r="K56" s="33"/>
      <c r="L56" s="159"/>
      <c r="M56" s="159"/>
      <c r="N56" s="148"/>
    </row>
    <row r="57" spans="1:14" s="3" customFormat="1" ht="15.75" x14ac:dyDescent="0.2">
      <c r="A57" s="38" t="s">
        <v>379</v>
      </c>
      <c r="B57" s="280">
        <v>2506.4369999999999</v>
      </c>
      <c r="C57" s="281">
        <v>6521.3339999999998</v>
      </c>
      <c r="D57" s="253">
        <f t="shared" si="13"/>
        <v>160.19999999999999</v>
      </c>
      <c r="E57" s="27">
        <f>IFERROR(100/'Skjema total MA'!C57*C57,0)</f>
        <v>6.4452907835599555</v>
      </c>
      <c r="F57" s="145"/>
      <c r="G57" s="33"/>
      <c r="H57" s="145"/>
      <c r="I57" s="145"/>
      <c r="J57" s="33"/>
      <c r="K57" s="33"/>
      <c r="L57" s="159"/>
      <c r="M57" s="159"/>
      <c r="N57" s="148"/>
    </row>
    <row r="58" spans="1:14" s="3" customFormat="1" ht="15.75" x14ac:dyDescent="0.2">
      <c r="A58" s="46" t="s">
        <v>380</v>
      </c>
      <c r="B58" s="282">
        <v>0</v>
      </c>
      <c r="C58" s="283">
        <v>553.91300000000001</v>
      </c>
      <c r="D58" s="254" t="str">
        <f t="shared" si="13"/>
        <v xml:space="preserve">    ---- </v>
      </c>
      <c r="E58" s="22">
        <f>IFERROR(100/'Skjema total MA'!C58*C58,0)</f>
        <v>0.83179420978198571</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v>495808.78205000004</v>
      </c>
      <c r="C66" s="353">
        <v>540909.62372000003</v>
      </c>
      <c r="D66" s="350">
        <f t="shared" ref="D66:D111" si="14">IF(B66=0, "    ---- ", IF(ABS(ROUND(100/B66*C66-100,1))&lt;999,ROUND(100/B66*C66-100,1),IF(ROUND(100/B66*C66-100,1)&gt;999,999,-999)))</f>
        <v>9.1</v>
      </c>
      <c r="E66" s="11">
        <f>IFERROR(100/'Skjema total MA'!C66*C66,0)</f>
        <v>7.6066813943011589</v>
      </c>
      <c r="F66" s="352">
        <v>2442049.08121</v>
      </c>
      <c r="G66" s="352">
        <v>2756955.2470499999</v>
      </c>
      <c r="H66" s="350">
        <f t="shared" ref="H66:H111" si="15">IF(F66=0, "    ---- ", IF(ABS(ROUND(100/F66*G66-100,1))&lt;999,ROUND(100/F66*G66-100,1),IF(ROUND(100/F66*G66-100,1)&gt;999,999,-999)))</f>
        <v>12.9</v>
      </c>
      <c r="I66" s="11">
        <f>IFERROR(100/'Skjema total MA'!F66*G66,0)</f>
        <v>11.590330364953916</v>
      </c>
      <c r="J66" s="308">
        <f t="shared" ref="J66:K86" si="16">SUM(B66,F66)</f>
        <v>2937857.86326</v>
      </c>
      <c r="K66" s="315">
        <f t="shared" si="16"/>
        <v>3297864.8707699999</v>
      </c>
      <c r="L66" s="375">
        <f t="shared" ref="L66:L111" si="17">IF(J66=0, "    ---- ", IF(ABS(ROUND(100/J66*K66-100,1))&lt;999,ROUND(100/J66*K66-100,1),IF(ROUND(100/J66*K66-100,1)&gt;999,999,-999)))</f>
        <v>12.3</v>
      </c>
      <c r="M66" s="11">
        <f>IFERROR(100/'Skjema total MA'!I66*K66,0)</f>
        <v>10.673508643356209</v>
      </c>
    </row>
    <row r="67" spans="1:14" x14ac:dyDescent="0.2">
      <c r="A67" s="368" t="s">
        <v>9</v>
      </c>
      <c r="B67" s="44">
        <v>150240.37982</v>
      </c>
      <c r="C67" s="145">
        <v>145349.98334000001</v>
      </c>
      <c r="D67" s="166">
        <f t="shared" si="14"/>
        <v>-3.3</v>
      </c>
      <c r="E67" s="27">
        <f>IFERROR(100/'Skjema total MA'!C67*C67,0)</f>
        <v>2.6740065031147515</v>
      </c>
      <c r="F67" s="233"/>
      <c r="G67" s="145"/>
      <c r="H67" s="166"/>
      <c r="I67" s="27"/>
      <c r="J67" s="286">
        <f t="shared" si="16"/>
        <v>150240.37982</v>
      </c>
      <c r="K67" s="44">
        <f t="shared" si="16"/>
        <v>145349.98334000001</v>
      </c>
      <c r="L67" s="253">
        <f t="shared" si="17"/>
        <v>-3.3</v>
      </c>
      <c r="M67" s="27">
        <f>IFERROR(100/'Skjema total MA'!I67*K67,0)</f>
        <v>2.6740065031147515</v>
      </c>
    </row>
    <row r="68" spans="1:14" x14ac:dyDescent="0.2">
      <c r="A68" s="21" t="s">
        <v>10</v>
      </c>
      <c r="B68" s="291">
        <v>38386.12831</v>
      </c>
      <c r="C68" s="292">
        <v>35089.256509999999</v>
      </c>
      <c r="D68" s="166">
        <f t="shared" si="14"/>
        <v>-8.6</v>
      </c>
      <c r="E68" s="27">
        <f>IFERROR(100/'Skjema total MA'!C68*C68,0)</f>
        <v>26.848970196652061</v>
      </c>
      <c r="F68" s="291">
        <v>2273015.8582199998</v>
      </c>
      <c r="G68" s="292">
        <v>2581255.5976</v>
      </c>
      <c r="H68" s="166">
        <f t="shared" si="15"/>
        <v>13.6</v>
      </c>
      <c r="I68" s="27">
        <f>IFERROR(100/'Skjema total MA'!F68*G68,0)</f>
        <v>10.997858836185072</v>
      </c>
      <c r="J68" s="286">
        <f t="shared" si="16"/>
        <v>2311401.9865299999</v>
      </c>
      <c r="K68" s="44">
        <f t="shared" si="16"/>
        <v>2616344.8541100002</v>
      </c>
      <c r="L68" s="253">
        <f t="shared" si="17"/>
        <v>13.2</v>
      </c>
      <c r="M68" s="27">
        <f>IFERROR(100/'Skjema total MA'!I68*K68,0)</f>
        <v>11.085634030777157</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v>187410.65684000001</v>
      </c>
      <c r="C75" s="145">
        <v>226644.79892</v>
      </c>
      <c r="D75" s="166">
        <f t="shared" si="14"/>
        <v>20.9</v>
      </c>
      <c r="E75" s="27">
        <f>IFERROR(100/'Skjema total MA'!C75*C75,0)</f>
        <v>76.657149557460528</v>
      </c>
      <c r="F75" s="233">
        <v>169033.22299000001</v>
      </c>
      <c r="G75" s="145">
        <v>175699.64945</v>
      </c>
      <c r="H75" s="166">
        <f t="shared" si="15"/>
        <v>3.9</v>
      </c>
      <c r="I75" s="27">
        <f>IFERROR(100/'Skjema total MA'!F75*G75,0)</f>
        <v>55.573833060622277</v>
      </c>
      <c r="J75" s="286">
        <f t="shared" si="16"/>
        <v>356443.87982999999</v>
      </c>
      <c r="K75" s="44">
        <f t="shared" si="16"/>
        <v>402344.44837</v>
      </c>
      <c r="L75" s="253">
        <f t="shared" si="17"/>
        <v>12.9</v>
      </c>
      <c r="M75" s="27">
        <f>IFERROR(100/'Skjema total MA'!I75*K75,0)</f>
        <v>65.762359950176247</v>
      </c>
      <c r="N75" s="148"/>
    </row>
    <row r="76" spans="1:14" s="3" customFormat="1" x14ac:dyDescent="0.2">
      <c r="A76" s="21" t="s">
        <v>352</v>
      </c>
      <c r="B76" s="233">
        <v>119771.61708</v>
      </c>
      <c r="C76" s="145">
        <v>133825.58494999999</v>
      </c>
      <c r="D76" s="166">
        <f t="shared" ref="D76" si="18">IF(B76=0, "    ---- ", IF(ABS(ROUND(100/B76*C76-100,1))&lt;999,ROUND(100/B76*C76-100,1),IF(ROUND(100/B76*C76-100,1)&gt;999,999,-999)))</f>
        <v>11.7</v>
      </c>
      <c r="E76" s="27">
        <f>IFERROR(100/'Skjema total MA'!C77*C76,0)</f>
        <v>2.441471637725757</v>
      </c>
      <c r="F76" s="233"/>
      <c r="G76" s="145"/>
      <c r="H76" s="166"/>
      <c r="I76" s="27"/>
      <c r="J76" s="286">
        <f t="shared" ref="J76" si="19">SUM(B76,F76)</f>
        <v>119771.61708</v>
      </c>
      <c r="K76" s="44">
        <f t="shared" ref="K76" si="20">SUM(C76,G76)</f>
        <v>133825.58494999999</v>
      </c>
      <c r="L76" s="253">
        <f t="shared" ref="L76" si="21">IF(J76=0, "    ---- ", IF(ABS(ROUND(100/J76*K76-100,1))&lt;999,ROUND(100/J76*K76-100,1),IF(ROUND(100/J76*K76-100,1)&gt;999,999,-999)))</f>
        <v>11.7</v>
      </c>
      <c r="M76" s="27">
        <f>IFERROR(100/'Skjema total MA'!I77*K76,0)</f>
        <v>0.46239358639098882</v>
      </c>
      <c r="N76" s="148"/>
    </row>
    <row r="77" spans="1:14" ht="15.75" x14ac:dyDescent="0.2">
      <c r="A77" s="21" t="s">
        <v>385</v>
      </c>
      <c r="B77" s="233">
        <v>188626.50813</v>
      </c>
      <c r="C77" s="233">
        <v>180439.23985000001</v>
      </c>
      <c r="D77" s="166">
        <f t="shared" si="14"/>
        <v>-4.3</v>
      </c>
      <c r="E77" s="27">
        <f>IFERROR(100/'Skjema total MA'!C77*C77,0)</f>
        <v>3.291876412056514</v>
      </c>
      <c r="F77" s="233">
        <v>2266512.0113900001</v>
      </c>
      <c r="G77" s="145">
        <v>2574294.395</v>
      </c>
      <c r="H77" s="166">
        <f t="shared" si="15"/>
        <v>13.6</v>
      </c>
      <c r="I77" s="27">
        <f>IFERROR(100/'Skjema total MA'!F77*G77,0)</f>
        <v>10.97285457583193</v>
      </c>
      <c r="J77" s="286">
        <f t="shared" si="16"/>
        <v>2455138.5195200001</v>
      </c>
      <c r="K77" s="44">
        <f t="shared" si="16"/>
        <v>2754733.63485</v>
      </c>
      <c r="L77" s="253">
        <f t="shared" si="17"/>
        <v>12.2</v>
      </c>
      <c r="M77" s="27">
        <f>IFERROR(100/'Skjema total MA'!I77*K77,0)</f>
        <v>9.5181438246362493</v>
      </c>
    </row>
    <row r="78" spans="1:14" x14ac:dyDescent="0.2">
      <c r="A78" s="21" t="s">
        <v>9</v>
      </c>
      <c r="B78" s="233">
        <v>150240.37982</v>
      </c>
      <c r="C78" s="145">
        <v>145349.98334000001</v>
      </c>
      <c r="D78" s="166">
        <f t="shared" si="14"/>
        <v>-3.3</v>
      </c>
      <c r="E78" s="27">
        <f>IFERROR(100/'Skjema total MA'!C78*C78,0)</f>
        <v>2.7149389672657604</v>
      </c>
      <c r="F78" s="233"/>
      <c r="G78" s="145"/>
      <c r="H78" s="166"/>
      <c r="I78" s="27"/>
      <c r="J78" s="286">
        <f t="shared" si="16"/>
        <v>150240.37982</v>
      </c>
      <c r="K78" s="44">
        <f t="shared" si="16"/>
        <v>145349.98334000001</v>
      </c>
      <c r="L78" s="253">
        <f t="shared" si="17"/>
        <v>-3.3</v>
      </c>
      <c r="M78" s="27">
        <f>IFERROR(100/'Skjema total MA'!I78*K78,0)</f>
        <v>2.7149389672657604</v>
      </c>
    </row>
    <row r="79" spans="1:14" x14ac:dyDescent="0.2">
      <c r="A79" s="21" t="s">
        <v>10</v>
      </c>
      <c r="B79" s="291">
        <v>38386.12831</v>
      </c>
      <c r="C79" s="292">
        <v>35089.256509999999</v>
      </c>
      <c r="D79" s="166">
        <f t="shared" si="14"/>
        <v>-8.6</v>
      </c>
      <c r="E79" s="27">
        <f>IFERROR(100/'Skjema total MA'!C79*C79,0)</f>
        <v>27.491175035950825</v>
      </c>
      <c r="F79" s="291">
        <v>2266512.0113900001</v>
      </c>
      <c r="G79" s="292">
        <v>2574294.395</v>
      </c>
      <c r="H79" s="166">
        <f t="shared" si="15"/>
        <v>13.6</v>
      </c>
      <c r="I79" s="27">
        <f>IFERROR(100/'Skjema total MA'!F79*G79,0)</f>
        <v>10.97285457583193</v>
      </c>
      <c r="J79" s="286">
        <f t="shared" si="16"/>
        <v>2304898.1397000002</v>
      </c>
      <c r="K79" s="44">
        <f t="shared" si="16"/>
        <v>2609383.6515100002</v>
      </c>
      <c r="L79" s="253">
        <f t="shared" si="17"/>
        <v>13.2</v>
      </c>
      <c r="M79" s="27">
        <f>IFERROR(100/'Skjema total MA'!I79*K79,0)</f>
        <v>11.062236925930815</v>
      </c>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v>6503.8468300000004</v>
      </c>
      <c r="G86" s="145">
        <v>6961.2025999999996</v>
      </c>
      <c r="H86" s="166">
        <f t="shared" si="15"/>
        <v>7</v>
      </c>
      <c r="I86" s="27">
        <f>IFERROR(100/'Skjema total MA'!F86*G86,0)</f>
        <v>69.912432451350469</v>
      </c>
      <c r="J86" s="286">
        <f t="shared" si="16"/>
        <v>6503.8468300000004</v>
      </c>
      <c r="K86" s="44">
        <f t="shared" si="16"/>
        <v>6961.2025999999996</v>
      </c>
      <c r="L86" s="253">
        <f t="shared" si="17"/>
        <v>7</v>
      </c>
      <c r="M86" s="27">
        <f>IFERROR(100/'Skjema total MA'!I86*K86,0)</f>
        <v>7.3305153533684111</v>
      </c>
    </row>
    <row r="87" spans="1:13" ht="15.75" x14ac:dyDescent="0.2">
      <c r="A87" s="13" t="s">
        <v>368</v>
      </c>
      <c r="B87" s="353">
        <v>13156104.960449999</v>
      </c>
      <c r="C87" s="353">
        <v>14454472.45111</v>
      </c>
      <c r="D87" s="171">
        <f t="shared" si="14"/>
        <v>9.9</v>
      </c>
      <c r="E87" s="11">
        <f>IFERROR(100/'Skjema total MA'!C87*C87,0)</f>
        <v>3.7035105507899848</v>
      </c>
      <c r="F87" s="352">
        <v>24895566.712330002</v>
      </c>
      <c r="G87" s="352">
        <v>28425931.417950001</v>
      </c>
      <c r="H87" s="171">
        <f t="shared" si="15"/>
        <v>14.2</v>
      </c>
      <c r="I87" s="11">
        <f>IFERROR(100/'Skjema total MA'!F87*G87,0)</f>
        <v>9.6522472443555163</v>
      </c>
      <c r="J87" s="308">
        <f t="shared" ref="J87:K111" si="22">SUM(B87,F87)</f>
        <v>38051671.67278</v>
      </c>
      <c r="K87" s="235">
        <f t="shared" si="22"/>
        <v>42880403.869060002</v>
      </c>
      <c r="L87" s="375">
        <f t="shared" si="17"/>
        <v>12.7</v>
      </c>
      <c r="M87" s="11">
        <f>IFERROR(100/'Skjema total MA'!I87*K87,0)</f>
        <v>6.2618165109876607</v>
      </c>
    </row>
    <row r="88" spans="1:13" x14ac:dyDescent="0.2">
      <c r="A88" s="21" t="s">
        <v>9</v>
      </c>
      <c r="B88" s="233">
        <v>10924900.78592</v>
      </c>
      <c r="C88" s="145">
        <v>11307047.5009</v>
      </c>
      <c r="D88" s="166">
        <f t="shared" si="14"/>
        <v>3.5</v>
      </c>
      <c r="E88" s="27">
        <f>IFERROR(100/'Skjema total MA'!C88*C88,0)</f>
        <v>2.9689960853132398</v>
      </c>
      <c r="F88" s="233"/>
      <c r="G88" s="145"/>
      <c r="H88" s="166"/>
      <c r="I88" s="27"/>
      <c r="J88" s="286">
        <f t="shared" si="22"/>
        <v>10924900.78592</v>
      </c>
      <c r="K88" s="44">
        <f t="shared" si="22"/>
        <v>11307047.5009</v>
      </c>
      <c r="L88" s="253">
        <f t="shared" si="17"/>
        <v>3.5</v>
      </c>
      <c r="M88" s="27">
        <f>IFERROR(100/'Skjema total MA'!I88*K88,0)</f>
        <v>2.9689960853132398</v>
      </c>
    </row>
    <row r="89" spans="1:13" x14ac:dyDescent="0.2">
      <c r="A89" s="21" t="s">
        <v>10</v>
      </c>
      <c r="B89" s="233">
        <v>1259330.4516</v>
      </c>
      <c r="C89" s="145">
        <v>1465284.4854900001</v>
      </c>
      <c r="D89" s="166">
        <f t="shared" si="14"/>
        <v>16.399999999999999</v>
      </c>
      <c r="E89" s="27">
        <f>IFERROR(100/'Skjema total MA'!C89*C89,0)</f>
        <v>48.305094958964801</v>
      </c>
      <c r="F89" s="233">
        <v>24262719.044810001</v>
      </c>
      <c r="G89" s="145">
        <v>27578209.392700002</v>
      </c>
      <c r="H89" s="166">
        <f t="shared" si="15"/>
        <v>13.7</v>
      </c>
      <c r="I89" s="27">
        <f>IFERROR(100/'Skjema total MA'!F89*G89,0)</f>
        <v>9.4089865909211863</v>
      </c>
      <c r="J89" s="286">
        <f t="shared" si="22"/>
        <v>25522049.496410001</v>
      </c>
      <c r="K89" s="44">
        <f t="shared" si="22"/>
        <v>29043493.878190003</v>
      </c>
      <c r="L89" s="253">
        <f t="shared" si="17"/>
        <v>13.8</v>
      </c>
      <c r="M89" s="27">
        <f>IFERROR(100/'Skjema total MA'!I89*K89,0)</f>
        <v>9.8074059712035382</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v>592467.96482999995</v>
      </c>
      <c r="C96" s="145">
        <v>1043080.01245</v>
      </c>
      <c r="D96" s="166">
        <f t="shared" si="14"/>
        <v>76.099999999999994</v>
      </c>
      <c r="E96" s="27">
        <f>IFERROR(100/'Skjema total MA'!C96*C96,0)</f>
        <v>83.924075520504502</v>
      </c>
      <c r="F96" s="233">
        <v>632847.66752000002</v>
      </c>
      <c r="G96" s="145">
        <v>847722.02524999995</v>
      </c>
      <c r="H96" s="166">
        <f t="shared" si="15"/>
        <v>34</v>
      </c>
      <c r="I96" s="27">
        <f>IFERROR(100/'Skjema total MA'!F96*G96,0)</f>
        <v>60.739707828312319</v>
      </c>
      <c r="J96" s="286">
        <f t="shared" si="22"/>
        <v>1225315.6323500001</v>
      </c>
      <c r="K96" s="44">
        <f t="shared" si="22"/>
        <v>1890802.0377</v>
      </c>
      <c r="L96" s="253">
        <f t="shared" si="17"/>
        <v>54.3</v>
      </c>
      <c r="M96" s="27">
        <f>IFERROR(100/'Skjema total MA'!I96*K96,0)</f>
        <v>71.660676329929004</v>
      </c>
    </row>
    <row r="97" spans="1:13" x14ac:dyDescent="0.2">
      <c r="A97" s="21" t="s">
        <v>350</v>
      </c>
      <c r="B97" s="233">
        <v>379405.75809999998</v>
      </c>
      <c r="C97" s="145">
        <v>639060.45227000001</v>
      </c>
      <c r="D97" s="166">
        <f t="shared" ref="D97" si="23">IF(B97=0, "    ---- ", IF(ABS(ROUND(100/B97*C97-100,1))&lt;999,ROUND(100/B97*C97-100,1),IF(ROUND(100/B97*C97-100,1)&gt;999,999,-999)))</f>
        <v>68.400000000000006</v>
      </c>
      <c r="E97" s="27">
        <f>IFERROR(100/'Skjema total MA'!C98*C97,0)</f>
        <v>0.16855741999485258</v>
      </c>
      <c r="F97" s="233"/>
      <c r="G97" s="145"/>
      <c r="H97" s="166"/>
      <c r="I97" s="27"/>
      <c r="J97" s="286">
        <f t="shared" ref="J97" si="24">SUM(B97,F97)</f>
        <v>379405.75809999998</v>
      </c>
      <c r="K97" s="44">
        <f t="shared" ref="K97" si="25">SUM(C97,G97)</f>
        <v>639060.45227000001</v>
      </c>
      <c r="L97" s="253">
        <f t="shared" ref="L97" si="26">IF(J97=0, "    ---- ", IF(ABS(ROUND(100/J97*K97-100,1))&lt;999,ROUND(100/J97*K97-100,1),IF(ROUND(100/J97*K97-100,1)&gt;999,999,-999)))</f>
        <v>68.400000000000006</v>
      </c>
      <c r="M97" s="27">
        <f>IFERROR(100/'Skjema total MA'!I98*K97,0)</f>
        <v>9.5178966962527409E-2</v>
      </c>
    </row>
    <row r="98" spans="1:13" ht="15.75" x14ac:dyDescent="0.2">
      <c r="A98" s="21" t="s">
        <v>385</v>
      </c>
      <c r="B98" s="233">
        <v>12184231.23752</v>
      </c>
      <c r="C98" s="233">
        <v>12772331.98639</v>
      </c>
      <c r="D98" s="166">
        <f t="shared" si="14"/>
        <v>4.8</v>
      </c>
      <c r="E98" s="27">
        <f>IFERROR(100/'Skjema total MA'!C98*C98,0)</f>
        <v>3.3688070029939059</v>
      </c>
      <c r="F98" s="291">
        <v>24195858.11984</v>
      </c>
      <c r="G98" s="291">
        <v>27504305.178599998</v>
      </c>
      <c r="H98" s="166">
        <f t="shared" si="15"/>
        <v>13.7</v>
      </c>
      <c r="I98" s="27">
        <f>IFERROR(100/'Skjema total MA'!F98*G98,0)</f>
        <v>9.4097708186291662</v>
      </c>
      <c r="J98" s="286">
        <f t="shared" si="22"/>
        <v>36380089.357359998</v>
      </c>
      <c r="K98" s="44">
        <f t="shared" si="22"/>
        <v>40276637.16499</v>
      </c>
      <c r="L98" s="253">
        <f t="shared" si="17"/>
        <v>10.7</v>
      </c>
      <c r="M98" s="27">
        <f>IFERROR(100/'Skjema total MA'!I98*K98,0)</f>
        <v>5.9986323742478369</v>
      </c>
    </row>
    <row r="99" spans="1:13" x14ac:dyDescent="0.2">
      <c r="A99" s="21" t="s">
        <v>9</v>
      </c>
      <c r="B99" s="291">
        <v>10924900.78592</v>
      </c>
      <c r="C99" s="292">
        <v>11307047.5009</v>
      </c>
      <c r="D99" s="166">
        <f t="shared" si="14"/>
        <v>3.5</v>
      </c>
      <c r="E99" s="27">
        <f>IFERROR(100/'Skjema total MA'!C99*C99,0)</f>
        <v>3.0063797660079303</v>
      </c>
      <c r="F99" s="233"/>
      <c r="G99" s="145"/>
      <c r="H99" s="166"/>
      <c r="I99" s="27"/>
      <c r="J99" s="286">
        <f t="shared" si="22"/>
        <v>10924900.78592</v>
      </c>
      <c r="K99" s="44">
        <f t="shared" si="22"/>
        <v>11307047.5009</v>
      </c>
      <c r="L99" s="253">
        <f t="shared" si="17"/>
        <v>3.5</v>
      </c>
      <c r="M99" s="27">
        <f>IFERROR(100/'Skjema total MA'!I99*K99,0)</f>
        <v>3.0063797660079303</v>
      </c>
    </row>
    <row r="100" spans="1:13" x14ac:dyDescent="0.2">
      <c r="A100" s="21" t="s">
        <v>10</v>
      </c>
      <c r="B100" s="291">
        <v>1259330.4516</v>
      </c>
      <c r="C100" s="292">
        <v>1465284.4854900001</v>
      </c>
      <c r="D100" s="166">
        <f t="shared" si="14"/>
        <v>16.399999999999999</v>
      </c>
      <c r="E100" s="27">
        <f>IFERROR(100/'Skjema total MA'!C100*C100,0)</f>
        <v>48.305094958964801</v>
      </c>
      <c r="F100" s="233">
        <v>24195858.11984</v>
      </c>
      <c r="G100" s="233">
        <v>27504305.178599998</v>
      </c>
      <c r="H100" s="166">
        <f t="shared" si="15"/>
        <v>13.7</v>
      </c>
      <c r="I100" s="27">
        <f>IFERROR(100/'Skjema total MA'!F100*G100,0)</f>
        <v>9.4097708186291662</v>
      </c>
      <c r="J100" s="286">
        <f t="shared" si="22"/>
        <v>25455188.57144</v>
      </c>
      <c r="K100" s="44">
        <f t="shared" si="22"/>
        <v>28969589.66409</v>
      </c>
      <c r="L100" s="253">
        <f t="shared" si="17"/>
        <v>13.8</v>
      </c>
      <c r="M100" s="27">
        <f>IFERROR(100/'Skjema total MA'!I100*K100,0)</f>
        <v>9.8092746579574008</v>
      </c>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v>66860.924969999993</v>
      </c>
      <c r="G107" s="145">
        <v>73904.214099999997</v>
      </c>
      <c r="H107" s="166">
        <f t="shared" si="15"/>
        <v>10.5</v>
      </c>
      <c r="I107" s="27">
        <f>IFERROR(100/'Skjema total MA'!F107*G107,0)</f>
        <v>9.1259309652819738</v>
      </c>
      <c r="J107" s="286">
        <f t="shared" si="22"/>
        <v>66860.924969999993</v>
      </c>
      <c r="K107" s="44">
        <f t="shared" si="22"/>
        <v>73904.214099999997</v>
      </c>
      <c r="L107" s="253">
        <f t="shared" si="17"/>
        <v>10.5</v>
      </c>
      <c r="M107" s="27">
        <f>IFERROR(100/'Skjema total MA'!I107*K107,0)</f>
        <v>1.3326983312269143</v>
      </c>
    </row>
    <row r="108" spans="1:13" ht="15.75" x14ac:dyDescent="0.2">
      <c r="A108" s="21" t="s">
        <v>387</v>
      </c>
      <c r="B108" s="233">
        <v>7811030.9035799997</v>
      </c>
      <c r="C108" s="233">
        <v>8177932.0647999998</v>
      </c>
      <c r="D108" s="166">
        <f t="shared" si="14"/>
        <v>4.7</v>
      </c>
      <c r="E108" s="27">
        <f>IFERROR(100/'Skjema total MA'!C108*C108,0)</f>
        <v>2.587521541569803</v>
      </c>
      <c r="F108" s="233"/>
      <c r="G108" s="233"/>
      <c r="H108" s="166"/>
      <c r="I108" s="27"/>
      <c r="J108" s="286">
        <f t="shared" si="22"/>
        <v>7811030.9035799997</v>
      </c>
      <c r="K108" s="44">
        <f t="shared" si="22"/>
        <v>8177932.0647999998</v>
      </c>
      <c r="L108" s="253">
        <f t="shared" si="17"/>
        <v>4.7</v>
      </c>
      <c r="M108" s="27">
        <f>IFERROR(100/'Skjema total MA'!I108*K108,0)</f>
        <v>2.4591427468220841</v>
      </c>
    </row>
    <row r="109" spans="1:13" ht="15.75" x14ac:dyDescent="0.2">
      <c r="A109" s="21" t="s">
        <v>388</v>
      </c>
      <c r="B109" s="233">
        <v>312088.67355000001</v>
      </c>
      <c r="C109" s="233">
        <v>342234.47370999999</v>
      </c>
      <c r="D109" s="166">
        <f t="shared" si="14"/>
        <v>9.6999999999999993</v>
      </c>
      <c r="E109" s="27">
        <f>IFERROR(100/'Skjema total MA'!C109*C109,0)</f>
        <v>34.972587404383553</v>
      </c>
      <c r="F109" s="233">
        <v>7627104.7708900003</v>
      </c>
      <c r="G109" s="233">
        <v>9016508.0964800008</v>
      </c>
      <c r="H109" s="166">
        <f t="shared" si="15"/>
        <v>18.2</v>
      </c>
      <c r="I109" s="27">
        <f>IFERROR(100/'Skjema total MA'!F109*G109,0)</f>
        <v>9.019925865387572</v>
      </c>
      <c r="J109" s="286">
        <f t="shared" si="22"/>
        <v>7939193.4444400007</v>
      </c>
      <c r="K109" s="44">
        <f t="shared" si="22"/>
        <v>9358742.5701900013</v>
      </c>
      <c r="L109" s="253">
        <f t="shared" si="17"/>
        <v>17.899999999999999</v>
      </c>
      <c r="M109" s="27">
        <f>IFERROR(100/'Skjema total MA'!I109*K109,0)</f>
        <v>9.2715264425531423</v>
      </c>
    </row>
    <row r="110" spans="1:13" ht="15.75" x14ac:dyDescent="0.2">
      <c r="A110" s="21" t="s">
        <v>389</v>
      </c>
      <c r="B110" s="233">
        <v>71301.621509999997</v>
      </c>
      <c r="C110" s="233">
        <v>175818.55074000001</v>
      </c>
      <c r="D110" s="166">
        <f t="shared" si="14"/>
        <v>146.6</v>
      </c>
      <c r="E110" s="27">
        <f>IFERROR(100/'Skjema total MA'!C110*C110,0)</f>
        <v>69.078217888616877</v>
      </c>
      <c r="F110" s="233"/>
      <c r="G110" s="233"/>
      <c r="H110" s="166"/>
      <c r="I110" s="27"/>
      <c r="J110" s="286">
        <f t="shared" si="22"/>
        <v>71301.621509999997</v>
      </c>
      <c r="K110" s="44">
        <f t="shared" si="22"/>
        <v>175818.55074000001</v>
      </c>
      <c r="L110" s="253">
        <f t="shared" si="17"/>
        <v>146.6</v>
      </c>
      <c r="M110" s="27">
        <f>IFERROR(100/'Skjema total MA'!I110*K110,0)</f>
        <v>69.078217888616877</v>
      </c>
    </row>
    <row r="111" spans="1:13" ht="15.75" x14ac:dyDescent="0.2">
      <c r="A111" s="13" t="s">
        <v>369</v>
      </c>
      <c r="B111" s="307">
        <v>38755.511180000001</v>
      </c>
      <c r="C111" s="159">
        <v>20995.936689999999</v>
      </c>
      <c r="D111" s="171">
        <f t="shared" si="14"/>
        <v>-45.8</v>
      </c>
      <c r="E111" s="11">
        <f>IFERROR(100/'Skjema total MA'!C111*C111,0)</f>
        <v>5.5392315893810062</v>
      </c>
      <c r="F111" s="307">
        <v>1843207.67304</v>
      </c>
      <c r="G111" s="159">
        <v>1092084.52899</v>
      </c>
      <c r="H111" s="171">
        <f t="shared" si="15"/>
        <v>-40.799999999999997</v>
      </c>
      <c r="I111" s="11">
        <f>IFERROR(100/'Skjema total MA'!F111*G111,0)</f>
        <v>9.8956317578771937</v>
      </c>
      <c r="J111" s="308">
        <f t="shared" si="22"/>
        <v>1881963.1842199999</v>
      </c>
      <c r="K111" s="235">
        <f t="shared" si="22"/>
        <v>1113080.4656799999</v>
      </c>
      <c r="L111" s="375">
        <f t="shared" si="17"/>
        <v>-40.9</v>
      </c>
      <c r="M111" s="11">
        <f>IFERROR(100/'Skjema total MA'!I111*K111,0)</f>
        <v>9.7509762299828182</v>
      </c>
    </row>
    <row r="112" spans="1:13" x14ac:dyDescent="0.2">
      <c r="A112" s="21" t="s">
        <v>9</v>
      </c>
      <c r="B112" s="233">
        <v>27324.312020000001</v>
      </c>
      <c r="C112" s="145">
        <v>2128.7848100000001</v>
      </c>
      <c r="D112" s="166">
        <f t="shared" ref="D112:D125" si="27">IF(B112=0, "    ---- ", IF(ABS(ROUND(100/B112*C112-100,1))&lt;999,ROUND(100/B112*C112-100,1),IF(ROUND(100/B112*C112-100,1)&gt;999,999,-999)))</f>
        <v>-92.2</v>
      </c>
      <c r="E112" s="27">
        <f>IFERROR(100/'Skjema total MA'!C112*C112,0)</f>
        <v>0.70371165899833854</v>
      </c>
      <c r="F112" s="233"/>
      <c r="G112" s="145"/>
      <c r="H112" s="166"/>
      <c r="I112" s="27"/>
      <c r="J112" s="286">
        <f t="shared" ref="J112:K125" si="28">SUM(B112,F112)</f>
        <v>27324.312020000001</v>
      </c>
      <c r="K112" s="44">
        <f t="shared" si="28"/>
        <v>2128.7848100000001</v>
      </c>
      <c r="L112" s="253">
        <f t="shared" ref="L112:L125" si="29">IF(J112=0, "    ---- ", IF(ABS(ROUND(100/J112*K112-100,1))&lt;999,ROUND(100/J112*K112-100,1),IF(ROUND(100/J112*K112-100,1)&gt;999,999,-999)))</f>
        <v>-92.2</v>
      </c>
      <c r="M112" s="27">
        <f>IFERROR(100/'Skjema total MA'!I112*K112,0)</f>
        <v>0.69031414323768414</v>
      </c>
    </row>
    <row r="113" spans="1:14" x14ac:dyDescent="0.2">
      <c r="A113" s="21" t="s">
        <v>10</v>
      </c>
      <c r="B113" s="233">
        <v>1519.0670500000001</v>
      </c>
      <c r="C113" s="145">
        <v>345.58834999999999</v>
      </c>
      <c r="D113" s="166">
        <f t="shared" si="27"/>
        <v>-77.2</v>
      </c>
      <c r="E113" s="27">
        <f>IFERROR(100/'Skjema total MA'!C113*C113,0)</f>
        <v>24.816260311239859</v>
      </c>
      <c r="F113" s="233">
        <v>1843207.67304</v>
      </c>
      <c r="G113" s="145">
        <v>1062998.3780100001</v>
      </c>
      <c r="H113" s="166">
        <f t="shared" ref="H113:H125" si="30">IF(F113=0, "    ---- ", IF(ABS(ROUND(100/F113*G113-100,1))&lt;999,ROUND(100/F113*G113-100,1),IF(ROUND(100/F113*G113-100,1)&gt;999,999,-999)))</f>
        <v>-42.3</v>
      </c>
      <c r="I113" s="27">
        <f>IFERROR(100/'Skjema total MA'!F113*G113,0)</f>
        <v>9.6642635335835223</v>
      </c>
      <c r="J113" s="286">
        <f t="shared" si="28"/>
        <v>1844726.74009</v>
      </c>
      <c r="K113" s="44">
        <f t="shared" si="28"/>
        <v>1063343.9663600002</v>
      </c>
      <c r="L113" s="253">
        <f t="shared" si="29"/>
        <v>-42.4</v>
      </c>
      <c r="M113" s="27">
        <f>IFERROR(100/'Skjema total MA'!I113*K113,0)</f>
        <v>9.6661816449012861</v>
      </c>
    </row>
    <row r="114" spans="1:14" x14ac:dyDescent="0.2">
      <c r="A114" s="21" t="s">
        <v>26</v>
      </c>
      <c r="B114" s="233">
        <v>9912.1321100000005</v>
      </c>
      <c r="C114" s="145">
        <v>18521.563529999999</v>
      </c>
      <c r="D114" s="166">
        <f t="shared" si="27"/>
        <v>86.9</v>
      </c>
      <c r="E114" s="27">
        <f>IFERROR(100/'Skjema total MA'!C114*C114,0)</f>
        <v>24.649436478344789</v>
      </c>
      <c r="F114" s="233">
        <v>0</v>
      </c>
      <c r="G114" s="145">
        <v>29086.150979999999</v>
      </c>
      <c r="H114" s="166" t="str">
        <f t="shared" si="30"/>
        <v xml:space="preserve">    ---- </v>
      </c>
      <c r="I114" s="27">
        <f>IFERROR(100/'Skjema total MA'!F114*G114,0)</f>
        <v>94.172724620207035</v>
      </c>
      <c r="J114" s="286">
        <f t="shared" si="28"/>
        <v>9912.1321100000005</v>
      </c>
      <c r="K114" s="44">
        <f t="shared" si="28"/>
        <v>47607.714509999998</v>
      </c>
      <c r="L114" s="253">
        <f t="shared" si="29"/>
        <v>380.3</v>
      </c>
      <c r="M114" s="27">
        <f>IFERROR(100/'Skjema total MA'!I114*K114,0)</f>
        <v>44.901980646854689</v>
      </c>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v>25000.336650000001</v>
      </c>
      <c r="C116" s="233">
        <v>2128.8671300000001</v>
      </c>
      <c r="D116" s="166">
        <f t="shared" si="27"/>
        <v>-91.5</v>
      </c>
      <c r="E116" s="27">
        <f>IFERROR(100/'Skjema total MA'!C116*C116,0)</f>
        <v>1.944062344749736</v>
      </c>
      <c r="F116" s="233"/>
      <c r="G116" s="233"/>
      <c r="H116" s="166"/>
      <c r="I116" s="27"/>
      <c r="J116" s="286">
        <f t="shared" si="28"/>
        <v>25000.336650000001</v>
      </c>
      <c r="K116" s="44">
        <f t="shared" si="28"/>
        <v>2128.8671300000001</v>
      </c>
      <c r="L116" s="253">
        <f t="shared" si="29"/>
        <v>-91.5</v>
      </c>
      <c r="M116" s="27">
        <f>IFERROR(100/'Skjema total MA'!I116*K116,0)</f>
        <v>1.8451376056311406</v>
      </c>
    </row>
    <row r="117" spans="1:14" ht="15.75" x14ac:dyDescent="0.2">
      <c r="A117" s="21" t="s">
        <v>391</v>
      </c>
      <c r="B117" s="233"/>
      <c r="C117" s="233"/>
      <c r="D117" s="166"/>
      <c r="E117" s="27"/>
      <c r="F117" s="233">
        <v>246931.16226000001</v>
      </c>
      <c r="G117" s="233">
        <v>261939.9694</v>
      </c>
      <c r="H117" s="166">
        <f t="shared" si="30"/>
        <v>6.1</v>
      </c>
      <c r="I117" s="27">
        <f>IFERROR(100/'Skjema total MA'!F117*G117,0)</f>
        <v>12.201074920937357</v>
      </c>
      <c r="J117" s="286">
        <f t="shared" si="28"/>
        <v>246931.16226000001</v>
      </c>
      <c r="K117" s="44">
        <f t="shared" si="28"/>
        <v>261939.9694</v>
      </c>
      <c r="L117" s="253">
        <f t="shared" si="29"/>
        <v>6.1</v>
      </c>
      <c r="M117" s="27">
        <f>IFERROR(100/'Skjema total MA'!I117*K117,0)</f>
        <v>12.201074920937357</v>
      </c>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v>72866.795400000003</v>
      </c>
      <c r="C119" s="159">
        <v>42334.265570000003</v>
      </c>
      <c r="D119" s="171">
        <f t="shared" si="27"/>
        <v>-41.9</v>
      </c>
      <c r="E119" s="11">
        <f>IFERROR(100/'Skjema total MA'!C119*C119,0)</f>
        <v>10.900711165361242</v>
      </c>
      <c r="F119" s="307">
        <v>483359.20697</v>
      </c>
      <c r="G119" s="159">
        <v>729208.17689999996</v>
      </c>
      <c r="H119" s="171">
        <f t="shared" si="30"/>
        <v>50.9</v>
      </c>
      <c r="I119" s="11">
        <f>IFERROR(100/'Skjema total MA'!F119*G119,0)</f>
        <v>6.5914220701935298</v>
      </c>
      <c r="J119" s="308">
        <f t="shared" si="28"/>
        <v>556226.00237</v>
      </c>
      <c r="K119" s="235">
        <f t="shared" si="28"/>
        <v>771542.44247000001</v>
      </c>
      <c r="L119" s="375">
        <f t="shared" si="29"/>
        <v>38.700000000000003</v>
      </c>
      <c r="M119" s="11">
        <f>IFERROR(100/'Skjema total MA'!I119*K119,0)</f>
        <v>6.737567808430061</v>
      </c>
    </row>
    <row r="120" spans="1:14" x14ac:dyDescent="0.2">
      <c r="A120" s="21" t="s">
        <v>9</v>
      </c>
      <c r="B120" s="233">
        <v>44993.681470000003</v>
      </c>
      <c r="C120" s="145">
        <v>194.97514000000001</v>
      </c>
      <c r="D120" s="166">
        <f t="shared" si="27"/>
        <v>-99.6</v>
      </c>
      <c r="E120" s="27">
        <f>IFERROR(100/'Skjema total MA'!C120*C120,0)</f>
        <v>9.3000018898057785E-2</v>
      </c>
      <c r="F120" s="233"/>
      <c r="G120" s="145"/>
      <c r="H120" s="166"/>
      <c r="I120" s="27"/>
      <c r="J120" s="286">
        <f t="shared" si="28"/>
        <v>44993.681470000003</v>
      </c>
      <c r="K120" s="44">
        <f t="shared" si="28"/>
        <v>194.97514000000001</v>
      </c>
      <c r="L120" s="253">
        <f t="shared" si="29"/>
        <v>-99.6</v>
      </c>
      <c r="M120" s="27">
        <f>IFERROR(100/'Skjema total MA'!I120*K120,0)</f>
        <v>9.3000018898057785E-2</v>
      </c>
    </row>
    <row r="121" spans="1:14" x14ac:dyDescent="0.2">
      <c r="A121" s="21" t="s">
        <v>10</v>
      </c>
      <c r="B121" s="233">
        <v>24154.363000000001</v>
      </c>
      <c r="C121" s="145">
        <v>33040.485439999997</v>
      </c>
      <c r="D121" s="166">
        <f t="shared" si="27"/>
        <v>36.799999999999997</v>
      </c>
      <c r="E121" s="27">
        <f>IFERROR(100/'Skjema total MA'!C121*C121,0)</f>
        <v>94.901693951506203</v>
      </c>
      <c r="F121" s="233">
        <v>483359.20697</v>
      </c>
      <c r="G121" s="145">
        <v>729208.17689999996</v>
      </c>
      <c r="H121" s="166">
        <f t="shared" si="30"/>
        <v>50.9</v>
      </c>
      <c r="I121" s="27">
        <f>IFERROR(100/'Skjema total MA'!F121*G121,0)</f>
        <v>6.5914220701935298</v>
      </c>
      <c r="J121" s="286">
        <f t="shared" si="28"/>
        <v>507513.56997000001</v>
      </c>
      <c r="K121" s="44">
        <f t="shared" si="28"/>
        <v>762248.66233999992</v>
      </c>
      <c r="L121" s="253">
        <f t="shared" si="29"/>
        <v>50.2</v>
      </c>
      <c r="M121" s="27">
        <f>IFERROR(100/'Skjema total MA'!I121*K121,0)</f>
        <v>6.8684647501492622</v>
      </c>
    </row>
    <row r="122" spans="1:14" x14ac:dyDescent="0.2">
      <c r="A122" s="21" t="s">
        <v>26</v>
      </c>
      <c r="B122" s="233">
        <v>3718.7509300000002</v>
      </c>
      <c r="C122" s="145">
        <v>9098.8049900000005</v>
      </c>
      <c r="D122" s="166">
        <f t="shared" si="27"/>
        <v>144.69999999999999</v>
      </c>
      <c r="E122" s="27">
        <f>IFERROR(100/'Skjema total MA'!C122*C122,0)</f>
        <v>6.3231686634142479</v>
      </c>
      <c r="F122" s="233"/>
      <c r="G122" s="145"/>
      <c r="H122" s="166"/>
      <c r="I122" s="27"/>
      <c r="J122" s="286">
        <f t="shared" si="28"/>
        <v>3718.7509300000002</v>
      </c>
      <c r="K122" s="44">
        <f t="shared" si="28"/>
        <v>9098.8049900000005</v>
      </c>
      <c r="L122" s="253">
        <f t="shared" si="29"/>
        <v>144.69999999999999</v>
      </c>
      <c r="M122" s="27">
        <f>IFERROR(100/'Skjema total MA'!I122*K122,0)</f>
        <v>6.3231686634142479</v>
      </c>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v>0</v>
      </c>
      <c r="C124" s="233">
        <v>115.97561</v>
      </c>
      <c r="D124" s="166" t="str">
        <f t="shared" si="27"/>
        <v xml:space="preserve">    ---- </v>
      </c>
      <c r="E124" s="27">
        <f>IFERROR(100/'Skjema total MA'!C124*C124,0)</f>
        <v>0.2163051075388166</v>
      </c>
      <c r="F124" s="233"/>
      <c r="G124" s="233"/>
      <c r="H124" s="166"/>
      <c r="I124" s="27"/>
      <c r="J124" s="286">
        <f t="shared" si="28"/>
        <v>0</v>
      </c>
      <c r="K124" s="44">
        <f t="shared" si="28"/>
        <v>115.97561</v>
      </c>
      <c r="L124" s="253" t="str">
        <f t="shared" si="29"/>
        <v xml:space="preserve">    ---- </v>
      </c>
      <c r="M124" s="27">
        <f>IFERROR(100/'Skjema total MA'!I124*K124,0)</f>
        <v>0.15814994302511737</v>
      </c>
    </row>
    <row r="125" spans="1:14" ht="15.75" x14ac:dyDescent="0.2">
      <c r="A125" s="21" t="s">
        <v>388</v>
      </c>
      <c r="B125" s="233">
        <v>2570.85682</v>
      </c>
      <c r="C125" s="233">
        <v>2607.11528</v>
      </c>
      <c r="D125" s="166">
        <f t="shared" si="27"/>
        <v>1.4</v>
      </c>
      <c r="E125" s="27">
        <f>IFERROR(100/'Skjema total MA'!C125*C125,0)</f>
        <v>99.760081299608458</v>
      </c>
      <c r="F125" s="233">
        <v>150346.76714000001</v>
      </c>
      <c r="G125" s="233">
        <v>196814.17113999999</v>
      </c>
      <c r="H125" s="166">
        <f t="shared" si="30"/>
        <v>30.9</v>
      </c>
      <c r="I125" s="27">
        <f>IFERROR(100/'Skjema total MA'!F125*G125,0)</f>
        <v>8.7350088092581117</v>
      </c>
      <c r="J125" s="286">
        <f t="shared" si="28"/>
        <v>152917.62396</v>
      </c>
      <c r="K125" s="44">
        <f t="shared" si="28"/>
        <v>199421.28641999999</v>
      </c>
      <c r="L125" s="253">
        <f t="shared" si="29"/>
        <v>30.4</v>
      </c>
      <c r="M125" s="27">
        <f>IFERROR(100/'Skjema total MA'!I125*K125,0)</f>
        <v>8.8404640145008138</v>
      </c>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56" priority="132">
      <formula>kvartal &lt; 4</formula>
    </cfRule>
  </conditionalFormatting>
  <conditionalFormatting sqref="B69">
    <cfRule type="expression" dxfId="455" priority="100">
      <formula>kvartal &lt; 4</formula>
    </cfRule>
  </conditionalFormatting>
  <conditionalFormatting sqref="C69">
    <cfRule type="expression" dxfId="454" priority="99">
      <formula>kvartal &lt; 4</formula>
    </cfRule>
  </conditionalFormatting>
  <conditionalFormatting sqref="B72">
    <cfRule type="expression" dxfId="453" priority="98">
      <formula>kvartal &lt; 4</formula>
    </cfRule>
  </conditionalFormatting>
  <conditionalFormatting sqref="C72">
    <cfRule type="expression" dxfId="452" priority="97">
      <formula>kvartal &lt; 4</formula>
    </cfRule>
  </conditionalFormatting>
  <conditionalFormatting sqref="B80">
    <cfRule type="expression" dxfId="451" priority="96">
      <formula>kvartal &lt; 4</formula>
    </cfRule>
  </conditionalFormatting>
  <conditionalFormatting sqref="C80">
    <cfRule type="expression" dxfId="450" priority="95">
      <formula>kvartal &lt; 4</formula>
    </cfRule>
  </conditionalFormatting>
  <conditionalFormatting sqref="B83">
    <cfRule type="expression" dxfId="449" priority="94">
      <formula>kvartal &lt; 4</formula>
    </cfRule>
  </conditionalFormatting>
  <conditionalFormatting sqref="C83">
    <cfRule type="expression" dxfId="448" priority="93">
      <formula>kvartal &lt; 4</formula>
    </cfRule>
  </conditionalFormatting>
  <conditionalFormatting sqref="B90">
    <cfRule type="expression" dxfId="447" priority="84">
      <formula>kvartal &lt; 4</formula>
    </cfRule>
  </conditionalFormatting>
  <conditionalFormatting sqref="C90">
    <cfRule type="expression" dxfId="446" priority="83">
      <formula>kvartal &lt; 4</formula>
    </cfRule>
  </conditionalFormatting>
  <conditionalFormatting sqref="B93">
    <cfRule type="expression" dxfId="445" priority="82">
      <formula>kvartal &lt; 4</formula>
    </cfRule>
  </conditionalFormatting>
  <conditionalFormatting sqref="C93">
    <cfRule type="expression" dxfId="444" priority="81">
      <formula>kvartal &lt; 4</formula>
    </cfRule>
  </conditionalFormatting>
  <conditionalFormatting sqref="B101">
    <cfRule type="expression" dxfId="443" priority="80">
      <formula>kvartal &lt; 4</formula>
    </cfRule>
  </conditionalFormatting>
  <conditionalFormatting sqref="C101">
    <cfRule type="expression" dxfId="442" priority="79">
      <formula>kvartal &lt; 4</formula>
    </cfRule>
  </conditionalFormatting>
  <conditionalFormatting sqref="B104">
    <cfRule type="expression" dxfId="441" priority="78">
      <formula>kvartal &lt; 4</formula>
    </cfRule>
  </conditionalFormatting>
  <conditionalFormatting sqref="C104">
    <cfRule type="expression" dxfId="440" priority="77">
      <formula>kvartal &lt; 4</formula>
    </cfRule>
  </conditionalFormatting>
  <conditionalFormatting sqref="B115">
    <cfRule type="expression" dxfId="439" priority="76">
      <formula>kvartal &lt; 4</formula>
    </cfRule>
  </conditionalFormatting>
  <conditionalFormatting sqref="C115">
    <cfRule type="expression" dxfId="438" priority="75">
      <formula>kvartal &lt; 4</formula>
    </cfRule>
  </conditionalFormatting>
  <conditionalFormatting sqref="B123">
    <cfRule type="expression" dxfId="437" priority="74">
      <formula>kvartal &lt; 4</formula>
    </cfRule>
  </conditionalFormatting>
  <conditionalFormatting sqref="C123">
    <cfRule type="expression" dxfId="436" priority="73">
      <formula>kvartal &lt; 4</formula>
    </cfRule>
  </conditionalFormatting>
  <conditionalFormatting sqref="F70">
    <cfRule type="expression" dxfId="435" priority="72">
      <formula>kvartal &lt; 4</formula>
    </cfRule>
  </conditionalFormatting>
  <conditionalFormatting sqref="G70">
    <cfRule type="expression" dxfId="434" priority="71">
      <formula>kvartal &lt; 4</formula>
    </cfRule>
  </conditionalFormatting>
  <conditionalFormatting sqref="F71:G71">
    <cfRule type="expression" dxfId="433" priority="70">
      <formula>kvartal &lt; 4</formula>
    </cfRule>
  </conditionalFormatting>
  <conditionalFormatting sqref="F73:G74">
    <cfRule type="expression" dxfId="432" priority="69">
      <formula>kvartal &lt; 4</formula>
    </cfRule>
  </conditionalFormatting>
  <conditionalFormatting sqref="F81:G82">
    <cfRule type="expression" dxfId="431" priority="68">
      <formula>kvartal &lt; 4</formula>
    </cfRule>
  </conditionalFormatting>
  <conditionalFormatting sqref="F84:G85">
    <cfRule type="expression" dxfId="430" priority="67">
      <formula>kvartal &lt; 4</formula>
    </cfRule>
  </conditionalFormatting>
  <conditionalFormatting sqref="F91:G92">
    <cfRule type="expression" dxfId="429" priority="62">
      <formula>kvartal &lt; 4</formula>
    </cfRule>
  </conditionalFormatting>
  <conditionalFormatting sqref="F94:G95">
    <cfRule type="expression" dxfId="428" priority="61">
      <formula>kvartal &lt; 4</formula>
    </cfRule>
  </conditionalFormatting>
  <conditionalFormatting sqref="F102:G103">
    <cfRule type="expression" dxfId="427" priority="60">
      <formula>kvartal &lt; 4</formula>
    </cfRule>
  </conditionalFormatting>
  <conditionalFormatting sqref="F105:G106">
    <cfRule type="expression" dxfId="426" priority="59">
      <formula>kvartal &lt; 4</formula>
    </cfRule>
  </conditionalFormatting>
  <conditionalFormatting sqref="F115">
    <cfRule type="expression" dxfId="425" priority="58">
      <formula>kvartal &lt; 4</formula>
    </cfRule>
  </conditionalFormatting>
  <conditionalFormatting sqref="G115">
    <cfRule type="expression" dxfId="424" priority="57">
      <formula>kvartal &lt; 4</formula>
    </cfRule>
  </conditionalFormatting>
  <conditionalFormatting sqref="F123:G123">
    <cfRule type="expression" dxfId="423" priority="56">
      <formula>kvartal &lt; 4</formula>
    </cfRule>
  </conditionalFormatting>
  <conditionalFormatting sqref="F69:G69">
    <cfRule type="expression" dxfId="422" priority="55">
      <formula>kvartal &lt; 4</formula>
    </cfRule>
  </conditionalFormatting>
  <conditionalFormatting sqref="F72:G72">
    <cfRule type="expression" dxfId="421" priority="54">
      <formula>kvartal &lt; 4</formula>
    </cfRule>
  </conditionalFormatting>
  <conditionalFormatting sqref="F80:G80">
    <cfRule type="expression" dxfId="420" priority="53">
      <formula>kvartal &lt; 4</formula>
    </cfRule>
  </conditionalFormatting>
  <conditionalFormatting sqref="F83:G83">
    <cfRule type="expression" dxfId="419" priority="52">
      <formula>kvartal &lt; 4</formula>
    </cfRule>
  </conditionalFormatting>
  <conditionalFormatting sqref="F90:G90">
    <cfRule type="expression" dxfId="418" priority="46">
      <formula>kvartal &lt; 4</formula>
    </cfRule>
  </conditionalFormatting>
  <conditionalFormatting sqref="F93">
    <cfRule type="expression" dxfId="417" priority="45">
      <formula>kvartal &lt; 4</formula>
    </cfRule>
  </conditionalFormatting>
  <conditionalFormatting sqref="G93">
    <cfRule type="expression" dxfId="416" priority="44">
      <formula>kvartal &lt; 4</formula>
    </cfRule>
  </conditionalFormatting>
  <conditionalFormatting sqref="F101">
    <cfRule type="expression" dxfId="415" priority="43">
      <formula>kvartal &lt; 4</formula>
    </cfRule>
  </conditionalFormatting>
  <conditionalFormatting sqref="G101">
    <cfRule type="expression" dxfId="414" priority="42">
      <formula>kvartal &lt; 4</formula>
    </cfRule>
  </conditionalFormatting>
  <conditionalFormatting sqref="G104">
    <cfRule type="expression" dxfId="413" priority="41">
      <formula>kvartal &lt; 4</formula>
    </cfRule>
  </conditionalFormatting>
  <conditionalFormatting sqref="F104">
    <cfRule type="expression" dxfId="412" priority="40">
      <formula>kvartal &lt; 4</formula>
    </cfRule>
  </conditionalFormatting>
  <conditionalFormatting sqref="J69:K73">
    <cfRule type="expression" dxfId="411" priority="39">
      <formula>kvartal &lt; 4</formula>
    </cfRule>
  </conditionalFormatting>
  <conditionalFormatting sqref="J74:K74">
    <cfRule type="expression" dxfId="410" priority="38">
      <formula>kvartal &lt; 4</formula>
    </cfRule>
  </conditionalFormatting>
  <conditionalFormatting sqref="J80:K85">
    <cfRule type="expression" dxfId="409" priority="37">
      <formula>kvartal &lt; 4</formula>
    </cfRule>
  </conditionalFormatting>
  <conditionalFormatting sqref="J90:K95">
    <cfRule type="expression" dxfId="408" priority="34">
      <formula>kvartal &lt; 4</formula>
    </cfRule>
  </conditionalFormatting>
  <conditionalFormatting sqref="J101:K106">
    <cfRule type="expression" dxfId="407" priority="33">
      <formula>kvartal &lt; 4</formula>
    </cfRule>
  </conditionalFormatting>
  <conditionalFormatting sqref="J115:K115">
    <cfRule type="expression" dxfId="406" priority="32">
      <formula>kvartal &lt; 4</formula>
    </cfRule>
  </conditionalFormatting>
  <conditionalFormatting sqref="J123:K123">
    <cfRule type="expression" dxfId="405" priority="31">
      <formula>kvartal &lt; 4</formula>
    </cfRule>
  </conditionalFormatting>
  <conditionalFormatting sqref="A50:A52">
    <cfRule type="expression" dxfId="404" priority="12">
      <formula>kvartal &lt; 4</formula>
    </cfRule>
  </conditionalFormatting>
  <conditionalFormatting sqref="A69:A74">
    <cfRule type="expression" dxfId="403" priority="10">
      <formula>kvartal &lt; 4</formula>
    </cfRule>
  </conditionalFormatting>
  <conditionalFormatting sqref="A80:A85">
    <cfRule type="expression" dxfId="402" priority="9">
      <formula>kvartal &lt; 4</formula>
    </cfRule>
  </conditionalFormatting>
  <conditionalFormatting sqref="A90:A95">
    <cfRule type="expression" dxfId="401" priority="6">
      <formula>kvartal &lt; 4</formula>
    </cfRule>
  </conditionalFormatting>
  <conditionalFormatting sqref="A101:A106">
    <cfRule type="expression" dxfId="400" priority="5">
      <formula>kvartal &lt; 4</formula>
    </cfRule>
  </conditionalFormatting>
  <conditionalFormatting sqref="A115">
    <cfRule type="expression" dxfId="399" priority="4">
      <formula>kvartal &lt; 4</formula>
    </cfRule>
  </conditionalFormatting>
  <conditionalFormatting sqref="A123">
    <cfRule type="expression" dxfId="398" priority="3">
      <formula>kvartal &lt; 4</formula>
    </cfRule>
  </conditionalFormatting>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135</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494704.62199999997</v>
      </c>
      <c r="C7" s="306">
        <v>501742.75199999998</v>
      </c>
      <c r="D7" s="350">
        <f>IF(B7=0, "    ---- ", IF(ABS(ROUND(100/B7*C7-100,1))&lt;999,ROUND(100/B7*C7-100,1),IF(ROUND(100/B7*C7-100,1)&gt;999,999,-999)))</f>
        <v>1.4</v>
      </c>
      <c r="E7" s="11">
        <f>IFERROR(100/'Skjema total MA'!C7*C7,0)</f>
        <v>13.753384121110512</v>
      </c>
      <c r="F7" s="305">
        <v>1148596.1880000001</v>
      </c>
      <c r="G7" s="306">
        <v>883558.67799999996</v>
      </c>
      <c r="H7" s="350">
        <f>IF(F7=0, "    ---- ", IF(ABS(ROUND(100/F7*G7-100,1))&lt;999,ROUND(100/F7*G7-100,1),IF(ROUND(100/F7*G7-100,1)&gt;999,999,-999)))</f>
        <v>-23.1</v>
      </c>
      <c r="I7" s="160">
        <f>IFERROR(100/'Skjema total MA'!F7*G7,0)</f>
        <v>12.330201140629482</v>
      </c>
      <c r="J7" s="307">
        <f t="shared" ref="J7:K12" si="0">SUM(B7,F7)</f>
        <v>1643300.81</v>
      </c>
      <c r="K7" s="308">
        <f t="shared" si="0"/>
        <v>1385301.43</v>
      </c>
      <c r="L7" s="374">
        <f>IF(J7=0, "    ---- ", IF(ABS(ROUND(100/J7*K7-100,1))&lt;999,ROUND(100/J7*K7-100,1),IF(ROUND(100/J7*K7-100,1)&gt;999,999,-999)))</f>
        <v>-15.7</v>
      </c>
      <c r="M7" s="11">
        <f>IFERROR(100/'Skjema total MA'!I7*K7,0)</f>
        <v>12.810319088801107</v>
      </c>
    </row>
    <row r="8" spans="1:14" ht="15.75" x14ac:dyDescent="0.2">
      <c r="A8" s="21" t="s">
        <v>25</v>
      </c>
      <c r="B8" s="280">
        <v>189622</v>
      </c>
      <c r="C8" s="281">
        <v>197765.065</v>
      </c>
      <c r="D8" s="166">
        <f t="shared" ref="D8:D10" si="1">IF(B8=0, "    ---- ", IF(ABS(ROUND(100/B8*C8-100,1))&lt;999,ROUND(100/B8*C8-100,1),IF(ROUND(100/B8*C8-100,1)&gt;999,999,-999)))</f>
        <v>4.3</v>
      </c>
      <c r="E8" s="27">
        <f>IFERROR(100/'Skjema total MA'!C8*C8,0)</f>
        <v>9.0326013589763452</v>
      </c>
      <c r="F8" s="284"/>
      <c r="G8" s="285"/>
      <c r="H8" s="166"/>
      <c r="I8" s="175"/>
      <c r="J8" s="233">
        <f t="shared" si="0"/>
        <v>189622</v>
      </c>
      <c r="K8" s="286">
        <f t="shared" si="0"/>
        <v>197765.065</v>
      </c>
      <c r="L8" s="166">
        <f t="shared" ref="L8:L9" si="2">IF(J8=0, "    ---- ", IF(ABS(ROUND(100/J8*K8-100,1))&lt;999,ROUND(100/J8*K8-100,1),IF(ROUND(100/J8*K8-100,1)&gt;999,999,-999)))</f>
        <v>4.3</v>
      </c>
      <c r="M8" s="27">
        <f>IFERROR(100/'Skjema total MA'!I8*K8,0)</f>
        <v>9.0326013589763452</v>
      </c>
    </row>
    <row r="9" spans="1:14" ht="15.75" x14ac:dyDescent="0.2">
      <c r="A9" s="21" t="s">
        <v>24</v>
      </c>
      <c r="B9" s="280">
        <v>56848</v>
      </c>
      <c r="C9" s="281">
        <v>46474.275999999998</v>
      </c>
      <c r="D9" s="166">
        <f t="shared" si="1"/>
        <v>-18.2</v>
      </c>
      <c r="E9" s="27">
        <f>IFERROR(100/'Skjema total MA'!C9*C9,0)</f>
        <v>5.9246766924173588</v>
      </c>
      <c r="F9" s="284"/>
      <c r="G9" s="285"/>
      <c r="H9" s="166"/>
      <c r="I9" s="175"/>
      <c r="J9" s="233">
        <f t="shared" si="0"/>
        <v>56848</v>
      </c>
      <c r="K9" s="286">
        <f t="shared" si="0"/>
        <v>46474.275999999998</v>
      </c>
      <c r="L9" s="166">
        <f t="shared" si="2"/>
        <v>-18.2</v>
      </c>
      <c r="M9" s="27">
        <f>IFERROR(100/'Skjema total MA'!I9*K9,0)</f>
        <v>5.9246766924173588</v>
      </c>
    </row>
    <row r="10" spans="1:14" ht="15.75" x14ac:dyDescent="0.2">
      <c r="A10" s="13" t="s">
        <v>368</v>
      </c>
      <c r="B10" s="309">
        <v>4034480.0380000002</v>
      </c>
      <c r="C10" s="310">
        <v>3961215.3790000002</v>
      </c>
      <c r="D10" s="171">
        <f t="shared" si="1"/>
        <v>-1.8</v>
      </c>
      <c r="E10" s="11">
        <f>IFERROR(100/'Skjema total MA'!C10*C10,0)</f>
        <v>20.515139872656604</v>
      </c>
      <c r="F10" s="309">
        <v>7221881.5010000002</v>
      </c>
      <c r="G10" s="310">
        <v>7108960.5180000002</v>
      </c>
      <c r="H10" s="171">
        <f t="shared" ref="H10:H12" si="3">IF(F10=0, "    ---- ", IF(ABS(ROUND(100/F10*G10-100,1))&lt;999,ROUND(100/F10*G10-100,1),IF(ROUND(100/F10*G10-100,1)&gt;999,999,-999)))</f>
        <v>-1.6</v>
      </c>
      <c r="I10" s="160">
        <f>IFERROR(100/'Skjema total MA'!F10*G10,0)</f>
        <v>14.436456169516736</v>
      </c>
      <c r="J10" s="307">
        <f t="shared" si="0"/>
        <v>11256361.539000001</v>
      </c>
      <c r="K10" s="308">
        <f t="shared" si="0"/>
        <v>11070175.897</v>
      </c>
      <c r="L10" s="375">
        <f t="shared" ref="L10:L12" si="4">IF(J10=0, "    ---- ", IF(ABS(ROUND(100/J10*K10-100,1))&lt;999,ROUND(100/J10*K10-100,1),IF(ROUND(100/J10*K10-100,1)&gt;999,999,-999)))</f>
        <v>-1.7</v>
      </c>
      <c r="M10" s="11">
        <f>IFERROR(100/'Skjema total MA'!I10*K10,0)</f>
        <v>16.148616010478488</v>
      </c>
    </row>
    <row r="11" spans="1:14" s="43" customFormat="1" ht="15.75" x14ac:dyDescent="0.2">
      <c r="A11" s="13" t="s">
        <v>369</v>
      </c>
      <c r="B11" s="309"/>
      <c r="C11" s="310"/>
      <c r="D11" s="171"/>
      <c r="E11" s="11"/>
      <c r="F11" s="309">
        <v>14026.79</v>
      </c>
      <c r="G11" s="310">
        <v>4107.0140000000001</v>
      </c>
      <c r="H11" s="171">
        <f t="shared" si="3"/>
        <v>-70.7</v>
      </c>
      <c r="I11" s="160">
        <f>IFERROR(100/'Skjema total MA'!F11*G11,0)</f>
        <v>1.7806701996604424</v>
      </c>
      <c r="J11" s="307">
        <f t="shared" si="0"/>
        <v>14026.79</v>
      </c>
      <c r="K11" s="308">
        <f t="shared" si="0"/>
        <v>4107.0140000000001</v>
      </c>
      <c r="L11" s="375">
        <f t="shared" si="4"/>
        <v>-70.7</v>
      </c>
      <c r="M11" s="11">
        <f>IFERROR(100/'Skjema total MA'!I11*K11,0)</f>
        <v>1.4871535742678754</v>
      </c>
      <c r="N11" s="143"/>
    </row>
    <row r="12" spans="1:14" s="43" customFormat="1" ht="15.75" x14ac:dyDescent="0.2">
      <c r="A12" s="41" t="s">
        <v>370</v>
      </c>
      <c r="B12" s="311"/>
      <c r="C12" s="312"/>
      <c r="D12" s="169"/>
      <c r="E12" s="36"/>
      <c r="F12" s="311">
        <v>26140.027999999998</v>
      </c>
      <c r="G12" s="312">
        <v>15401.156000000001</v>
      </c>
      <c r="H12" s="169">
        <f t="shared" si="3"/>
        <v>-41.1</v>
      </c>
      <c r="I12" s="169">
        <f>IFERROR(100/'Skjema total MA'!F12*G12,0)</f>
        <v>9.1371051868162585</v>
      </c>
      <c r="J12" s="313">
        <f t="shared" si="0"/>
        <v>26140.027999999998</v>
      </c>
      <c r="K12" s="314">
        <f t="shared" si="0"/>
        <v>15401.156000000001</v>
      </c>
      <c r="L12" s="376">
        <f t="shared" si="4"/>
        <v>-41.1</v>
      </c>
      <c r="M12" s="36">
        <f>IFERROR(100/'Skjema total MA'!I12*K12,0)</f>
        <v>8.8788356318691921</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7774.2079999999996</v>
      </c>
      <c r="C22" s="309">
        <v>6841.3779999999997</v>
      </c>
      <c r="D22" s="350">
        <f t="shared" ref="D22:D37" si="5">IF(B22=0, "    ---- ", IF(ABS(ROUND(100/B22*C22-100,1))&lt;999,ROUND(100/B22*C22-100,1),IF(ROUND(100/B22*C22-100,1)&gt;999,999,-999)))</f>
        <v>-12</v>
      </c>
      <c r="E22" s="11">
        <f>IFERROR(100/'Skjema total MA'!C22*C22,0)</f>
        <v>0.5020208334863695</v>
      </c>
      <c r="F22" s="317">
        <v>284956.21600000001</v>
      </c>
      <c r="G22" s="317">
        <v>253665.288</v>
      </c>
      <c r="H22" s="350">
        <f t="shared" ref="H22:H35" si="6">IF(F22=0, "    ---- ", IF(ABS(ROUND(100/F22*G22-100,1))&lt;999,ROUND(100/F22*G22-100,1),IF(ROUND(100/F22*G22-100,1)&gt;999,999,-999)))</f>
        <v>-11</v>
      </c>
      <c r="I22" s="11">
        <f>IFERROR(100/'Skjema total MA'!F22*G22,0)</f>
        <v>31.756902619923252</v>
      </c>
      <c r="J22" s="315">
        <f t="shared" ref="J22:K35" si="7">SUM(B22,F22)</f>
        <v>292730.424</v>
      </c>
      <c r="K22" s="315">
        <f t="shared" si="7"/>
        <v>260506.666</v>
      </c>
      <c r="L22" s="374">
        <f t="shared" ref="L22:L37" si="8">IF(J22=0, "    ---- ", IF(ABS(ROUND(100/J22*K22-100,1))&lt;999,ROUND(100/J22*K22-100,1),IF(ROUND(100/J22*K22-100,1)&gt;999,999,-999)))</f>
        <v>-11</v>
      </c>
      <c r="M22" s="24">
        <f>IFERROR(100/'Skjema total MA'!I22*K22,0)</f>
        <v>12.051901915927958</v>
      </c>
    </row>
    <row r="23" spans="1:14" ht="15.75" x14ac:dyDescent="0.2">
      <c r="A23" s="562" t="s">
        <v>371</v>
      </c>
      <c r="B23" s="280">
        <v>986.39</v>
      </c>
      <c r="C23" s="280">
        <v>893.77800000000002</v>
      </c>
      <c r="D23" s="166">
        <f t="shared" si="5"/>
        <v>-9.4</v>
      </c>
      <c r="E23" s="11">
        <f>IFERROR(100/'Skjema total MA'!C23*C23,0)</f>
        <v>9.0316454427146378E-2</v>
      </c>
      <c r="F23" s="289">
        <v>75959</v>
      </c>
      <c r="G23" s="289">
        <v>16564.284</v>
      </c>
      <c r="H23" s="166">
        <f t="shared" si="6"/>
        <v>-78.2</v>
      </c>
      <c r="I23" s="366">
        <f>IFERROR(100/'Skjema total MA'!F23*G23,0)</f>
        <v>29.228481696488096</v>
      </c>
      <c r="J23" s="289">
        <f t="shared" ref="J23:J26" si="9">SUM(B23,F23)</f>
        <v>76945.39</v>
      </c>
      <c r="K23" s="289">
        <f t="shared" ref="K23:K26" si="10">SUM(C23,G23)</f>
        <v>17458.061999999998</v>
      </c>
      <c r="L23" s="166">
        <f t="shared" si="8"/>
        <v>-77.3</v>
      </c>
      <c r="M23" s="23">
        <f>IFERROR(100/'Skjema total MA'!I23*K23,0)</f>
        <v>1.6685860849863541</v>
      </c>
    </row>
    <row r="24" spans="1:14" ht="15.75" x14ac:dyDescent="0.2">
      <c r="A24" s="562" t="s">
        <v>372</v>
      </c>
      <c r="B24" s="280">
        <v>6787.8180000000002</v>
      </c>
      <c r="C24" s="280">
        <v>5947.6</v>
      </c>
      <c r="D24" s="166">
        <f t="shared" si="5"/>
        <v>-12.4</v>
      </c>
      <c r="E24" s="11">
        <f>IFERROR(100/'Skjema total MA'!C24*C24,0)</f>
        <v>22.473813048080409</v>
      </c>
      <c r="F24" s="289">
        <v>9.7462400000000002</v>
      </c>
      <c r="G24" s="289">
        <v>-3.371</v>
      </c>
      <c r="H24" s="166">
        <f t="shared" si="6"/>
        <v>-134.6</v>
      </c>
      <c r="I24" s="366">
        <f>IFERROR(100/'Skjema total MA'!F24*G24,0)</f>
        <v>-0.24438183665165708</v>
      </c>
      <c r="J24" s="289">
        <f t="shared" si="9"/>
        <v>6797.5642400000006</v>
      </c>
      <c r="K24" s="289">
        <f t="shared" si="10"/>
        <v>5944.2290000000003</v>
      </c>
      <c r="L24" s="166">
        <f t="shared" si="8"/>
        <v>-12.6</v>
      </c>
      <c r="M24" s="23">
        <f>IFERROR(100/'Skjema total MA'!I24*K24,0)</f>
        <v>21.348347069411822</v>
      </c>
    </row>
    <row r="25" spans="1:14" ht="15.75" x14ac:dyDescent="0.2">
      <c r="A25" s="562" t="s">
        <v>373</v>
      </c>
      <c r="B25" s="280"/>
      <c r="C25" s="280"/>
      <c r="D25" s="166"/>
      <c r="E25" s="11"/>
      <c r="F25" s="289">
        <v>149.05000000000001</v>
      </c>
      <c r="G25" s="289">
        <v>-187.429</v>
      </c>
      <c r="H25" s="166">
        <f t="shared" si="6"/>
        <v>-225.7</v>
      </c>
      <c r="I25" s="366">
        <f>IFERROR(100/'Skjema total MA'!F25*G25,0)</f>
        <v>-0.67728231788237514</v>
      </c>
      <c r="J25" s="289">
        <f t="shared" si="9"/>
        <v>149.05000000000001</v>
      </c>
      <c r="K25" s="289">
        <f t="shared" si="10"/>
        <v>-187.429</v>
      </c>
      <c r="L25" s="166">
        <f t="shared" si="8"/>
        <v>-225.7</v>
      </c>
      <c r="M25" s="23">
        <f>IFERROR(100/'Skjema total MA'!I25*K25,0)</f>
        <v>-0.36411774514742057</v>
      </c>
    </row>
    <row r="26" spans="1:14" ht="15.75" x14ac:dyDescent="0.2">
      <c r="A26" s="562" t="s">
        <v>374</v>
      </c>
      <c r="B26" s="280"/>
      <c r="C26" s="280"/>
      <c r="D26" s="166"/>
      <c r="E26" s="11"/>
      <c r="F26" s="289">
        <v>208838.497</v>
      </c>
      <c r="G26" s="289">
        <v>237291.804</v>
      </c>
      <c r="H26" s="166">
        <f t="shared" si="6"/>
        <v>13.6</v>
      </c>
      <c r="I26" s="366">
        <f>IFERROR(100/'Skjema total MA'!F26*G26,0)</f>
        <v>33.27854922461794</v>
      </c>
      <c r="J26" s="289">
        <f t="shared" si="9"/>
        <v>208838.497</v>
      </c>
      <c r="K26" s="289">
        <f t="shared" si="10"/>
        <v>237291.804</v>
      </c>
      <c r="L26" s="166">
        <f t="shared" si="8"/>
        <v>13.6</v>
      </c>
      <c r="M26" s="23">
        <f>IFERROR(100/'Skjema total MA'!I26*K26,0)</f>
        <v>33.27854922461794</v>
      </c>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154470</v>
      </c>
      <c r="C28" s="286">
        <v>145453.932</v>
      </c>
      <c r="D28" s="166">
        <f t="shared" si="5"/>
        <v>-5.8</v>
      </c>
      <c r="E28" s="11">
        <f>IFERROR(100/'Skjema total MA'!C28*C28,0)</f>
        <v>10.002614395817192</v>
      </c>
      <c r="F28" s="233"/>
      <c r="G28" s="286"/>
      <c r="H28" s="166"/>
      <c r="I28" s="27"/>
      <c r="J28" s="44">
        <f t="shared" si="7"/>
        <v>154470</v>
      </c>
      <c r="K28" s="44">
        <f t="shared" si="7"/>
        <v>145453.932</v>
      </c>
      <c r="L28" s="253">
        <f t="shared" si="8"/>
        <v>-5.8</v>
      </c>
      <c r="M28" s="23">
        <f>IFERROR(100/'Skjema total MA'!I28*K28,0)</f>
        <v>10.002614395817192</v>
      </c>
    </row>
    <row r="29" spans="1:14" s="3" customFormat="1" ht="15.75" x14ac:dyDescent="0.2">
      <c r="A29" s="13" t="s">
        <v>368</v>
      </c>
      <c r="B29" s="235">
        <v>10608456</v>
      </c>
      <c r="C29" s="235">
        <v>9853661.5</v>
      </c>
      <c r="D29" s="171">
        <f t="shared" si="5"/>
        <v>-7.1</v>
      </c>
      <c r="E29" s="11">
        <f>IFERROR(100/'Skjema total MA'!C29*C29,0)</f>
        <v>20.982090433459476</v>
      </c>
      <c r="F29" s="307">
        <v>4383583.148</v>
      </c>
      <c r="G29" s="307">
        <v>4627191.7010000004</v>
      </c>
      <c r="H29" s="171">
        <f t="shared" si="6"/>
        <v>5.6</v>
      </c>
      <c r="I29" s="11">
        <f>IFERROR(100/'Skjema total MA'!F29*G29,0)</f>
        <v>21.727223856373595</v>
      </c>
      <c r="J29" s="235">
        <f t="shared" si="7"/>
        <v>14992039.148</v>
      </c>
      <c r="K29" s="235">
        <f t="shared" si="7"/>
        <v>14480853.201000001</v>
      </c>
      <c r="L29" s="375">
        <f t="shared" si="8"/>
        <v>-3.4</v>
      </c>
      <c r="M29" s="24">
        <f>IFERROR(100/'Skjema total MA'!I29*K29,0)</f>
        <v>21.214571403329305</v>
      </c>
      <c r="N29" s="148"/>
    </row>
    <row r="30" spans="1:14" s="3" customFormat="1" ht="15.75" x14ac:dyDescent="0.2">
      <c r="A30" s="562" t="s">
        <v>371</v>
      </c>
      <c r="B30" s="280">
        <v>1345999</v>
      </c>
      <c r="C30" s="280">
        <v>1287311.4680000001</v>
      </c>
      <c r="D30" s="166">
        <f t="shared" si="5"/>
        <v>-4.4000000000000004</v>
      </c>
      <c r="E30" s="11">
        <f>IFERROR(100/'Skjema total MA'!C30*C30,0)</f>
        <v>12.450370839220255</v>
      </c>
      <c r="F30" s="289">
        <v>535707.98699999996</v>
      </c>
      <c r="G30" s="289">
        <v>494746.847000001</v>
      </c>
      <c r="H30" s="166">
        <f t="shared" si="6"/>
        <v>-7.6</v>
      </c>
      <c r="I30" s="366">
        <f>IFERROR(100/'Skjema total MA'!F30*G30,0)</f>
        <v>11.5284972830472</v>
      </c>
      <c r="J30" s="289">
        <f t="shared" ref="J30:J33" si="11">SUM(B30,F30)</f>
        <v>1881706.987</v>
      </c>
      <c r="K30" s="289">
        <f t="shared" ref="K30:K33" si="12">SUM(C30,G30)</f>
        <v>1782058.3150000011</v>
      </c>
      <c r="L30" s="166">
        <f t="shared" si="8"/>
        <v>-5.3</v>
      </c>
      <c r="M30" s="23">
        <f>IFERROR(100/'Skjema total MA'!I30*K30,0)</f>
        <v>12.179971240735</v>
      </c>
      <c r="N30" s="148"/>
    </row>
    <row r="31" spans="1:14" s="3" customFormat="1" ht="15.75" x14ac:dyDescent="0.2">
      <c r="A31" s="562" t="s">
        <v>372</v>
      </c>
      <c r="B31" s="280">
        <v>9262457</v>
      </c>
      <c r="C31" s="280">
        <v>8566350.0319999997</v>
      </c>
      <c r="D31" s="166">
        <f t="shared" si="5"/>
        <v>-7.5</v>
      </c>
      <c r="E31" s="11">
        <f>IFERROR(100/'Skjema total MA'!C31*C31,0)</f>
        <v>25.865377077690862</v>
      </c>
      <c r="F31" s="289">
        <v>2050835.851</v>
      </c>
      <c r="G31" s="289">
        <v>1833713.6810000001</v>
      </c>
      <c r="H31" s="166">
        <f t="shared" si="6"/>
        <v>-10.6</v>
      </c>
      <c r="I31" s="366">
        <f>IFERROR(100/'Skjema total MA'!F31*G31,0)</f>
        <v>18.816561141319333</v>
      </c>
      <c r="J31" s="289">
        <f t="shared" si="11"/>
        <v>11313292.851</v>
      </c>
      <c r="K31" s="289">
        <f t="shared" si="12"/>
        <v>10400063.713</v>
      </c>
      <c r="L31" s="166">
        <f t="shared" si="8"/>
        <v>-8.1</v>
      </c>
      <c r="M31" s="23">
        <f>IFERROR(100/'Skjema total MA'!I31*K31,0)</f>
        <v>24.26282273738661</v>
      </c>
      <c r="N31" s="148"/>
    </row>
    <row r="32" spans="1:14" ht="15.75" x14ac:dyDescent="0.2">
      <c r="A32" s="562" t="s">
        <v>373</v>
      </c>
      <c r="B32" s="280"/>
      <c r="C32" s="280"/>
      <c r="D32" s="166"/>
      <c r="E32" s="11"/>
      <c r="F32" s="289">
        <v>1264027.2239999999</v>
      </c>
      <c r="G32" s="289">
        <v>1339934.142</v>
      </c>
      <c r="H32" s="166">
        <f t="shared" si="6"/>
        <v>6</v>
      </c>
      <c r="I32" s="366">
        <f>IFERROR(100/'Skjema total MA'!F32*G32,0)</f>
        <v>30.15710580354845</v>
      </c>
      <c r="J32" s="289">
        <f t="shared" si="11"/>
        <v>1264027.2239999999</v>
      </c>
      <c r="K32" s="289">
        <f t="shared" si="12"/>
        <v>1339934.142</v>
      </c>
      <c r="L32" s="166">
        <f t="shared" si="8"/>
        <v>6</v>
      </c>
      <c r="M32" s="23">
        <f>IFERROR(100/'Skjema total MA'!I32*K32,0)</f>
        <v>22.409913510069035</v>
      </c>
    </row>
    <row r="33" spans="1:14" ht="15.75" x14ac:dyDescent="0.2">
      <c r="A33" s="562" t="s">
        <v>374</v>
      </c>
      <c r="B33" s="280"/>
      <c r="C33" s="280"/>
      <c r="D33" s="166"/>
      <c r="E33" s="11"/>
      <c r="F33" s="289">
        <v>533012.08600000001</v>
      </c>
      <c r="G33" s="289">
        <v>958797.03099999996</v>
      </c>
      <c r="H33" s="166">
        <f t="shared" si="6"/>
        <v>79.900000000000006</v>
      </c>
      <c r="I33" s="366">
        <f>IFERROR(100/'Skjema total MA'!F34*G33,0)</f>
        <v>1690.7282580296126</v>
      </c>
      <c r="J33" s="289">
        <f t="shared" si="11"/>
        <v>533012.08600000001</v>
      </c>
      <c r="K33" s="289">
        <f t="shared" si="12"/>
        <v>958797.03099999996</v>
      </c>
      <c r="L33" s="166">
        <f t="shared" si="8"/>
        <v>79.900000000000006</v>
      </c>
      <c r="M33" s="23">
        <f>IFERROR(100/'Skjema total MA'!I34*K33,0)</f>
        <v>1221.0571989443656</v>
      </c>
    </row>
    <row r="34" spans="1:14" ht="15.75" x14ac:dyDescent="0.2">
      <c r="A34" s="13" t="s">
        <v>369</v>
      </c>
      <c r="B34" s="235">
        <v>3565.4290000000001</v>
      </c>
      <c r="C34" s="308">
        <v>5272.8789999999999</v>
      </c>
      <c r="D34" s="171">
        <f t="shared" si="5"/>
        <v>47.9</v>
      </c>
      <c r="E34" s="11">
        <f>IFERROR(100/'Skjema total MA'!C34*C34,0)</f>
        <v>24.173366949128216</v>
      </c>
      <c r="F34" s="307">
        <v>13587.5</v>
      </c>
      <c r="G34" s="308">
        <v>10953.87</v>
      </c>
      <c r="H34" s="171">
        <f t="shared" si="6"/>
        <v>-19.399999999999999</v>
      </c>
      <c r="I34" s="11">
        <f>IFERROR(100/'Skjema total MA'!F34*G34,0)</f>
        <v>19.31588954178023</v>
      </c>
      <c r="J34" s="235">
        <f t="shared" si="7"/>
        <v>17152.929</v>
      </c>
      <c r="K34" s="235">
        <f t="shared" si="7"/>
        <v>16226.749</v>
      </c>
      <c r="L34" s="375">
        <f t="shared" si="8"/>
        <v>-5.4</v>
      </c>
      <c r="M34" s="24">
        <f>IFERROR(100/'Skjema total MA'!I34*K34,0)</f>
        <v>20.665258695313259</v>
      </c>
    </row>
    <row r="35" spans="1:14" ht="15.75" x14ac:dyDescent="0.2">
      <c r="A35" s="13" t="s">
        <v>370</v>
      </c>
      <c r="B35" s="235">
        <v>1385.499</v>
      </c>
      <c r="C35" s="308">
        <v>860.14099999999996</v>
      </c>
      <c r="D35" s="171">
        <f t="shared" si="5"/>
        <v>-37.9</v>
      </c>
      <c r="E35" s="11">
        <f>IFERROR(100/'Skjema total MA'!C35*C35,0)</f>
        <v>-5.7358217375307854</v>
      </c>
      <c r="F35" s="307">
        <v>11333.645</v>
      </c>
      <c r="G35" s="308">
        <v>16398.353999999999</v>
      </c>
      <c r="H35" s="171">
        <f t="shared" si="6"/>
        <v>44.7</v>
      </c>
      <c r="I35" s="11">
        <f>IFERROR(100/'Skjema total MA'!F35*G35,0)</f>
        <v>18.632012284919693</v>
      </c>
      <c r="J35" s="235">
        <f t="shared" si="7"/>
        <v>12719.144</v>
      </c>
      <c r="K35" s="235">
        <f t="shared" si="7"/>
        <v>17258.494999999999</v>
      </c>
      <c r="L35" s="375">
        <f t="shared" si="8"/>
        <v>35.700000000000003</v>
      </c>
      <c r="M35" s="24">
        <f>IFERROR(100/'Skjema total MA'!I35*K35,0)</f>
        <v>23.636668869815942</v>
      </c>
    </row>
    <row r="36" spans="1:14" ht="15.75" x14ac:dyDescent="0.2">
      <c r="A36" s="12" t="s">
        <v>287</v>
      </c>
      <c r="B36" s="235">
        <v>48.576000000000001</v>
      </c>
      <c r="C36" s="308">
        <v>52.220999999999997</v>
      </c>
      <c r="D36" s="171">
        <f t="shared" si="5"/>
        <v>7.5</v>
      </c>
      <c r="E36" s="11">
        <f>100/'Skjema total MA'!C36*C36</f>
        <v>2.2901727507991549</v>
      </c>
      <c r="F36" s="318"/>
      <c r="G36" s="319"/>
      <c r="H36" s="171"/>
      <c r="I36" s="381"/>
      <c r="J36" s="235">
        <f t="shared" ref="J36:J37" si="13">SUM(B36,F36)</f>
        <v>48.576000000000001</v>
      </c>
      <c r="K36" s="235">
        <f t="shared" ref="K36:K37" si="14">SUM(C36,G36)</f>
        <v>52.220999999999997</v>
      </c>
      <c r="L36" s="166">
        <f t="shared" si="8"/>
        <v>7.5</v>
      </c>
      <c r="M36" s="24">
        <f>IFERROR(100/'Skjema total MA'!I36*K36,0)</f>
        <v>2.2901727507991549</v>
      </c>
    </row>
    <row r="37" spans="1:14" ht="15.75" x14ac:dyDescent="0.2">
      <c r="A37" s="12" t="s">
        <v>376</v>
      </c>
      <c r="B37" s="235">
        <v>478115.12099999998</v>
      </c>
      <c r="C37" s="308">
        <v>462809.01500000001</v>
      </c>
      <c r="D37" s="171">
        <f t="shared" si="5"/>
        <v>-3.2</v>
      </c>
      <c r="E37" s="11">
        <f>100/'Skjema total MA'!C37*C37</f>
        <v>12.387599396420356</v>
      </c>
      <c r="F37" s="318"/>
      <c r="G37" s="320"/>
      <c r="H37" s="171"/>
      <c r="I37" s="381"/>
      <c r="J37" s="235">
        <f t="shared" si="13"/>
        <v>478115.12099999998</v>
      </c>
      <c r="K37" s="235">
        <f t="shared" si="14"/>
        <v>462809.01500000001</v>
      </c>
      <c r="L37" s="166">
        <f t="shared" si="8"/>
        <v>-3.2</v>
      </c>
      <c r="M37" s="24">
        <f>IFERROR(100/'Skjema total MA'!I37*K37,0)</f>
        <v>12.387599396420356</v>
      </c>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710254.12400000007</v>
      </c>
      <c r="C47" s="310">
        <v>639691.64999999991</v>
      </c>
      <c r="D47" s="374">
        <f t="shared" ref="D47:D57" si="15">IF(B47=0, "    ---- ", IF(ABS(ROUND(100/B47*C47-100,1))&lt;999,ROUND(100/B47*C47-100,1),IF(ROUND(100/B47*C47-100,1)&gt;999,999,-999)))</f>
        <v>-9.9</v>
      </c>
      <c r="E47" s="11">
        <f>IFERROR(100/'Skjema total MA'!C47*C47,0)</f>
        <v>16.718338432626219</v>
      </c>
      <c r="F47" s="145"/>
      <c r="G47" s="33"/>
      <c r="H47" s="159"/>
      <c r="I47" s="159"/>
      <c r="J47" s="37"/>
      <c r="K47" s="37"/>
      <c r="L47" s="159"/>
      <c r="M47" s="159"/>
      <c r="N47" s="148"/>
    </row>
    <row r="48" spans="1:14" s="3" customFormat="1" ht="15.75" x14ac:dyDescent="0.2">
      <c r="A48" s="38" t="s">
        <v>379</v>
      </c>
      <c r="B48" s="280">
        <v>396722.141</v>
      </c>
      <c r="C48" s="281">
        <v>333992.77399999998</v>
      </c>
      <c r="D48" s="253">
        <f t="shared" si="15"/>
        <v>-15.8</v>
      </c>
      <c r="E48" s="27">
        <f>IFERROR(100/'Skjema total MA'!C48*C48,0)</f>
        <v>15.420311013063372</v>
      </c>
      <c r="F48" s="145"/>
      <c r="G48" s="33"/>
      <c r="H48" s="145"/>
      <c r="I48" s="145"/>
      <c r="J48" s="33"/>
      <c r="K48" s="33"/>
      <c r="L48" s="159"/>
      <c r="M48" s="159"/>
      <c r="N48" s="148"/>
    </row>
    <row r="49" spans="1:14" s="3" customFormat="1" ht="15.75" x14ac:dyDescent="0.2">
      <c r="A49" s="38" t="s">
        <v>380</v>
      </c>
      <c r="B49" s="44">
        <v>313531.98300000001</v>
      </c>
      <c r="C49" s="286">
        <v>305698.87599999999</v>
      </c>
      <c r="D49" s="253">
        <f>IF(B49=0, "    ---- ", IF(ABS(ROUND(100/B49*C49-100,1))&lt;999,ROUND(100/B49*C49-100,1),IF(ROUND(100/B49*C49-100,1)&gt;999,999,-999)))</f>
        <v>-2.5</v>
      </c>
      <c r="E49" s="27">
        <f>IFERROR(100/'Skjema total MA'!C49*C49,0)</f>
        <v>18.411606193382092</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3590.0520000000001</v>
      </c>
      <c r="C53" s="310">
        <v>7626.4530000000004</v>
      </c>
      <c r="D53" s="375">
        <f t="shared" si="15"/>
        <v>112.4</v>
      </c>
      <c r="E53" s="11">
        <f>IFERROR(100/'Skjema total MA'!C53*C53,0)</f>
        <v>3.3515457299798377</v>
      </c>
      <c r="F53" s="145"/>
      <c r="G53" s="33"/>
      <c r="H53" s="145"/>
      <c r="I53" s="145"/>
      <c r="J53" s="33"/>
      <c r="K53" s="33"/>
      <c r="L53" s="159"/>
      <c r="M53" s="159"/>
      <c r="N53" s="148"/>
    </row>
    <row r="54" spans="1:14" s="3" customFormat="1" ht="15.75" x14ac:dyDescent="0.2">
      <c r="A54" s="38" t="s">
        <v>379</v>
      </c>
      <c r="B54" s="280">
        <v>3590.0520000000001</v>
      </c>
      <c r="C54" s="281">
        <v>7626.4530000000004</v>
      </c>
      <c r="D54" s="253">
        <f t="shared" si="15"/>
        <v>112.4</v>
      </c>
      <c r="E54" s="27">
        <f>IFERROR(100/'Skjema total MA'!C54*C54,0)</f>
        <v>5.5292809475450104</v>
      </c>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v>4332.1890000000003</v>
      </c>
      <c r="C56" s="310">
        <v>5196.3689999999997</v>
      </c>
      <c r="D56" s="375">
        <f t="shared" si="15"/>
        <v>19.899999999999999</v>
      </c>
      <c r="E56" s="11">
        <f>IFERROR(100/'Skjema total MA'!C56*C56,0)</f>
        <v>3.0972732406685366</v>
      </c>
      <c r="F56" s="145"/>
      <c r="G56" s="33"/>
      <c r="H56" s="145"/>
      <c r="I56" s="145"/>
      <c r="J56" s="33"/>
      <c r="K56" s="33"/>
      <c r="L56" s="159"/>
      <c r="M56" s="159"/>
      <c r="N56" s="148"/>
    </row>
    <row r="57" spans="1:14" s="3" customFormat="1" ht="15.75" x14ac:dyDescent="0.2">
      <c r="A57" s="38" t="s">
        <v>379</v>
      </c>
      <c r="B57" s="280">
        <v>4332.1890000000003</v>
      </c>
      <c r="C57" s="281">
        <v>5196.3689999999997</v>
      </c>
      <c r="D57" s="253">
        <f t="shared" si="15"/>
        <v>19.899999999999999</v>
      </c>
      <c r="E57" s="27">
        <f>IFERROR(100/'Skjema total MA'!C57*C57,0)</f>
        <v>5.1357757820220007</v>
      </c>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v>3096347.7860000003</v>
      </c>
      <c r="C66" s="353">
        <v>3060622.8039999995</v>
      </c>
      <c r="D66" s="350">
        <f t="shared" ref="D66:D111" si="16">IF(B66=0, "    ---- ", IF(ABS(ROUND(100/B66*C66-100,1))&lt;999,ROUND(100/B66*C66-100,1),IF(ROUND(100/B66*C66-100,1)&gt;999,999,-999)))</f>
        <v>-1.2</v>
      </c>
      <c r="E66" s="11">
        <f>IFERROR(100/'Skjema total MA'!C66*C66,0)</f>
        <v>43.040799270770712</v>
      </c>
      <c r="F66" s="352">
        <v>6743757.25</v>
      </c>
      <c r="G66" s="352">
        <v>7010087.9040000001</v>
      </c>
      <c r="H66" s="350">
        <f t="shared" ref="H66:H111" si="17">IF(F66=0, "    ---- ", IF(ABS(ROUND(100/F66*G66-100,1))&lt;999,ROUND(100/F66*G66-100,1),IF(ROUND(100/F66*G66-100,1)&gt;999,999,-999)))</f>
        <v>3.9</v>
      </c>
      <c r="I66" s="11">
        <f>IFERROR(100/'Skjema total MA'!F66*G66,0)</f>
        <v>29.470639678197802</v>
      </c>
      <c r="J66" s="308">
        <f t="shared" ref="J66:K86" si="18">SUM(B66,F66)</f>
        <v>9840105.0360000003</v>
      </c>
      <c r="K66" s="315">
        <f t="shared" si="18"/>
        <v>10070710.708000001</v>
      </c>
      <c r="L66" s="375">
        <f t="shared" ref="L66:L111" si="19">IF(J66=0, "    ---- ", IF(ABS(ROUND(100/J66*K66-100,1))&lt;999,ROUND(100/J66*K66-100,1),IF(ROUND(100/J66*K66-100,1)&gt;999,999,-999)))</f>
        <v>2.2999999999999998</v>
      </c>
      <c r="M66" s="11">
        <f>IFERROR(100/'Skjema total MA'!I66*K66,0)</f>
        <v>32.593760508289336</v>
      </c>
    </row>
    <row r="67" spans="1:14" x14ac:dyDescent="0.2">
      <c r="A67" s="368" t="s">
        <v>9</v>
      </c>
      <c r="B67" s="44">
        <v>2332449.83</v>
      </c>
      <c r="C67" s="145">
        <v>2271040.4759999998</v>
      </c>
      <c r="D67" s="166">
        <f t="shared" si="16"/>
        <v>-2.6</v>
      </c>
      <c r="E67" s="27">
        <f>IFERROR(100/'Skjema total MA'!C67*C67,0)</f>
        <v>41.780376317316062</v>
      </c>
      <c r="F67" s="233"/>
      <c r="G67" s="145"/>
      <c r="H67" s="166"/>
      <c r="I67" s="27"/>
      <c r="J67" s="286">
        <f t="shared" si="18"/>
        <v>2332449.83</v>
      </c>
      <c r="K67" s="44">
        <f t="shared" si="18"/>
        <v>2271040.4759999998</v>
      </c>
      <c r="L67" s="253">
        <f t="shared" si="19"/>
        <v>-2.6</v>
      </c>
      <c r="M67" s="27">
        <f>IFERROR(100/'Skjema total MA'!I67*K67,0)</f>
        <v>41.780376317316062</v>
      </c>
    </row>
    <row r="68" spans="1:14" x14ac:dyDescent="0.2">
      <c r="A68" s="21" t="s">
        <v>10</v>
      </c>
      <c r="B68" s="291"/>
      <c r="C68" s="292"/>
      <c r="D68" s="166"/>
      <c r="E68" s="27"/>
      <c r="F68" s="291">
        <v>6608148.4129999997</v>
      </c>
      <c r="G68" s="292">
        <v>6869632.1979999999</v>
      </c>
      <c r="H68" s="166">
        <f t="shared" si="17"/>
        <v>4</v>
      </c>
      <c r="I68" s="27">
        <f>IFERROR(100/'Skjema total MA'!F68*G68,0)</f>
        <v>29.269184051498744</v>
      </c>
      <c r="J68" s="286">
        <f t="shared" si="18"/>
        <v>6608148.4129999997</v>
      </c>
      <c r="K68" s="44">
        <f t="shared" si="18"/>
        <v>6869632.1979999999</v>
      </c>
      <c r="L68" s="253">
        <f t="shared" si="19"/>
        <v>4</v>
      </c>
      <c r="M68" s="27">
        <f>IFERROR(100/'Skjema total MA'!I68*K68,0)</f>
        <v>29.107106562592875</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v>55615.222000000002</v>
      </c>
      <c r="C75" s="145">
        <v>69015.554000000004</v>
      </c>
      <c r="D75" s="166">
        <f t="shared" si="16"/>
        <v>24.1</v>
      </c>
      <c r="E75" s="27">
        <f>IFERROR(100/'Skjema total MA'!C75*C75,0)</f>
        <v>23.342850442539479</v>
      </c>
      <c r="F75" s="233">
        <v>135608.837</v>
      </c>
      <c r="G75" s="145">
        <v>140455.70600000001</v>
      </c>
      <c r="H75" s="166">
        <f t="shared" si="17"/>
        <v>3.6</v>
      </c>
      <c r="I75" s="27">
        <f>IFERROR(100/'Skjema total MA'!F75*G75,0)</f>
        <v>44.426166939377708</v>
      </c>
      <c r="J75" s="286">
        <f t="shared" si="18"/>
        <v>191224.05900000001</v>
      </c>
      <c r="K75" s="44">
        <f t="shared" si="18"/>
        <v>209471.26</v>
      </c>
      <c r="L75" s="253">
        <f t="shared" si="19"/>
        <v>9.5</v>
      </c>
      <c r="M75" s="27">
        <f>IFERROR(100/'Skjema total MA'!I75*K75,0)</f>
        <v>34.237640049823753</v>
      </c>
      <c r="N75" s="148"/>
    </row>
    <row r="76" spans="1:14" s="3" customFormat="1" x14ac:dyDescent="0.2">
      <c r="A76" s="21" t="s">
        <v>352</v>
      </c>
      <c r="B76" s="233">
        <v>708282.73400000005</v>
      </c>
      <c r="C76" s="145">
        <v>720566.77399999998</v>
      </c>
      <c r="D76" s="166">
        <f t="shared" ref="D76" si="20">IF(B76=0, "    ---- ", IF(ABS(ROUND(100/B76*C76-100,1))&lt;999,ROUND(100/B76*C76-100,1),IF(ROUND(100/B76*C76-100,1)&gt;999,999,-999)))</f>
        <v>1.7</v>
      </c>
      <c r="E76" s="27">
        <f>IFERROR(100/'Skjema total MA'!C77*C76,0)</f>
        <v>13.145792282289184</v>
      </c>
      <c r="F76" s="233"/>
      <c r="G76" s="145"/>
      <c r="H76" s="166"/>
      <c r="I76" s="27"/>
      <c r="J76" s="286">
        <f t="shared" ref="J76" si="21">SUM(B76,F76)</f>
        <v>708282.73400000005</v>
      </c>
      <c r="K76" s="44">
        <f t="shared" ref="K76" si="22">SUM(C76,G76)</f>
        <v>720566.77399999998</v>
      </c>
      <c r="L76" s="253">
        <f t="shared" ref="L76" si="23">IF(J76=0, "    ---- ", IF(ABS(ROUND(100/J76*K76-100,1))&lt;999,ROUND(100/J76*K76-100,1),IF(ROUND(100/J76*K76-100,1)&gt;999,999,-999)))</f>
        <v>1.7</v>
      </c>
      <c r="M76" s="27">
        <f>IFERROR(100/'Skjema total MA'!I77*K76,0)</f>
        <v>2.4896992229739188</v>
      </c>
      <c r="N76" s="148"/>
    </row>
    <row r="77" spans="1:14" ht="15.75" x14ac:dyDescent="0.2">
      <c r="A77" s="21" t="s">
        <v>385</v>
      </c>
      <c r="B77" s="233">
        <v>2262734.3790000002</v>
      </c>
      <c r="C77" s="233">
        <v>2195420.5260000001</v>
      </c>
      <c r="D77" s="166">
        <f t="shared" si="16"/>
        <v>-3</v>
      </c>
      <c r="E77" s="27">
        <f>IFERROR(100/'Skjema total MA'!C77*C77,0)</f>
        <v>40.052557581665653</v>
      </c>
      <c r="F77" s="233">
        <v>6608148.4129999997</v>
      </c>
      <c r="G77" s="145">
        <v>6869632.1979999999</v>
      </c>
      <c r="H77" s="166">
        <f t="shared" si="17"/>
        <v>4</v>
      </c>
      <c r="I77" s="27">
        <f>IFERROR(100/'Skjema total MA'!F77*G77,0)</f>
        <v>29.281606347943221</v>
      </c>
      <c r="J77" s="286">
        <f t="shared" si="18"/>
        <v>8870882.7919999994</v>
      </c>
      <c r="K77" s="44">
        <f t="shared" si="18"/>
        <v>9065052.7239999995</v>
      </c>
      <c r="L77" s="253">
        <f t="shared" si="19"/>
        <v>2.2000000000000002</v>
      </c>
      <c r="M77" s="27">
        <f>IFERROR(100/'Skjema total MA'!I77*K77,0)</f>
        <v>31.321531241128813</v>
      </c>
    </row>
    <row r="78" spans="1:14" x14ac:dyDescent="0.2">
      <c r="A78" s="21" t="s">
        <v>9</v>
      </c>
      <c r="B78" s="233">
        <v>2262734.3790000002</v>
      </c>
      <c r="C78" s="145">
        <v>2195420.5260000001</v>
      </c>
      <c r="D78" s="166">
        <f t="shared" si="16"/>
        <v>-3</v>
      </c>
      <c r="E78" s="27">
        <f>IFERROR(100/'Skjema total MA'!C78*C78,0)</f>
        <v>41.007453861415023</v>
      </c>
      <c r="F78" s="233"/>
      <c r="G78" s="145"/>
      <c r="H78" s="166"/>
      <c r="I78" s="27"/>
      <c r="J78" s="286">
        <f t="shared" si="18"/>
        <v>2262734.3790000002</v>
      </c>
      <c r="K78" s="44">
        <f t="shared" si="18"/>
        <v>2195420.5260000001</v>
      </c>
      <c r="L78" s="253">
        <f t="shared" si="19"/>
        <v>-3</v>
      </c>
      <c r="M78" s="27">
        <f>IFERROR(100/'Skjema total MA'!I78*K78,0)</f>
        <v>41.007453861415023</v>
      </c>
    </row>
    <row r="79" spans="1:14" x14ac:dyDescent="0.2">
      <c r="A79" s="21" t="s">
        <v>10</v>
      </c>
      <c r="B79" s="291"/>
      <c r="C79" s="292"/>
      <c r="D79" s="166"/>
      <c r="E79" s="27"/>
      <c r="F79" s="291">
        <v>6608148.4129999997</v>
      </c>
      <c r="G79" s="292">
        <v>6869632.1979999999</v>
      </c>
      <c r="H79" s="166">
        <f t="shared" si="17"/>
        <v>4</v>
      </c>
      <c r="I79" s="27">
        <f>IFERROR(100/'Skjema total MA'!F79*G79,0)</f>
        <v>29.281606347943221</v>
      </c>
      <c r="J79" s="286">
        <f t="shared" si="18"/>
        <v>6608148.4129999997</v>
      </c>
      <c r="K79" s="44">
        <f t="shared" si="18"/>
        <v>6869632.1979999999</v>
      </c>
      <c r="L79" s="253">
        <f t="shared" si="19"/>
        <v>4</v>
      </c>
      <c r="M79" s="27">
        <f>IFERROR(100/'Skjema total MA'!I79*K79,0)</f>
        <v>29.123160530381529</v>
      </c>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v>69715.451000000001</v>
      </c>
      <c r="C86" s="145">
        <v>75619.95</v>
      </c>
      <c r="D86" s="166">
        <f t="shared" si="16"/>
        <v>8.5</v>
      </c>
      <c r="E86" s="27">
        <f>IFERROR(100/'Skjema total MA'!C86*C86,0)</f>
        <v>88.959466478128633</v>
      </c>
      <c r="F86" s="233"/>
      <c r="G86" s="145"/>
      <c r="H86" s="166"/>
      <c r="I86" s="27"/>
      <c r="J86" s="286">
        <f t="shared" si="18"/>
        <v>69715.451000000001</v>
      </c>
      <c r="K86" s="44">
        <f t="shared" si="18"/>
        <v>75619.95</v>
      </c>
      <c r="L86" s="253">
        <f t="shared" si="19"/>
        <v>8.5</v>
      </c>
      <c r="M86" s="27">
        <f>IFERROR(100/'Skjema total MA'!I86*K86,0)</f>
        <v>79.631815987650128</v>
      </c>
    </row>
    <row r="87" spans="1:13" ht="15.75" x14ac:dyDescent="0.2">
      <c r="A87" s="13" t="s">
        <v>368</v>
      </c>
      <c r="B87" s="353">
        <v>163366272.35999998</v>
      </c>
      <c r="C87" s="353">
        <v>163890535.31600001</v>
      </c>
      <c r="D87" s="171">
        <f t="shared" si="16"/>
        <v>0.3</v>
      </c>
      <c r="E87" s="11">
        <f>IFERROR(100/'Skjema total MA'!C87*C87,0)</f>
        <v>41.991869905346405</v>
      </c>
      <c r="F87" s="352">
        <v>86831996.410999998</v>
      </c>
      <c r="G87" s="352">
        <v>95961217.671000004</v>
      </c>
      <c r="H87" s="171">
        <f t="shared" si="17"/>
        <v>10.5</v>
      </c>
      <c r="I87" s="11">
        <f>IFERROR(100/'Skjema total MA'!F87*G87,0)</f>
        <v>32.584381676409023</v>
      </c>
      <c r="J87" s="308">
        <f t="shared" ref="J87:K111" si="24">SUM(B87,F87)</f>
        <v>250198268.77099997</v>
      </c>
      <c r="K87" s="235">
        <f t="shared" si="24"/>
        <v>259851752.98700002</v>
      </c>
      <c r="L87" s="375">
        <f t="shared" si="19"/>
        <v>3.9</v>
      </c>
      <c r="M87" s="11">
        <f>IFERROR(100/'Skjema total MA'!I87*K87,0)</f>
        <v>37.946097761386433</v>
      </c>
    </row>
    <row r="88" spans="1:13" x14ac:dyDescent="0.2">
      <c r="A88" s="21" t="s">
        <v>9</v>
      </c>
      <c r="B88" s="233">
        <v>158962569.58899999</v>
      </c>
      <c r="C88" s="145">
        <v>159310363.61499998</v>
      </c>
      <c r="D88" s="166">
        <f t="shared" si="16"/>
        <v>0.2</v>
      </c>
      <c r="E88" s="27">
        <f>IFERROR(100/'Skjema total MA'!C88*C88,0)</f>
        <v>41.831596257565494</v>
      </c>
      <c r="F88" s="233"/>
      <c r="G88" s="145"/>
      <c r="H88" s="166"/>
      <c r="I88" s="27"/>
      <c r="J88" s="286">
        <f t="shared" si="24"/>
        <v>158962569.58899999</v>
      </c>
      <c r="K88" s="44">
        <f t="shared" si="24"/>
        <v>159310363.61499998</v>
      </c>
      <c r="L88" s="253">
        <f t="shared" si="19"/>
        <v>0.2</v>
      </c>
      <c r="M88" s="27">
        <f>IFERROR(100/'Skjema total MA'!I88*K88,0)</f>
        <v>41.831596257565494</v>
      </c>
    </row>
    <row r="89" spans="1:13" x14ac:dyDescent="0.2">
      <c r="A89" s="21" t="s">
        <v>10</v>
      </c>
      <c r="B89" s="233">
        <v>80264.822</v>
      </c>
      <c r="C89" s="145">
        <v>48571.762999999999</v>
      </c>
      <c r="D89" s="166">
        <f t="shared" si="16"/>
        <v>-39.5</v>
      </c>
      <c r="E89" s="27">
        <f>IFERROR(100/'Skjema total MA'!C89*C89,0)</f>
        <v>1.6012341953205955</v>
      </c>
      <c r="F89" s="233">
        <v>86433400.950000003</v>
      </c>
      <c r="G89" s="145">
        <v>95413276.042999998</v>
      </c>
      <c r="H89" s="166">
        <f t="shared" si="17"/>
        <v>10.4</v>
      </c>
      <c r="I89" s="27">
        <f>IFERROR(100/'Skjema total MA'!F89*G89,0)</f>
        <v>32.552593321090768</v>
      </c>
      <c r="J89" s="286">
        <f t="shared" si="24"/>
        <v>86513665.772</v>
      </c>
      <c r="K89" s="44">
        <f t="shared" si="24"/>
        <v>95461847.805999994</v>
      </c>
      <c r="L89" s="253">
        <f t="shared" si="19"/>
        <v>10.3</v>
      </c>
      <c r="M89" s="27">
        <f>IFERROR(100/'Skjema total MA'!I89*K89,0)</f>
        <v>32.235553343592215</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v>164238.73000000001</v>
      </c>
      <c r="C96" s="145">
        <v>199805.30499999999</v>
      </c>
      <c r="D96" s="166">
        <f t="shared" si="16"/>
        <v>21.7</v>
      </c>
      <c r="E96" s="27">
        <f>IFERROR(100/'Skjema total MA'!C96*C96,0)</f>
        <v>16.075924479495509</v>
      </c>
      <c r="F96" s="233">
        <v>398595.46100000001</v>
      </c>
      <c r="G96" s="145">
        <v>547941.62800000003</v>
      </c>
      <c r="H96" s="166">
        <f t="shared" si="17"/>
        <v>37.5</v>
      </c>
      <c r="I96" s="27">
        <f>IFERROR(100/'Skjema total MA'!F96*G96,0)</f>
        <v>39.260292171687681</v>
      </c>
      <c r="J96" s="286">
        <f t="shared" si="24"/>
        <v>562834.19099999999</v>
      </c>
      <c r="K96" s="44">
        <f t="shared" si="24"/>
        <v>747746.93299999996</v>
      </c>
      <c r="L96" s="253">
        <f t="shared" si="19"/>
        <v>32.9</v>
      </c>
      <c r="M96" s="27">
        <f>IFERROR(100/'Skjema total MA'!I96*K96,0)</f>
        <v>28.339323670071007</v>
      </c>
    </row>
    <row r="97" spans="1:13" x14ac:dyDescent="0.2">
      <c r="A97" s="21" t="s">
        <v>350</v>
      </c>
      <c r="B97" s="233">
        <v>4159199.219</v>
      </c>
      <c r="C97" s="145">
        <v>4331794.6330000004</v>
      </c>
      <c r="D97" s="166">
        <f t="shared" ref="D97" si="25">IF(B97=0, "    ---- ", IF(ABS(ROUND(100/B97*C97-100,1))&lt;999,ROUND(100/B97*C97-100,1),IF(ROUND(100/B97*C97-100,1)&gt;999,999,-999)))</f>
        <v>4.0999999999999996</v>
      </c>
      <c r="E97" s="27">
        <f>IFERROR(100/'Skjema total MA'!C98*C97,0)</f>
        <v>1.142546256293046</v>
      </c>
      <c r="F97" s="233"/>
      <c r="G97" s="145"/>
      <c r="H97" s="166"/>
      <c r="I97" s="27"/>
      <c r="J97" s="286">
        <f t="shared" ref="J97" si="26">SUM(B97,F97)</f>
        <v>4159199.219</v>
      </c>
      <c r="K97" s="44">
        <f t="shared" ref="K97" si="27">SUM(C97,G97)</f>
        <v>4331794.6330000004</v>
      </c>
      <c r="L97" s="253">
        <f t="shared" ref="L97" si="28">IF(J97=0, "    ---- ", IF(ABS(ROUND(100/J97*K97-100,1))&lt;999,ROUND(100/J97*K97-100,1),IF(ROUND(100/J97*K97-100,1)&gt;999,999,-999)))</f>
        <v>4.0999999999999996</v>
      </c>
      <c r="M97" s="27">
        <f>IFERROR(100/'Skjema total MA'!I98*K97,0)</f>
        <v>0.64515921271336563</v>
      </c>
    </row>
    <row r="98" spans="1:13" ht="15.75" x14ac:dyDescent="0.2">
      <c r="A98" s="21" t="s">
        <v>385</v>
      </c>
      <c r="B98" s="233">
        <v>155593238.94099998</v>
      </c>
      <c r="C98" s="233">
        <v>156058521.91000003</v>
      </c>
      <c r="D98" s="166">
        <f t="shared" si="16"/>
        <v>0.3</v>
      </c>
      <c r="E98" s="27">
        <f>IFERROR(100/'Skjema total MA'!C98*C98,0)</f>
        <v>41.161711271480954</v>
      </c>
      <c r="F98" s="291">
        <v>86433400.950000003</v>
      </c>
      <c r="G98" s="291">
        <v>95413276.042999998</v>
      </c>
      <c r="H98" s="166">
        <f t="shared" si="17"/>
        <v>10.4</v>
      </c>
      <c r="I98" s="27">
        <f>IFERROR(100/'Skjema total MA'!F98*G98,0)</f>
        <v>32.642782822152014</v>
      </c>
      <c r="J98" s="286">
        <f t="shared" si="24"/>
        <v>242026639.89099997</v>
      </c>
      <c r="K98" s="44">
        <f t="shared" si="24"/>
        <v>251471797.95300001</v>
      </c>
      <c r="L98" s="253">
        <f t="shared" si="19"/>
        <v>3.9</v>
      </c>
      <c r="M98" s="27">
        <f>IFERROR(100/'Skjema total MA'!I98*K98,0)</f>
        <v>37.453148390511892</v>
      </c>
    </row>
    <row r="99" spans="1:13" x14ac:dyDescent="0.2">
      <c r="A99" s="21" t="s">
        <v>9</v>
      </c>
      <c r="B99" s="291">
        <v>155512974.11899999</v>
      </c>
      <c r="C99" s="292">
        <v>156009950.14699998</v>
      </c>
      <c r="D99" s="166">
        <f t="shared" si="16"/>
        <v>0.3</v>
      </c>
      <c r="E99" s="27">
        <f>IFERROR(100/'Skjema total MA'!C99*C99,0)</f>
        <v>41.480780670684723</v>
      </c>
      <c r="F99" s="233"/>
      <c r="G99" s="145"/>
      <c r="H99" s="166"/>
      <c r="I99" s="27"/>
      <c r="J99" s="286">
        <f t="shared" si="24"/>
        <v>155512974.11899999</v>
      </c>
      <c r="K99" s="44">
        <f t="shared" si="24"/>
        <v>156009950.14699998</v>
      </c>
      <c r="L99" s="253">
        <f t="shared" si="19"/>
        <v>0.3</v>
      </c>
      <c r="M99" s="27">
        <f>IFERROR(100/'Skjema total MA'!I99*K99,0)</f>
        <v>41.480780670684723</v>
      </c>
    </row>
    <row r="100" spans="1:13" x14ac:dyDescent="0.2">
      <c r="A100" s="21" t="s">
        <v>10</v>
      </c>
      <c r="B100" s="291">
        <v>80264.822</v>
      </c>
      <c r="C100" s="292">
        <v>48571.762999999999</v>
      </c>
      <c r="D100" s="166">
        <f t="shared" si="16"/>
        <v>-39.5</v>
      </c>
      <c r="E100" s="27">
        <f>IFERROR(100/'Skjema total MA'!C100*C100,0)</f>
        <v>1.6012341953205955</v>
      </c>
      <c r="F100" s="233">
        <v>86433400.950000003</v>
      </c>
      <c r="G100" s="233">
        <v>95413276.042999998</v>
      </c>
      <c r="H100" s="166">
        <f t="shared" si="17"/>
        <v>10.4</v>
      </c>
      <c r="I100" s="27">
        <f>IFERROR(100/'Skjema total MA'!F100*G100,0)</f>
        <v>32.642782822152014</v>
      </c>
      <c r="J100" s="286">
        <f t="shared" si="24"/>
        <v>86513665.772</v>
      </c>
      <c r="K100" s="44">
        <f t="shared" si="24"/>
        <v>95461847.805999994</v>
      </c>
      <c r="L100" s="253">
        <f t="shared" si="19"/>
        <v>10.3</v>
      </c>
      <c r="M100" s="27">
        <f>IFERROR(100/'Skjema total MA'!I100*K100,0)</f>
        <v>32.323947123280625</v>
      </c>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v>3449595.47</v>
      </c>
      <c r="C107" s="145">
        <v>3300413.4679999999</v>
      </c>
      <c r="D107" s="166">
        <f t="shared" si="16"/>
        <v>-4.3</v>
      </c>
      <c r="E107" s="27">
        <f>IFERROR(100/'Skjema total MA'!C107*C107,0)</f>
        <v>69.693221564669898</v>
      </c>
      <c r="F107" s="233"/>
      <c r="G107" s="145"/>
      <c r="H107" s="166"/>
      <c r="I107" s="27"/>
      <c r="J107" s="286">
        <f t="shared" si="24"/>
        <v>3449595.47</v>
      </c>
      <c r="K107" s="44">
        <f t="shared" si="24"/>
        <v>3300413.4679999999</v>
      </c>
      <c r="L107" s="253">
        <f t="shared" si="19"/>
        <v>-4.3</v>
      </c>
      <c r="M107" s="27">
        <f>IFERROR(100/'Skjema total MA'!I107*K107,0)</f>
        <v>59.515625390601819</v>
      </c>
    </row>
    <row r="108" spans="1:13" ht="15.75" x14ac:dyDescent="0.2">
      <c r="A108" s="21" t="s">
        <v>387</v>
      </c>
      <c r="B108" s="233">
        <v>130956282.7</v>
      </c>
      <c r="C108" s="233">
        <v>132884622.057</v>
      </c>
      <c r="D108" s="166">
        <f t="shared" si="16"/>
        <v>1.5</v>
      </c>
      <c r="E108" s="27">
        <f>IFERROR(100/'Skjema total MA'!C108*C108,0)</f>
        <v>42.045081738430696</v>
      </c>
      <c r="F108" s="233">
        <v>15622645.932</v>
      </c>
      <c r="G108" s="233">
        <v>15871864.275</v>
      </c>
      <c r="H108" s="166">
        <f t="shared" si="17"/>
        <v>1.6</v>
      </c>
      <c r="I108" s="27">
        <f>IFERROR(100/'Skjema total MA'!F108*G108,0)</f>
        <v>96.19640932393861</v>
      </c>
      <c r="J108" s="286">
        <f t="shared" si="24"/>
        <v>146578928.632</v>
      </c>
      <c r="K108" s="44">
        <f t="shared" si="24"/>
        <v>148756486.33199999</v>
      </c>
      <c r="L108" s="253">
        <f t="shared" si="19"/>
        <v>1.5</v>
      </c>
      <c r="M108" s="27">
        <f>IFERROR(100/'Skjema total MA'!I108*K108,0)</f>
        <v>44.731777117669488</v>
      </c>
    </row>
    <row r="109" spans="1:13" ht="15.75" x14ac:dyDescent="0.2">
      <c r="A109" s="21" t="s">
        <v>388</v>
      </c>
      <c r="B109" s="233"/>
      <c r="C109" s="233"/>
      <c r="D109" s="166"/>
      <c r="E109" s="27"/>
      <c r="F109" s="233">
        <v>24982897.203000002</v>
      </c>
      <c r="G109" s="233">
        <v>29318003.734000001</v>
      </c>
      <c r="H109" s="166">
        <f t="shared" si="17"/>
        <v>17.399999999999999</v>
      </c>
      <c r="I109" s="27">
        <f>IFERROR(100/'Skjema total MA'!F109*G109,0)</f>
        <v>29.329116923332492</v>
      </c>
      <c r="J109" s="286">
        <f t="shared" si="24"/>
        <v>24982897.203000002</v>
      </c>
      <c r="K109" s="44">
        <f t="shared" si="24"/>
        <v>29318003.734000001</v>
      </c>
      <c r="L109" s="253">
        <f t="shared" si="19"/>
        <v>17.399999999999999</v>
      </c>
      <c r="M109" s="27">
        <f>IFERROR(100/'Skjema total MA'!I109*K109,0)</f>
        <v>29.044782974208278</v>
      </c>
    </row>
    <row r="110" spans="1:13" ht="15.75" x14ac:dyDescent="0.2">
      <c r="A110" s="21" t="s">
        <v>389</v>
      </c>
      <c r="B110" s="233">
        <v>33916.114999999998</v>
      </c>
      <c r="C110" s="233">
        <v>78702.42</v>
      </c>
      <c r="D110" s="166">
        <f t="shared" si="16"/>
        <v>132.1</v>
      </c>
      <c r="E110" s="27">
        <f>IFERROR(100/'Skjema total MA'!C110*C110,0)</f>
        <v>30.921782111383123</v>
      </c>
      <c r="F110" s="233"/>
      <c r="G110" s="233"/>
      <c r="H110" s="166"/>
      <c r="I110" s="27"/>
      <c r="J110" s="286">
        <f t="shared" si="24"/>
        <v>33916.114999999998</v>
      </c>
      <c r="K110" s="44">
        <f t="shared" si="24"/>
        <v>78702.42</v>
      </c>
      <c r="L110" s="253">
        <f t="shared" si="19"/>
        <v>132.1</v>
      </c>
      <c r="M110" s="27">
        <f>IFERROR(100/'Skjema total MA'!I110*K110,0)</f>
        <v>30.921782111383123</v>
      </c>
    </row>
    <row r="111" spans="1:13" ht="15.75" x14ac:dyDescent="0.2">
      <c r="A111" s="13" t="s">
        <v>369</v>
      </c>
      <c r="B111" s="307">
        <v>65861.044999999998</v>
      </c>
      <c r="C111" s="159">
        <v>68854.680999999997</v>
      </c>
      <c r="D111" s="171">
        <f t="shared" si="16"/>
        <v>4.5</v>
      </c>
      <c r="E111" s="11">
        <f>IFERROR(100/'Skjema total MA'!C111*C111,0)</f>
        <v>18.165516009276562</v>
      </c>
      <c r="F111" s="307">
        <v>1695339.703</v>
      </c>
      <c r="G111" s="159">
        <v>2304597.5389999999</v>
      </c>
      <c r="H111" s="171">
        <f t="shared" si="17"/>
        <v>35.9</v>
      </c>
      <c r="I111" s="11">
        <f>IFERROR(100/'Skjema total MA'!F111*G111,0)</f>
        <v>20.88249397429459</v>
      </c>
      <c r="J111" s="308">
        <f t="shared" si="24"/>
        <v>1761200.7479999999</v>
      </c>
      <c r="K111" s="235">
        <f t="shared" si="24"/>
        <v>2373452.2199999997</v>
      </c>
      <c r="L111" s="375">
        <f t="shared" si="19"/>
        <v>34.799999999999997</v>
      </c>
      <c r="M111" s="11">
        <f>IFERROR(100/'Skjema total MA'!I111*K111,0)</f>
        <v>20.792275934948872</v>
      </c>
    </row>
    <row r="112" spans="1:13" x14ac:dyDescent="0.2">
      <c r="A112" s="21" t="s">
        <v>9</v>
      </c>
      <c r="B112" s="233">
        <v>27196.940999999999</v>
      </c>
      <c r="C112" s="145">
        <v>12236.338</v>
      </c>
      <c r="D112" s="166">
        <f t="shared" ref="D112:D125" si="29">IF(B112=0, "    ---- ", IF(ABS(ROUND(100/B112*C112-100,1))&lt;999,ROUND(100/B112*C112-100,1),IF(ROUND(100/B112*C112-100,1)&gt;999,999,-999)))</f>
        <v>-55</v>
      </c>
      <c r="E112" s="27">
        <f>IFERROR(100/'Skjema total MA'!C112*C112,0)</f>
        <v>4.044962024153306</v>
      </c>
      <c r="F112" s="233">
        <v>1442.1869999999999</v>
      </c>
      <c r="G112" s="145">
        <v>5871.0330000000004</v>
      </c>
      <c r="H112" s="166">
        <f t="shared" ref="H112:H125" si="30">IF(F112=0, "    ---- ", IF(ABS(ROUND(100/F112*G112-100,1))&lt;999,ROUND(100/F112*G112-100,1),IF(ROUND(100/F112*G112-100,1)&gt;999,999,-999)))</f>
        <v>307.10000000000002</v>
      </c>
      <c r="I112" s="27">
        <f>IFERROR(100/'Skjema total MA'!F112*G112,0)</f>
        <v>100</v>
      </c>
      <c r="J112" s="286">
        <f t="shared" ref="J112:K125" si="31">SUM(B112,F112)</f>
        <v>28639.127999999997</v>
      </c>
      <c r="K112" s="44">
        <f t="shared" si="31"/>
        <v>18107.370999999999</v>
      </c>
      <c r="L112" s="253">
        <f t="shared" ref="L112:L125" si="32">IF(J112=0, "    ---- ", IF(ABS(ROUND(100/J112*K112-100,1))&lt;999,ROUND(100/J112*K112-100,1),IF(ROUND(100/J112*K112-100,1)&gt;999,999,-999)))</f>
        <v>-36.799999999999997</v>
      </c>
      <c r="M112" s="27">
        <f>IFERROR(100/'Skjema total MA'!I112*K112,0)</f>
        <v>5.8717885619222772</v>
      </c>
    </row>
    <row r="113" spans="1:14" x14ac:dyDescent="0.2">
      <c r="A113" s="21" t="s">
        <v>10</v>
      </c>
      <c r="B113" s="233"/>
      <c r="C113" s="145"/>
      <c r="D113" s="166"/>
      <c r="E113" s="27"/>
      <c r="F113" s="233">
        <v>1654683.081</v>
      </c>
      <c r="G113" s="145">
        <v>2296926.696</v>
      </c>
      <c r="H113" s="166">
        <f t="shared" si="30"/>
        <v>38.799999999999997</v>
      </c>
      <c r="I113" s="27">
        <f>IFERROR(100/'Skjema total MA'!F113*G113,0)</f>
        <v>20.882538832301449</v>
      </c>
      <c r="J113" s="286">
        <f t="shared" si="31"/>
        <v>1654683.081</v>
      </c>
      <c r="K113" s="44">
        <f t="shared" si="31"/>
        <v>2296926.696</v>
      </c>
      <c r="L113" s="253">
        <f t="shared" si="32"/>
        <v>38.799999999999997</v>
      </c>
      <c r="M113" s="27">
        <f>IFERROR(100/'Skjema total MA'!I113*K113,0)</f>
        <v>20.879895284083638</v>
      </c>
    </row>
    <row r="114" spans="1:14" x14ac:dyDescent="0.2">
      <c r="A114" s="21" t="s">
        <v>26</v>
      </c>
      <c r="B114" s="233">
        <v>38664.103999999999</v>
      </c>
      <c r="C114" s="145">
        <v>56618.343000000001</v>
      </c>
      <c r="D114" s="166">
        <f t="shared" si="29"/>
        <v>46.4</v>
      </c>
      <c r="E114" s="27">
        <f>IFERROR(100/'Skjema total MA'!C114*C114,0)</f>
        <v>75.350563521655204</v>
      </c>
      <c r="F114" s="233">
        <v>39214.434999999998</v>
      </c>
      <c r="G114" s="145">
        <v>1799.81</v>
      </c>
      <c r="H114" s="166">
        <f t="shared" si="30"/>
        <v>-95.4</v>
      </c>
      <c r="I114" s="27">
        <f>IFERROR(100/'Skjema total MA'!F114*G114,0)</f>
        <v>5.8272753797929582</v>
      </c>
      <c r="J114" s="286">
        <f t="shared" si="31"/>
        <v>77878.53899999999</v>
      </c>
      <c r="K114" s="44">
        <f t="shared" si="31"/>
        <v>58418.152999999998</v>
      </c>
      <c r="L114" s="253">
        <f t="shared" si="32"/>
        <v>-25</v>
      </c>
      <c r="M114" s="27">
        <f>IFERROR(100/'Skjema total MA'!I114*K114,0)</f>
        <v>55.098019353145297</v>
      </c>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v>16505.925999999999</v>
      </c>
      <c r="C116" s="233">
        <v>13047.608</v>
      </c>
      <c r="D116" s="166">
        <f t="shared" si="29"/>
        <v>-21</v>
      </c>
      <c r="E116" s="27">
        <f>IFERROR(100/'Skjema total MA'!C116*C116,0)</f>
        <v>11.914958451096672</v>
      </c>
      <c r="F116" s="233">
        <v>1442.1869999999999</v>
      </c>
      <c r="G116" s="233">
        <v>5871.0330000000004</v>
      </c>
      <c r="H116" s="166">
        <f t="shared" si="30"/>
        <v>307.10000000000002</v>
      </c>
      <c r="I116" s="27">
        <f>IFERROR(100/'Skjema total MA'!F116*G116,0)</f>
        <v>100</v>
      </c>
      <c r="J116" s="286">
        <f t="shared" si="31"/>
        <v>17948.112999999998</v>
      </c>
      <c r="K116" s="44">
        <f t="shared" si="31"/>
        <v>18918.641</v>
      </c>
      <c r="L116" s="253">
        <f t="shared" si="32"/>
        <v>5.4</v>
      </c>
      <c r="M116" s="27">
        <f>IFERROR(100/'Skjema total MA'!I116*K116,0)</f>
        <v>16.397216841116393</v>
      </c>
    </row>
    <row r="117" spans="1:14" ht="15.75" x14ac:dyDescent="0.2">
      <c r="A117" s="21" t="s">
        <v>391</v>
      </c>
      <c r="B117" s="233"/>
      <c r="C117" s="233"/>
      <c r="D117" s="166"/>
      <c r="E117" s="27"/>
      <c r="F117" s="233">
        <v>477149.07199999999</v>
      </c>
      <c r="G117" s="233">
        <v>748194.18700000003</v>
      </c>
      <c r="H117" s="166">
        <f t="shared" si="30"/>
        <v>56.8</v>
      </c>
      <c r="I117" s="27">
        <f>IFERROR(100/'Skjema total MA'!F117*G117,0)</f>
        <v>34.850631432488882</v>
      </c>
      <c r="J117" s="286">
        <f t="shared" si="31"/>
        <v>477149.07199999999</v>
      </c>
      <c r="K117" s="44">
        <f t="shared" si="31"/>
        <v>748194.18700000003</v>
      </c>
      <c r="L117" s="253">
        <f t="shared" si="32"/>
        <v>56.8</v>
      </c>
      <c r="M117" s="27">
        <f>IFERROR(100/'Skjema total MA'!I117*K117,0)</f>
        <v>34.850631432488882</v>
      </c>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v>398350.90499999997</v>
      </c>
      <c r="C119" s="159">
        <v>174207.516</v>
      </c>
      <c r="D119" s="171">
        <f t="shared" si="29"/>
        <v>-56.3</v>
      </c>
      <c r="E119" s="11">
        <f>IFERROR(100/'Skjema total MA'!C119*C119,0)</f>
        <v>44.856944821944793</v>
      </c>
      <c r="F119" s="307">
        <v>2188783.5729999999</v>
      </c>
      <c r="G119" s="159">
        <v>3685057.73</v>
      </c>
      <c r="H119" s="171">
        <f t="shared" si="30"/>
        <v>68.400000000000006</v>
      </c>
      <c r="I119" s="11">
        <f>IFERROR(100/'Skjema total MA'!F119*G119,0)</f>
        <v>33.309789468790129</v>
      </c>
      <c r="J119" s="308">
        <f t="shared" si="31"/>
        <v>2587134.4779999997</v>
      </c>
      <c r="K119" s="235">
        <f t="shared" si="31"/>
        <v>3859265.2459999998</v>
      </c>
      <c r="L119" s="375">
        <f t="shared" si="32"/>
        <v>49.2</v>
      </c>
      <c r="M119" s="11">
        <f>IFERROR(100/'Skjema total MA'!I119*K119,0)</f>
        <v>33.701401056304896</v>
      </c>
    </row>
    <row r="120" spans="1:14" x14ac:dyDescent="0.2">
      <c r="A120" s="21" t="s">
        <v>9</v>
      </c>
      <c r="B120" s="233">
        <v>12783.888000000001</v>
      </c>
      <c r="C120" s="145">
        <v>39410.033000000003</v>
      </c>
      <c r="D120" s="166">
        <f t="shared" si="29"/>
        <v>208.3</v>
      </c>
      <c r="E120" s="27">
        <f>IFERROR(100/'Skjema total MA'!C120*C120,0)</f>
        <v>18.797954517550703</v>
      </c>
      <c r="F120" s="233"/>
      <c r="G120" s="145"/>
      <c r="H120" s="166"/>
      <c r="I120" s="27"/>
      <c r="J120" s="286">
        <f t="shared" si="31"/>
        <v>12783.888000000001</v>
      </c>
      <c r="K120" s="44">
        <f t="shared" si="31"/>
        <v>39410.033000000003</v>
      </c>
      <c r="L120" s="253">
        <f t="shared" si="32"/>
        <v>208.3</v>
      </c>
      <c r="M120" s="27">
        <f>IFERROR(100/'Skjema total MA'!I120*K120,0)</f>
        <v>18.797954517550703</v>
      </c>
    </row>
    <row r="121" spans="1:14" x14ac:dyDescent="0.2">
      <c r="A121" s="21" t="s">
        <v>10</v>
      </c>
      <c r="B121" s="233"/>
      <c r="C121" s="145"/>
      <c r="D121" s="166"/>
      <c r="E121" s="27"/>
      <c r="F121" s="233">
        <v>2188783.5729999999</v>
      </c>
      <c r="G121" s="145">
        <v>3685057.73</v>
      </c>
      <c r="H121" s="166">
        <f t="shared" si="30"/>
        <v>68.400000000000006</v>
      </c>
      <c r="I121" s="27">
        <f>IFERROR(100/'Skjema total MA'!F121*G121,0)</f>
        <v>33.309789468790129</v>
      </c>
      <c r="J121" s="286">
        <f t="shared" si="31"/>
        <v>2188783.5729999999</v>
      </c>
      <c r="K121" s="44">
        <f t="shared" si="31"/>
        <v>3685057.73</v>
      </c>
      <c r="L121" s="253">
        <f t="shared" si="32"/>
        <v>68.400000000000006</v>
      </c>
      <c r="M121" s="27">
        <f>IFERROR(100/'Skjema total MA'!I121*K121,0)</f>
        <v>33.20529162106979</v>
      </c>
    </row>
    <row r="122" spans="1:14" x14ac:dyDescent="0.2">
      <c r="A122" s="21" t="s">
        <v>26</v>
      </c>
      <c r="B122" s="233">
        <v>385567.01699999999</v>
      </c>
      <c r="C122" s="145">
        <v>134797.48300000001</v>
      </c>
      <c r="D122" s="166">
        <f t="shared" si="29"/>
        <v>-65</v>
      </c>
      <c r="E122" s="27">
        <f>IFERROR(100/'Skjema total MA'!C122*C122,0)</f>
        <v>93.676831336585749</v>
      </c>
      <c r="F122" s="233"/>
      <c r="G122" s="145"/>
      <c r="H122" s="166"/>
      <c r="I122" s="27"/>
      <c r="J122" s="286">
        <f t="shared" si="31"/>
        <v>385567.01699999999</v>
      </c>
      <c r="K122" s="44">
        <f t="shared" si="31"/>
        <v>134797.48300000001</v>
      </c>
      <c r="L122" s="253">
        <f t="shared" si="32"/>
        <v>-65</v>
      </c>
      <c r="M122" s="27">
        <f>IFERROR(100/'Skjema total MA'!I122*K122,0)</f>
        <v>93.676831336585749</v>
      </c>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v>7457.3320000000003</v>
      </c>
      <c r="C124" s="233">
        <v>3881.27</v>
      </c>
      <c r="D124" s="166">
        <f t="shared" si="29"/>
        <v>-48</v>
      </c>
      <c r="E124" s="27">
        <f>IFERROR(100/'Skjema total MA'!C124*C124,0)</f>
        <v>7.2389231213113048</v>
      </c>
      <c r="F124" s="233">
        <v>25815.274000000001</v>
      </c>
      <c r="G124" s="233">
        <v>17361.552</v>
      </c>
      <c r="H124" s="166">
        <f t="shared" si="30"/>
        <v>-32.700000000000003</v>
      </c>
      <c r="I124" s="27">
        <f>IFERROR(100/'Skjema total MA'!F124*G124,0)</f>
        <v>88.058119249757112</v>
      </c>
      <c r="J124" s="286">
        <f t="shared" si="31"/>
        <v>33272.606</v>
      </c>
      <c r="K124" s="44">
        <f t="shared" si="31"/>
        <v>21242.822</v>
      </c>
      <c r="L124" s="253">
        <f t="shared" si="32"/>
        <v>-36.200000000000003</v>
      </c>
      <c r="M124" s="27">
        <f>IFERROR(100/'Skjema total MA'!I124*K124,0)</f>
        <v>28.967738035546521</v>
      </c>
    </row>
    <row r="125" spans="1:14" ht="15.75" x14ac:dyDescent="0.2">
      <c r="A125" s="21" t="s">
        <v>388</v>
      </c>
      <c r="B125" s="233">
        <v>5.1509999999999998</v>
      </c>
      <c r="C125" s="233">
        <v>6.27</v>
      </c>
      <c r="D125" s="166">
        <f t="shared" si="29"/>
        <v>21.7</v>
      </c>
      <c r="E125" s="27">
        <f>IFERROR(100/'Skjema total MA'!C125*C125,0)</f>
        <v>0.23991870039154731</v>
      </c>
      <c r="F125" s="233">
        <v>354067.28200000001</v>
      </c>
      <c r="G125" s="233">
        <v>449150.52299999999</v>
      </c>
      <c r="H125" s="166">
        <f t="shared" si="30"/>
        <v>26.9</v>
      </c>
      <c r="I125" s="27">
        <f>IFERROR(100/'Skjema total MA'!F125*G125,0)</f>
        <v>19.934203682402011</v>
      </c>
      <c r="J125" s="286">
        <f t="shared" si="31"/>
        <v>354072.43300000002</v>
      </c>
      <c r="K125" s="44">
        <f t="shared" si="31"/>
        <v>449156.79300000001</v>
      </c>
      <c r="L125" s="253">
        <f t="shared" si="32"/>
        <v>26.9</v>
      </c>
      <c r="M125" s="27">
        <f>IFERROR(100/'Skjema total MA'!I125*K125,0)</f>
        <v>19.911387277997537</v>
      </c>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v>208307.09299999999</v>
      </c>
      <c r="C134" s="308">
        <v>208978.02499999999</v>
      </c>
      <c r="D134" s="350">
        <f t="shared" ref="D134:D135" si="33">IF(B134=0, "    ---- ", IF(ABS(ROUND(100/B134*C134-100,1))&lt;999,ROUND(100/B134*C134-100,1),IF(ROUND(100/B134*C134-100,1)&gt;999,999,-999)))</f>
        <v>0.3</v>
      </c>
      <c r="E134" s="11">
        <f>IFERROR(100/'Skjema total MA'!C134*C134,0)</f>
        <v>0.56974472490596195</v>
      </c>
      <c r="F134" s="315"/>
      <c r="G134" s="316"/>
      <c r="H134" s="378"/>
      <c r="I134" s="24"/>
      <c r="J134" s="317">
        <f t="shared" ref="J134:K135" si="34">SUM(B134,F134)</f>
        <v>208307.09299999999</v>
      </c>
      <c r="K134" s="317">
        <f t="shared" si="34"/>
        <v>208978.02499999999</v>
      </c>
      <c r="L134" s="374">
        <f t="shared" ref="L134:L135" si="35">IF(J134=0, "    ---- ", IF(ABS(ROUND(100/J134*K134-100,1))&lt;999,ROUND(100/J134*K134-100,1),IF(ROUND(100/J134*K134-100,1)&gt;999,999,-999)))</f>
        <v>0.3</v>
      </c>
      <c r="M134" s="11">
        <f>IFERROR(100/'Skjema total MA'!I134*K134,0)</f>
        <v>0.56779944186955777</v>
      </c>
      <c r="N134" s="148"/>
    </row>
    <row r="135" spans="1:14" s="3" customFormat="1" ht="15.75" x14ac:dyDescent="0.2">
      <c r="A135" s="13" t="s">
        <v>397</v>
      </c>
      <c r="B135" s="235">
        <v>2875106.7949999999</v>
      </c>
      <c r="C135" s="308">
        <v>2864229.051</v>
      </c>
      <c r="D135" s="171">
        <f t="shared" si="33"/>
        <v>-0.4</v>
      </c>
      <c r="E135" s="11">
        <f>IFERROR(100/'Skjema total MA'!C135*C135,0)</f>
        <v>0.49704434471968229</v>
      </c>
      <c r="F135" s="235"/>
      <c r="G135" s="308"/>
      <c r="H135" s="379"/>
      <c r="I135" s="24"/>
      <c r="J135" s="307">
        <f t="shared" si="34"/>
        <v>2875106.7949999999</v>
      </c>
      <c r="K135" s="307">
        <f t="shared" si="34"/>
        <v>2864229.051</v>
      </c>
      <c r="L135" s="375">
        <f t="shared" si="35"/>
        <v>-0.4</v>
      </c>
      <c r="M135" s="11">
        <f>IFERROR(100/'Skjema total MA'!I135*K135,0)</f>
        <v>0.49477372500204625</v>
      </c>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97" priority="132">
      <formula>kvartal &lt; 4</formula>
    </cfRule>
  </conditionalFormatting>
  <conditionalFormatting sqref="B69">
    <cfRule type="expression" dxfId="396" priority="100">
      <formula>kvartal &lt; 4</formula>
    </cfRule>
  </conditionalFormatting>
  <conditionalFormatting sqref="C69">
    <cfRule type="expression" dxfId="395" priority="99">
      <formula>kvartal &lt; 4</formula>
    </cfRule>
  </conditionalFormatting>
  <conditionalFormatting sqref="B72">
    <cfRule type="expression" dxfId="394" priority="98">
      <formula>kvartal &lt; 4</formula>
    </cfRule>
  </conditionalFormatting>
  <conditionalFormatting sqref="C72">
    <cfRule type="expression" dxfId="393" priority="97">
      <formula>kvartal &lt; 4</formula>
    </cfRule>
  </conditionalFormatting>
  <conditionalFormatting sqref="B80">
    <cfRule type="expression" dxfId="392" priority="96">
      <formula>kvartal &lt; 4</formula>
    </cfRule>
  </conditionalFormatting>
  <conditionalFormatting sqref="C80">
    <cfRule type="expression" dxfId="391" priority="95">
      <formula>kvartal &lt; 4</formula>
    </cfRule>
  </conditionalFormatting>
  <conditionalFormatting sqref="B83">
    <cfRule type="expression" dxfId="390" priority="94">
      <formula>kvartal &lt; 4</formula>
    </cfRule>
  </conditionalFormatting>
  <conditionalFormatting sqref="C83">
    <cfRule type="expression" dxfId="389" priority="93">
      <formula>kvartal &lt; 4</formula>
    </cfRule>
  </conditionalFormatting>
  <conditionalFormatting sqref="B90">
    <cfRule type="expression" dxfId="388" priority="84">
      <formula>kvartal &lt; 4</formula>
    </cfRule>
  </conditionalFormatting>
  <conditionalFormatting sqref="C90">
    <cfRule type="expression" dxfId="387" priority="83">
      <formula>kvartal &lt; 4</formula>
    </cfRule>
  </conditionalFormatting>
  <conditionalFormatting sqref="B93">
    <cfRule type="expression" dxfId="386" priority="82">
      <formula>kvartal &lt; 4</formula>
    </cfRule>
  </conditionalFormatting>
  <conditionalFormatting sqref="C93">
    <cfRule type="expression" dxfId="385" priority="81">
      <formula>kvartal &lt; 4</formula>
    </cfRule>
  </conditionalFormatting>
  <conditionalFormatting sqref="B101">
    <cfRule type="expression" dxfId="384" priority="80">
      <formula>kvartal &lt; 4</formula>
    </cfRule>
  </conditionalFormatting>
  <conditionalFormatting sqref="C101">
    <cfRule type="expression" dxfId="383" priority="79">
      <formula>kvartal &lt; 4</formula>
    </cfRule>
  </conditionalFormatting>
  <conditionalFormatting sqref="B104">
    <cfRule type="expression" dxfId="382" priority="78">
      <formula>kvartal &lt; 4</formula>
    </cfRule>
  </conditionalFormatting>
  <conditionalFormatting sqref="C104">
    <cfRule type="expression" dxfId="381" priority="77">
      <formula>kvartal &lt; 4</formula>
    </cfRule>
  </conditionalFormatting>
  <conditionalFormatting sqref="B115">
    <cfRule type="expression" dxfId="380" priority="76">
      <formula>kvartal &lt; 4</formula>
    </cfRule>
  </conditionalFormatting>
  <conditionalFormatting sqref="C115">
    <cfRule type="expression" dxfId="379" priority="75">
      <formula>kvartal &lt; 4</formula>
    </cfRule>
  </conditionalFormatting>
  <conditionalFormatting sqref="B123">
    <cfRule type="expression" dxfId="378" priority="74">
      <formula>kvartal &lt; 4</formula>
    </cfRule>
  </conditionalFormatting>
  <conditionalFormatting sqref="C123">
    <cfRule type="expression" dxfId="377" priority="73">
      <formula>kvartal &lt; 4</formula>
    </cfRule>
  </conditionalFormatting>
  <conditionalFormatting sqref="F70">
    <cfRule type="expression" dxfId="376" priority="72">
      <formula>kvartal &lt; 4</formula>
    </cfRule>
  </conditionalFormatting>
  <conditionalFormatting sqref="G70">
    <cfRule type="expression" dxfId="375" priority="71">
      <formula>kvartal &lt; 4</formula>
    </cfRule>
  </conditionalFormatting>
  <conditionalFormatting sqref="F71:G71">
    <cfRule type="expression" dxfId="374" priority="70">
      <formula>kvartal &lt; 4</formula>
    </cfRule>
  </conditionalFormatting>
  <conditionalFormatting sqref="F73:G74">
    <cfRule type="expression" dxfId="373" priority="69">
      <formula>kvartal &lt; 4</formula>
    </cfRule>
  </conditionalFormatting>
  <conditionalFormatting sqref="F81:G82">
    <cfRule type="expression" dxfId="372" priority="68">
      <formula>kvartal &lt; 4</formula>
    </cfRule>
  </conditionalFormatting>
  <conditionalFormatting sqref="F84:G85">
    <cfRule type="expression" dxfId="371" priority="67">
      <formula>kvartal &lt; 4</formula>
    </cfRule>
  </conditionalFormatting>
  <conditionalFormatting sqref="F91:G92">
    <cfRule type="expression" dxfId="370" priority="62">
      <formula>kvartal &lt; 4</formula>
    </cfRule>
  </conditionalFormatting>
  <conditionalFormatting sqref="F94:G95">
    <cfRule type="expression" dxfId="369" priority="61">
      <formula>kvartal &lt; 4</formula>
    </cfRule>
  </conditionalFormatting>
  <conditionalFormatting sqref="F102:G103">
    <cfRule type="expression" dxfId="368" priority="60">
      <formula>kvartal &lt; 4</formula>
    </cfRule>
  </conditionalFormatting>
  <conditionalFormatting sqref="F105:G106">
    <cfRule type="expression" dxfId="367" priority="59">
      <formula>kvartal &lt; 4</formula>
    </cfRule>
  </conditionalFormatting>
  <conditionalFormatting sqref="F115">
    <cfRule type="expression" dxfId="366" priority="58">
      <formula>kvartal &lt; 4</formula>
    </cfRule>
  </conditionalFormatting>
  <conditionalFormatting sqref="G115">
    <cfRule type="expression" dxfId="365" priority="57">
      <formula>kvartal &lt; 4</formula>
    </cfRule>
  </conditionalFormatting>
  <conditionalFormatting sqref="F123:G123">
    <cfRule type="expression" dxfId="364" priority="56">
      <formula>kvartal &lt; 4</formula>
    </cfRule>
  </conditionalFormatting>
  <conditionalFormatting sqref="F69:G69">
    <cfRule type="expression" dxfId="363" priority="55">
      <formula>kvartal &lt; 4</formula>
    </cfRule>
  </conditionalFormatting>
  <conditionalFormatting sqref="F72:G72">
    <cfRule type="expression" dxfId="362" priority="54">
      <formula>kvartal &lt; 4</formula>
    </cfRule>
  </conditionalFormatting>
  <conditionalFormatting sqref="F80:G80">
    <cfRule type="expression" dxfId="361" priority="53">
      <formula>kvartal &lt; 4</formula>
    </cfRule>
  </conditionalFormatting>
  <conditionalFormatting sqref="F83:G83">
    <cfRule type="expression" dxfId="360" priority="52">
      <formula>kvartal &lt; 4</formula>
    </cfRule>
  </conditionalFormatting>
  <conditionalFormatting sqref="F90:G90">
    <cfRule type="expression" dxfId="359" priority="46">
      <formula>kvartal &lt; 4</formula>
    </cfRule>
  </conditionalFormatting>
  <conditionalFormatting sqref="F93">
    <cfRule type="expression" dxfId="358" priority="45">
      <formula>kvartal &lt; 4</formula>
    </cfRule>
  </conditionalFormatting>
  <conditionalFormatting sqref="G93">
    <cfRule type="expression" dxfId="357" priority="44">
      <formula>kvartal &lt; 4</formula>
    </cfRule>
  </conditionalFormatting>
  <conditionalFormatting sqref="F101">
    <cfRule type="expression" dxfId="356" priority="43">
      <formula>kvartal &lt; 4</formula>
    </cfRule>
  </conditionalFormatting>
  <conditionalFormatting sqref="G101">
    <cfRule type="expression" dxfId="355" priority="42">
      <formula>kvartal &lt; 4</formula>
    </cfRule>
  </conditionalFormatting>
  <conditionalFormatting sqref="G104">
    <cfRule type="expression" dxfId="354" priority="41">
      <formula>kvartal &lt; 4</formula>
    </cfRule>
  </conditionalFormatting>
  <conditionalFormatting sqref="F104">
    <cfRule type="expression" dxfId="353" priority="40">
      <formula>kvartal &lt; 4</formula>
    </cfRule>
  </conditionalFormatting>
  <conditionalFormatting sqref="J69:K73">
    <cfRule type="expression" dxfId="352" priority="39">
      <formula>kvartal &lt; 4</formula>
    </cfRule>
  </conditionalFormatting>
  <conditionalFormatting sqref="J74:K74">
    <cfRule type="expression" dxfId="351" priority="38">
      <formula>kvartal &lt; 4</formula>
    </cfRule>
  </conditionalFormatting>
  <conditionalFormatting sqref="J80:K85">
    <cfRule type="expression" dxfId="350" priority="37">
      <formula>kvartal &lt; 4</formula>
    </cfRule>
  </conditionalFormatting>
  <conditionalFormatting sqref="J90:K95">
    <cfRule type="expression" dxfId="349" priority="34">
      <formula>kvartal &lt; 4</formula>
    </cfRule>
  </conditionalFormatting>
  <conditionalFormatting sqref="J101:K106">
    <cfRule type="expression" dxfId="348" priority="33">
      <formula>kvartal &lt; 4</formula>
    </cfRule>
  </conditionalFormatting>
  <conditionalFormatting sqref="J115:K115">
    <cfRule type="expression" dxfId="347" priority="32">
      <formula>kvartal &lt; 4</formula>
    </cfRule>
  </conditionalFormatting>
  <conditionalFormatting sqref="J123:K123">
    <cfRule type="expression" dxfId="346" priority="31">
      <formula>kvartal &lt; 4</formula>
    </cfRule>
  </conditionalFormatting>
  <conditionalFormatting sqref="A50:A52">
    <cfRule type="expression" dxfId="345" priority="12">
      <formula>kvartal &lt; 4</formula>
    </cfRule>
  </conditionalFormatting>
  <conditionalFormatting sqref="A69:A74">
    <cfRule type="expression" dxfId="344" priority="10">
      <formula>kvartal &lt; 4</formula>
    </cfRule>
  </conditionalFormatting>
  <conditionalFormatting sqref="A80:A85">
    <cfRule type="expression" dxfId="343" priority="9">
      <formula>kvartal &lt; 4</formula>
    </cfRule>
  </conditionalFormatting>
  <conditionalFormatting sqref="A90:A95">
    <cfRule type="expression" dxfId="342" priority="6">
      <formula>kvartal &lt; 4</formula>
    </cfRule>
  </conditionalFormatting>
  <conditionalFormatting sqref="A101:A106">
    <cfRule type="expression" dxfId="341" priority="5">
      <formula>kvartal &lt; 4</formula>
    </cfRule>
  </conditionalFormatting>
  <conditionalFormatting sqref="A115">
    <cfRule type="expression" dxfId="340" priority="4">
      <formula>kvartal &lt; 4</formula>
    </cfRule>
  </conditionalFormatting>
  <conditionalFormatting sqref="A123">
    <cfRule type="expression" dxfId="339" priority="3">
      <formula>kvartal &lt; 4</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133</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c r="G7" s="306"/>
      <c r="H7" s="350"/>
      <c r="I7" s="160"/>
      <c r="J7" s="307"/>
      <c r="K7" s="308"/>
      <c r="L7" s="374"/>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c r="C39" s="314"/>
      <c r="D39" s="169"/>
      <c r="E39" s="36"/>
      <c r="F39" s="321"/>
      <c r="G39" s="322"/>
      <c r="H39" s="169"/>
      <c r="I39" s="36"/>
      <c r="J39" s="235"/>
      <c r="K39" s="235"/>
      <c r="L39" s="376"/>
      <c r="M39" s="36"/>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20446</v>
      </c>
      <c r="C47" s="310">
        <v>0</v>
      </c>
      <c r="D47" s="374">
        <f t="shared" ref="D47:D48" si="0">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379</v>
      </c>
      <c r="B48" s="280">
        <v>20446</v>
      </c>
      <c r="C48" s="281">
        <v>0</v>
      </c>
      <c r="D48" s="253">
        <f t="shared" si="0"/>
        <v>-100</v>
      </c>
      <c r="E48" s="27">
        <f>IFERROR(100/'Skjema total MA'!C48*C48,0)</f>
        <v>0</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38" priority="132">
      <formula>kvartal &lt; 4</formula>
    </cfRule>
  </conditionalFormatting>
  <conditionalFormatting sqref="B69">
    <cfRule type="expression" dxfId="337" priority="100">
      <formula>kvartal &lt; 4</formula>
    </cfRule>
  </conditionalFormatting>
  <conditionalFormatting sqref="C69">
    <cfRule type="expression" dxfId="336" priority="99">
      <formula>kvartal &lt; 4</formula>
    </cfRule>
  </conditionalFormatting>
  <conditionalFormatting sqref="B72">
    <cfRule type="expression" dxfId="335" priority="98">
      <formula>kvartal &lt; 4</formula>
    </cfRule>
  </conditionalFormatting>
  <conditionalFormatting sqref="C72">
    <cfRule type="expression" dxfId="334" priority="97">
      <formula>kvartal &lt; 4</formula>
    </cfRule>
  </conditionalFormatting>
  <conditionalFormatting sqref="B80">
    <cfRule type="expression" dxfId="333" priority="96">
      <formula>kvartal &lt; 4</formula>
    </cfRule>
  </conditionalFormatting>
  <conditionalFormatting sqref="C80">
    <cfRule type="expression" dxfId="332" priority="95">
      <formula>kvartal &lt; 4</formula>
    </cfRule>
  </conditionalFormatting>
  <conditionalFormatting sqref="B83">
    <cfRule type="expression" dxfId="331" priority="94">
      <formula>kvartal &lt; 4</formula>
    </cfRule>
  </conditionalFormatting>
  <conditionalFormatting sqref="C83">
    <cfRule type="expression" dxfId="330" priority="93">
      <formula>kvartal &lt; 4</formula>
    </cfRule>
  </conditionalFormatting>
  <conditionalFormatting sqref="B90">
    <cfRule type="expression" dxfId="329" priority="84">
      <formula>kvartal &lt; 4</formula>
    </cfRule>
  </conditionalFormatting>
  <conditionalFormatting sqref="C90">
    <cfRule type="expression" dxfId="328" priority="83">
      <formula>kvartal &lt; 4</formula>
    </cfRule>
  </conditionalFormatting>
  <conditionalFormatting sqref="B93">
    <cfRule type="expression" dxfId="327" priority="82">
      <formula>kvartal &lt; 4</formula>
    </cfRule>
  </conditionalFormatting>
  <conditionalFormatting sqref="C93">
    <cfRule type="expression" dxfId="326" priority="81">
      <formula>kvartal &lt; 4</formula>
    </cfRule>
  </conditionalFormatting>
  <conditionalFormatting sqref="B101">
    <cfRule type="expression" dxfId="325" priority="80">
      <formula>kvartal &lt; 4</formula>
    </cfRule>
  </conditionalFormatting>
  <conditionalFormatting sqref="C101">
    <cfRule type="expression" dxfId="324" priority="79">
      <formula>kvartal &lt; 4</formula>
    </cfRule>
  </conditionalFormatting>
  <conditionalFormatting sqref="B104">
    <cfRule type="expression" dxfId="323" priority="78">
      <formula>kvartal &lt; 4</formula>
    </cfRule>
  </conditionalFormatting>
  <conditionalFormatting sqref="C104">
    <cfRule type="expression" dxfId="322" priority="77">
      <formula>kvartal &lt; 4</formula>
    </cfRule>
  </conditionalFormatting>
  <conditionalFormatting sqref="B115">
    <cfRule type="expression" dxfId="321" priority="76">
      <formula>kvartal &lt; 4</formula>
    </cfRule>
  </conditionalFormatting>
  <conditionalFormatting sqref="C115">
    <cfRule type="expression" dxfId="320" priority="75">
      <formula>kvartal &lt; 4</formula>
    </cfRule>
  </conditionalFormatting>
  <conditionalFormatting sqref="B123">
    <cfRule type="expression" dxfId="319" priority="74">
      <formula>kvartal &lt; 4</formula>
    </cfRule>
  </conditionalFormatting>
  <conditionalFormatting sqref="C123">
    <cfRule type="expression" dxfId="318" priority="73">
      <formula>kvartal &lt; 4</formula>
    </cfRule>
  </conditionalFormatting>
  <conditionalFormatting sqref="F70">
    <cfRule type="expression" dxfId="317" priority="72">
      <formula>kvartal &lt; 4</formula>
    </cfRule>
  </conditionalFormatting>
  <conditionalFormatting sqref="G70">
    <cfRule type="expression" dxfId="316" priority="71">
      <formula>kvartal &lt; 4</formula>
    </cfRule>
  </conditionalFormatting>
  <conditionalFormatting sqref="F71:G71">
    <cfRule type="expression" dxfId="315" priority="70">
      <formula>kvartal &lt; 4</formula>
    </cfRule>
  </conditionalFormatting>
  <conditionalFormatting sqref="F73:G74">
    <cfRule type="expression" dxfId="314" priority="69">
      <formula>kvartal &lt; 4</formula>
    </cfRule>
  </conditionalFormatting>
  <conditionalFormatting sqref="F81:G82">
    <cfRule type="expression" dxfId="313" priority="68">
      <formula>kvartal &lt; 4</formula>
    </cfRule>
  </conditionalFormatting>
  <conditionalFormatting sqref="F84:G85">
    <cfRule type="expression" dxfId="312" priority="67">
      <formula>kvartal &lt; 4</formula>
    </cfRule>
  </conditionalFormatting>
  <conditionalFormatting sqref="F91:G92">
    <cfRule type="expression" dxfId="311" priority="62">
      <formula>kvartal &lt; 4</formula>
    </cfRule>
  </conditionalFormatting>
  <conditionalFormatting sqref="F94:G95">
    <cfRule type="expression" dxfId="310" priority="61">
      <formula>kvartal &lt; 4</formula>
    </cfRule>
  </conditionalFormatting>
  <conditionalFormatting sqref="F102:G103">
    <cfRule type="expression" dxfId="309" priority="60">
      <formula>kvartal &lt; 4</formula>
    </cfRule>
  </conditionalFormatting>
  <conditionalFormatting sqref="F105:G106">
    <cfRule type="expression" dxfId="308" priority="59">
      <formula>kvartal &lt; 4</formula>
    </cfRule>
  </conditionalFormatting>
  <conditionalFormatting sqref="F115">
    <cfRule type="expression" dxfId="307" priority="58">
      <formula>kvartal &lt; 4</formula>
    </cfRule>
  </conditionalFormatting>
  <conditionalFormatting sqref="G115">
    <cfRule type="expression" dxfId="306" priority="57">
      <formula>kvartal &lt; 4</formula>
    </cfRule>
  </conditionalFormatting>
  <conditionalFormatting sqref="F123:G123">
    <cfRule type="expression" dxfId="305" priority="56">
      <formula>kvartal &lt; 4</formula>
    </cfRule>
  </conditionalFormatting>
  <conditionalFormatting sqref="F69:G69">
    <cfRule type="expression" dxfId="304" priority="55">
      <formula>kvartal &lt; 4</formula>
    </cfRule>
  </conditionalFormatting>
  <conditionalFormatting sqref="F72:G72">
    <cfRule type="expression" dxfId="303" priority="54">
      <formula>kvartal &lt; 4</formula>
    </cfRule>
  </conditionalFormatting>
  <conditionalFormatting sqref="F80:G80">
    <cfRule type="expression" dxfId="302" priority="53">
      <formula>kvartal &lt; 4</formula>
    </cfRule>
  </conditionalFormatting>
  <conditionalFormatting sqref="F83:G83">
    <cfRule type="expression" dxfId="301" priority="52">
      <formula>kvartal &lt; 4</formula>
    </cfRule>
  </conditionalFormatting>
  <conditionalFormatting sqref="F90:G90">
    <cfRule type="expression" dxfId="300" priority="46">
      <formula>kvartal &lt; 4</formula>
    </cfRule>
  </conditionalFormatting>
  <conditionalFormatting sqref="F93">
    <cfRule type="expression" dxfId="299" priority="45">
      <formula>kvartal &lt; 4</formula>
    </cfRule>
  </conditionalFormatting>
  <conditionalFormatting sqref="G93">
    <cfRule type="expression" dxfId="298" priority="44">
      <formula>kvartal &lt; 4</formula>
    </cfRule>
  </conditionalFormatting>
  <conditionalFormatting sqref="F101">
    <cfRule type="expression" dxfId="297" priority="43">
      <formula>kvartal &lt; 4</formula>
    </cfRule>
  </conditionalFormatting>
  <conditionalFormatting sqref="G101">
    <cfRule type="expression" dxfId="296" priority="42">
      <formula>kvartal &lt; 4</formula>
    </cfRule>
  </conditionalFormatting>
  <conditionalFormatting sqref="G104">
    <cfRule type="expression" dxfId="295" priority="41">
      <formula>kvartal &lt; 4</formula>
    </cfRule>
  </conditionalFormatting>
  <conditionalFormatting sqref="F104">
    <cfRule type="expression" dxfId="294" priority="40">
      <formula>kvartal &lt; 4</formula>
    </cfRule>
  </conditionalFormatting>
  <conditionalFormatting sqref="J69:K73">
    <cfRule type="expression" dxfId="293" priority="39">
      <formula>kvartal &lt; 4</formula>
    </cfRule>
  </conditionalFormatting>
  <conditionalFormatting sqref="J74:K74">
    <cfRule type="expression" dxfId="292" priority="38">
      <formula>kvartal &lt; 4</formula>
    </cfRule>
  </conditionalFormatting>
  <conditionalFormatting sqref="J80:K85">
    <cfRule type="expression" dxfId="291" priority="37">
      <formula>kvartal &lt; 4</formula>
    </cfRule>
  </conditionalFormatting>
  <conditionalFormatting sqref="J90:K95">
    <cfRule type="expression" dxfId="290" priority="34">
      <formula>kvartal &lt; 4</formula>
    </cfRule>
  </conditionalFormatting>
  <conditionalFormatting sqref="J101:K106">
    <cfRule type="expression" dxfId="289" priority="33">
      <formula>kvartal &lt; 4</formula>
    </cfRule>
  </conditionalFormatting>
  <conditionalFormatting sqref="J115:K115">
    <cfRule type="expression" dxfId="288" priority="32">
      <formula>kvartal &lt; 4</formula>
    </cfRule>
  </conditionalFormatting>
  <conditionalFormatting sqref="J123:K123">
    <cfRule type="expression" dxfId="287" priority="31">
      <formula>kvartal &lt; 4</formula>
    </cfRule>
  </conditionalFormatting>
  <conditionalFormatting sqref="A50:A52">
    <cfRule type="expression" dxfId="286" priority="12">
      <formula>kvartal &lt; 4</formula>
    </cfRule>
  </conditionalFormatting>
  <conditionalFormatting sqref="A69:A74">
    <cfRule type="expression" dxfId="285" priority="10">
      <formula>kvartal &lt; 4</formula>
    </cfRule>
  </conditionalFormatting>
  <conditionalFormatting sqref="A80:A85">
    <cfRule type="expression" dxfId="284" priority="9">
      <formula>kvartal &lt; 4</formula>
    </cfRule>
  </conditionalFormatting>
  <conditionalFormatting sqref="A90:A95">
    <cfRule type="expression" dxfId="283" priority="6">
      <formula>kvartal &lt; 4</formula>
    </cfRule>
  </conditionalFormatting>
  <conditionalFormatting sqref="A101:A106">
    <cfRule type="expression" dxfId="282" priority="5">
      <formula>kvartal &lt; 4</formula>
    </cfRule>
  </conditionalFormatting>
  <conditionalFormatting sqref="A115">
    <cfRule type="expression" dxfId="281" priority="4">
      <formula>kvartal &lt; 4</formula>
    </cfRule>
  </conditionalFormatting>
  <conditionalFormatting sqref="A123">
    <cfRule type="expression" dxfId="280" priority="3">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election activeCell="C1" sqref="C1"/>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99</v>
      </c>
      <c r="D1" s="26"/>
      <c r="E1" s="26"/>
      <c r="F1" s="26"/>
      <c r="G1" s="26"/>
      <c r="H1" s="26"/>
      <c r="I1" s="26"/>
      <c r="J1" s="26"/>
      <c r="K1" s="26"/>
      <c r="L1" s="26"/>
      <c r="M1" s="26"/>
    </row>
    <row r="2" spans="1:14" ht="15.75" x14ac:dyDescent="0.25">
      <c r="A2" s="165" t="s">
        <v>28</v>
      </c>
      <c r="B2" s="671"/>
      <c r="C2" s="671"/>
      <c r="D2" s="671"/>
      <c r="E2" s="298"/>
      <c r="F2" s="671"/>
      <c r="G2" s="671"/>
      <c r="H2" s="671"/>
      <c r="I2" s="298"/>
      <c r="J2" s="671"/>
      <c r="K2" s="671"/>
      <c r="L2" s="671"/>
      <c r="M2" s="298"/>
    </row>
    <row r="3" spans="1:14" ht="15.75" x14ac:dyDescent="0.25">
      <c r="A3" s="163"/>
      <c r="B3" s="298"/>
      <c r="C3" s="298"/>
      <c r="D3" s="298"/>
      <c r="E3" s="298"/>
      <c r="F3" s="298"/>
      <c r="G3" s="298"/>
      <c r="H3" s="298"/>
      <c r="I3" s="298"/>
      <c r="J3" s="298"/>
      <c r="K3" s="298"/>
      <c r="L3" s="298"/>
      <c r="M3" s="298"/>
    </row>
    <row r="4" spans="1:14" x14ac:dyDescent="0.2">
      <c r="A4" s="144"/>
      <c r="B4" s="672" t="s">
        <v>0</v>
      </c>
      <c r="C4" s="673"/>
      <c r="D4" s="673"/>
      <c r="E4" s="300"/>
      <c r="F4" s="672" t="s">
        <v>1</v>
      </c>
      <c r="G4" s="673"/>
      <c r="H4" s="673"/>
      <c r="I4" s="303"/>
      <c r="J4" s="672" t="s">
        <v>2</v>
      </c>
      <c r="K4" s="673"/>
      <c r="L4" s="673"/>
      <c r="M4" s="303"/>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50"/>
      <c r="E7" s="11"/>
      <c r="F7" s="305"/>
      <c r="G7" s="306"/>
      <c r="H7" s="350"/>
      <c r="I7" s="160"/>
      <c r="J7" s="307"/>
      <c r="K7" s="308"/>
      <c r="L7" s="374"/>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368</v>
      </c>
      <c r="B10" s="309"/>
      <c r="C10" s="310"/>
      <c r="D10" s="171"/>
      <c r="E10" s="11"/>
      <c r="F10" s="309"/>
      <c r="G10" s="310"/>
      <c r="H10" s="171"/>
      <c r="I10" s="160"/>
      <c r="J10" s="307"/>
      <c r="K10" s="308"/>
      <c r="L10" s="375"/>
      <c r="M10" s="11"/>
    </row>
    <row r="11" spans="1:14" s="43" customFormat="1" ht="15.75" x14ac:dyDescent="0.2">
      <c r="A11" s="13" t="s">
        <v>369</v>
      </c>
      <c r="B11" s="309"/>
      <c r="C11" s="310"/>
      <c r="D11" s="171"/>
      <c r="E11" s="11"/>
      <c r="F11" s="309"/>
      <c r="G11" s="310"/>
      <c r="H11" s="171"/>
      <c r="I11" s="160"/>
      <c r="J11" s="307"/>
      <c r="K11" s="308"/>
      <c r="L11" s="375"/>
      <c r="M11" s="11"/>
      <c r="N11" s="143"/>
    </row>
    <row r="12" spans="1:14" s="43" customFormat="1" ht="15.75" x14ac:dyDescent="0.2">
      <c r="A12" s="41" t="s">
        <v>370</v>
      </c>
      <c r="B12" s="311"/>
      <c r="C12" s="312"/>
      <c r="D12" s="169"/>
      <c r="E12" s="36"/>
      <c r="F12" s="311"/>
      <c r="G12" s="312"/>
      <c r="H12" s="169"/>
      <c r="I12" s="169"/>
      <c r="J12" s="313"/>
      <c r="K12" s="314"/>
      <c r="L12" s="37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50"/>
      <c r="E22" s="11"/>
      <c r="F22" s="317"/>
      <c r="G22" s="317"/>
      <c r="H22" s="350"/>
      <c r="I22" s="11"/>
      <c r="J22" s="315"/>
      <c r="K22" s="315"/>
      <c r="L22" s="374"/>
      <c r="M22" s="24"/>
    </row>
    <row r="23" spans="1:14" ht="15.75" x14ac:dyDescent="0.2">
      <c r="A23" s="562" t="s">
        <v>371</v>
      </c>
      <c r="B23" s="280"/>
      <c r="C23" s="280"/>
      <c r="D23" s="166"/>
      <c r="E23" s="11"/>
      <c r="F23" s="289"/>
      <c r="G23" s="289"/>
      <c r="H23" s="166"/>
      <c r="I23" s="366"/>
      <c r="J23" s="289"/>
      <c r="K23" s="289"/>
      <c r="L23" s="166"/>
      <c r="M23" s="23"/>
    </row>
    <row r="24" spans="1:14" ht="15.75" x14ac:dyDescent="0.2">
      <c r="A24" s="562" t="s">
        <v>372</v>
      </c>
      <c r="B24" s="280"/>
      <c r="C24" s="280"/>
      <c r="D24" s="166"/>
      <c r="E24" s="11"/>
      <c r="F24" s="289"/>
      <c r="G24" s="289"/>
      <c r="H24" s="166"/>
      <c r="I24" s="366"/>
      <c r="J24" s="289"/>
      <c r="K24" s="289"/>
      <c r="L24" s="166"/>
      <c r="M24" s="23"/>
    </row>
    <row r="25" spans="1:14" ht="15.75" x14ac:dyDescent="0.2">
      <c r="A25" s="562" t="s">
        <v>373</v>
      </c>
      <c r="B25" s="280"/>
      <c r="C25" s="280"/>
      <c r="D25" s="166"/>
      <c r="E25" s="11"/>
      <c r="F25" s="289"/>
      <c r="G25" s="289"/>
      <c r="H25" s="166"/>
      <c r="I25" s="366"/>
      <c r="J25" s="289"/>
      <c r="K25" s="289"/>
      <c r="L25" s="166"/>
      <c r="M25" s="23"/>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c r="C28" s="286"/>
      <c r="D28" s="166"/>
      <c r="E28" s="11"/>
      <c r="F28" s="233"/>
      <c r="G28" s="286"/>
      <c r="H28" s="166"/>
      <c r="I28" s="27"/>
      <c r="J28" s="44"/>
      <c r="K28" s="44"/>
      <c r="L28" s="253"/>
      <c r="M28" s="23"/>
    </row>
    <row r="29" spans="1:14" s="3" customFormat="1" ht="15.75" x14ac:dyDescent="0.2">
      <c r="A29" s="13" t="s">
        <v>368</v>
      </c>
      <c r="B29" s="235"/>
      <c r="C29" s="235"/>
      <c r="D29" s="171"/>
      <c r="E29" s="11"/>
      <c r="F29" s="307"/>
      <c r="G29" s="307"/>
      <c r="H29" s="171"/>
      <c r="I29" s="11"/>
      <c r="J29" s="235"/>
      <c r="K29" s="235"/>
      <c r="L29" s="375"/>
      <c r="M29" s="24"/>
      <c r="N29" s="148"/>
    </row>
    <row r="30" spans="1:14" s="3" customFormat="1" ht="15.75" x14ac:dyDescent="0.2">
      <c r="A30" s="562" t="s">
        <v>371</v>
      </c>
      <c r="B30" s="280"/>
      <c r="C30" s="280"/>
      <c r="D30" s="166"/>
      <c r="E30" s="11"/>
      <c r="F30" s="289"/>
      <c r="G30" s="289"/>
      <c r="H30" s="166"/>
      <c r="I30" s="366"/>
      <c r="J30" s="289"/>
      <c r="K30" s="289"/>
      <c r="L30" s="166"/>
      <c r="M30" s="23"/>
      <c r="N30" s="148"/>
    </row>
    <row r="31" spans="1:14" s="3" customFormat="1" ht="15.75" x14ac:dyDescent="0.2">
      <c r="A31" s="562" t="s">
        <v>372</v>
      </c>
      <c r="B31" s="280"/>
      <c r="C31" s="280"/>
      <c r="D31" s="166"/>
      <c r="E31" s="11"/>
      <c r="F31" s="289"/>
      <c r="G31" s="289"/>
      <c r="H31" s="166"/>
      <c r="I31" s="366"/>
      <c r="J31" s="289"/>
      <c r="K31" s="289"/>
      <c r="L31" s="166"/>
      <c r="M31" s="23"/>
      <c r="N31" s="148"/>
    </row>
    <row r="32" spans="1:14" ht="15.75" x14ac:dyDescent="0.2">
      <c r="A32" s="562" t="s">
        <v>373</v>
      </c>
      <c r="B32" s="280"/>
      <c r="C32" s="280"/>
      <c r="D32" s="166"/>
      <c r="E32" s="11"/>
      <c r="F32" s="289"/>
      <c r="G32" s="289"/>
      <c r="H32" s="166"/>
      <c r="I32" s="366"/>
      <c r="J32" s="289"/>
      <c r="K32" s="289"/>
      <c r="L32" s="166"/>
      <c r="M32" s="23"/>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c r="C34" s="308"/>
      <c r="D34" s="171"/>
      <c r="E34" s="11"/>
      <c r="F34" s="307"/>
      <c r="G34" s="308"/>
      <c r="H34" s="171"/>
      <c r="I34" s="11"/>
      <c r="J34" s="235"/>
      <c r="K34" s="235"/>
      <c r="L34" s="375"/>
      <c r="M34" s="24"/>
    </row>
    <row r="35" spans="1:14" ht="15.75" x14ac:dyDescent="0.2">
      <c r="A35" s="13" t="s">
        <v>370</v>
      </c>
      <c r="B35" s="235"/>
      <c r="C35" s="308"/>
      <c r="D35" s="171"/>
      <c r="E35" s="11"/>
      <c r="F35" s="307"/>
      <c r="G35" s="308"/>
      <c r="H35" s="171"/>
      <c r="I35" s="11"/>
      <c r="J35" s="235"/>
      <c r="K35" s="235"/>
      <c r="L35" s="375"/>
      <c r="M35" s="24"/>
    </row>
    <row r="36" spans="1:14" ht="15.75" x14ac:dyDescent="0.2">
      <c r="A36" s="12" t="s">
        <v>287</v>
      </c>
      <c r="B36" s="235"/>
      <c r="C36" s="308"/>
      <c r="D36" s="171"/>
      <c r="E36" s="11"/>
      <c r="F36" s="318"/>
      <c r="G36" s="319"/>
      <c r="H36" s="171"/>
      <c r="I36" s="381"/>
      <c r="J36" s="235"/>
      <c r="K36" s="235"/>
      <c r="L36" s="375"/>
      <c r="M36" s="24"/>
    </row>
    <row r="37" spans="1:14" ht="15.75" x14ac:dyDescent="0.2">
      <c r="A37" s="12" t="s">
        <v>376</v>
      </c>
      <c r="B37" s="235"/>
      <c r="C37" s="308"/>
      <c r="D37" s="171"/>
      <c r="E37" s="11"/>
      <c r="F37" s="318"/>
      <c r="G37" s="320"/>
      <c r="H37" s="171"/>
      <c r="I37" s="381"/>
      <c r="J37" s="235"/>
      <c r="K37" s="235"/>
      <c r="L37" s="375"/>
      <c r="M37" s="24"/>
    </row>
    <row r="38" spans="1:14" ht="15.75" x14ac:dyDescent="0.2">
      <c r="A38" s="12" t="s">
        <v>377</v>
      </c>
      <c r="B38" s="235"/>
      <c r="C38" s="308"/>
      <c r="D38" s="379"/>
      <c r="E38" s="24"/>
      <c r="F38" s="318"/>
      <c r="G38" s="319"/>
      <c r="H38" s="171"/>
      <c r="I38" s="381"/>
      <c r="J38" s="235"/>
      <c r="K38" s="235"/>
      <c r="L38" s="375"/>
      <c r="M38" s="24"/>
    </row>
    <row r="39" spans="1:14" ht="15.75" x14ac:dyDescent="0.2">
      <c r="A39" s="18" t="s">
        <v>378</v>
      </c>
      <c r="B39" s="275"/>
      <c r="C39" s="314"/>
      <c r="D39" s="380"/>
      <c r="E39" s="36"/>
      <c r="F39" s="321"/>
      <c r="G39" s="322"/>
      <c r="H39" s="169"/>
      <c r="I39" s="36"/>
      <c r="J39" s="235"/>
      <c r="K39" s="235"/>
      <c r="L39" s="376"/>
      <c r="M39" s="36"/>
    </row>
    <row r="40" spans="1:14" ht="15.75" x14ac:dyDescent="0.25">
      <c r="A40" s="47"/>
      <c r="B40" s="252"/>
      <c r="C40" s="252"/>
      <c r="D40" s="675"/>
      <c r="E40" s="676"/>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494563</v>
      </c>
      <c r="C47" s="310">
        <v>577343.84699999995</v>
      </c>
      <c r="D47" s="374">
        <f t="shared" ref="D47:D58" si="0">IF(B47=0, "    ---- ", IF(ABS(ROUND(100/B47*C47-100,1))&lt;999,ROUND(100/B47*C47-100,1),IF(ROUND(100/B47*C47-100,1)&gt;999,999,-999)))</f>
        <v>16.7</v>
      </c>
      <c r="E47" s="11">
        <f>IFERROR(100/'Skjema total MA'!C47*C47,0)</f>
        <v>15.088878878035022</v>
      </c>
      <c r="F47" s="145"/>
      <c r="G47" s="33"/>
      <c r="H47" s="159"/>
      <c r="I47" s="159"/>
      <c r="J47" s="37"/>
      <c r="K47" s="37"/>
      <c r="L47" s="159"/>
      <c r="M47" s="159"/>
      <c r="N47" s="148"/>
    </row>
    <row r="48" spans="1:14" s="3" customFormat="1" ht="15.75" x14ac:dyDescent="0.2">
      <c r="A48" s="38" t="s">
        <v>379</v>
      </c>
      <c r="B48" s="280">
        <v>209675</v>
      </c>
      <c r="C48" s="281">
        <v>202467.155</v>
      </c>
      <c r="D48" s="253">
        <f t="shared" si="0"/>
        <v>-3.4</v>
      </c>
      <c r="E48" s="27">
        <f>IFERROR(100/'Skjema total MA'!C48*C48,0)</f>
        <v>9.3478264892943734</v>
      </c>
      <c r="F48" s="145"/>
      <c r="G48" s="33"/>
      <c r="H48" s="145"/>
      <c r="I48" s="145"/>
      <c r="J48" s="33"/>
      <c r="K48" s="33"/>
      <c r="L48" s="159"/>
      <c r="M48" s="159"/>
      <c r="N48" s="148"/>
    </row>
    <row r="49" spans="1:14" s="3" customFormat="1" ht="15.75" x14ac:dyDescent="0.2">
      <c r="A49" s="38" t="s">
        <v>380</v>
      </c>
      <c r="B49" s="44">
        <v>284888</v>
      </c>
      <c r="C49" s="286">
        <v>374876.69199999998</v>
      </c>
      <c r="D49" s="253">
        <f>IF(B49=0, "    ---- ", IF(ABS(ROUND(100/B49*C49-100,1))&lt;999,ROUND(100/B49*C49-100,1),IF(ROUND(100/B49*C49-100,1)&gt;999,999,-999)))</f>
        <v>31.6</v>
      </c>
      <c r="E49" s="27">
        <f>IFERROR(100/'Skjema total MA'!C49*C49,0)</f>
        <v>22.578041877333529</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14979.73</v>
      </c>
      <c r="C53" s="310">
        <v>94780.71</v>
      </c>
      <c r="D53" s="375">
        <f t="shared" si="0"/>
        <v>532.70000000000005</v>
      </c>
      <c r="E53" s="11">
        <f>IFERROR(100/'Skjema total MA'!C53*C53,0)</f>
        <v>41.652637718341317</v>
      </c>
      <c r="F53" s="145"/>
      <c r="G53" s="33"/>
      <c r="H53" s="145"/>
      <c r="I53" s="145"/>
      <c r="J53" s="33"/>
      <c r="K53" s="33"/>
      <c r="L53" s="159"/>
      <c r="M53" s="159"/>
      <c r="N53" s="148"/>
    </row>
    <row r="54" spans="1:14" s="3" customFormat="1" ht="15.75" x14ac:dyDescent="0.2">
      <c r="A54" s="38" t="s">
        <v>379</v>
      </c>
      <c r="B54" s="280">
        <v>14979.73</v>
      </c>
      <c r="C54" s="281">
        <v>5158.8680000000004</v>
      </c>
      <c r="D54" s="253">
        <f t="shared" si="0"/>
        <v>-65.599999999999994</v>
      </c>
      <c r="E54" s="27">
        <f>IFERROR(100/'Skjema total MA'!C54*C54,0)</f>
        <v>3.7402486507554209</v>
      </c>
      <c r="F54" s="145"/>
      <c r="G54" s="33"/>
      <c r="H54" s="145"/>
      <c r="I54" s="145"/>
      <c r="J54" s="33"/>
      <c r="K54" s="33"/>
      <c r="L54" s="159"/>
      <c r="M54" s="159"/>
      <c r="N54" s="148"/>
    </row>
    <row r="55" spans="1:14" s="3" customFormat="1" ht="15.75" x14ac:dyDescent="0.2">
      <c r="A55" s="38" t="s">
        <v>380</v>
      </c>
      <c r="B55" s="280">
        <v>0</v>
      </c>
      <c r="C55" s="281">
        <v>89621.842000000004</v>
      </c>
      <c r="D55" s="253" t="str">
        <f t="shared" si="0"/>
        <v xml:space="preserve">    ---- </v>
      </c>
      <c r="E55" s="27">
        <f>IFERROR(100/'Skjema total MA'!C55*C55,0)</f>
        <v>100.00000000000001</v>
      </c>
      <c r="F55" s="145"/>
      <c r="G55" s="33"/>
      <c r="H55" s="145"/>
      <c r="I55" s="145"/>
      <c r="J55" s="33"/>
      <c r="K55" s="33"/>
      <c r="L55" s="159"/>
      <c r="M55" s="159"/>
      <c r="N55" s="148"/>
    </row>
    <row r="56" spans="1:14" s="3" customFormat="1" ht="15.75" x14ac:dyDescent="0.2">
      <c r="A56" s="39" t="s">
        <v>382</v>
      </c>
      <c r="B56" s="309">
        <v>28084.541000000001</v>
      </c>
      <c r="C56" s="310">
        <v>34516.811000000002</v>
      </c>
      <c r="D56" s="375">
        <f t="shared" si="0"/>
        <v>22.9</v>
      </c>
      <c r="E56" s="11">
        <f>IFERROR(100/'Skjema total MA'!C56*C56,0)</f>
        <v>20.573595728770108</v>
      </c>
      <c r="F56" s="145"/>
      <c r="G56" s="33"/>
      <c r="H56" s="145"/>
      <c r="I56" s="145"/>
      <c r="J56" s="33"/>
      <c r="K56" s="33"/>
      <c r="L56" s="159"/>
      <c r="M56" s="159"/>
      <c r="N56" s="148"/>
    </row>
    <row r="57" spans="1:14" s="3" customFormat="1" ht="15.75" x14ac:dyDescent="0.2">
      <c r="A57" s="38" t="s">
        <v>379</v>
      </c>
      <c r="B57" s="280">
        <v>28081.268</v>
      </c>
      <c r="C57" s="281">
        <v>34510.171000000002</v>
      </c>
      <c r="D57" s="253">
        <f t="shared" si="0"/>
        <v>22.9</v>
      </c>
      <c r="E57" s="27">
        <f>IFERROR(100/'Skjema total MA'!C57*C57,0)</f>
        <v>34.107758793734241</v>
      </c>
      <c r="F57" s="145"/>
      <c r="G57" s="33"/>
      <c r="H57" s="145"/>
      <c r="I57" s="145"/>
      <c r="J57" s="33"/>
      <c r="K57" s="33"/>
      <c r="L57" s="159"/>
      <c r="M57" s="159"/>
      <c r="N57" s="148"/>
    </row>
    <row r="58" spans="1:14" s="3" customFormat="1" ht="15.75" x14ac:dyDescent="0.2">
      <c r="A58" s="46" t="s">
        <v>380</v>
      </c>
      <c r="B58" s="282">
        <v>3.2730000000000001</v>
      </c>
      <c r="C58" s="283">
        <v>6.64</v>
      </c>
      <c r="D58" s="254">
        <f t="shared" si="0"/>
        <v>102.9</v>
      </c>
      <c r="E58" s="22">
        <f>IFERROR(100/'Skjema total MA'!C58*C58,0)</f>
        <v>9.9710849049442513E-3</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c r="C66" s="353"/>
      <c r="D66" s="350"/>
      <c r="E66" s="11"/>
      <c r="F66" s="352"/>
      <c r="G66" s="352"/>
      <c r="H66" s="350"/>
      <c r="I66" s="11"/>
      <c r="J66" s="308"/>
      <c r="K66" s="315"/>
      <c r="L66" s="375"/>
      <c r="M66" s="11"/>
    </row>
    <row r="67" spans="1:14" x14ac:dyDescent="0.2">
      <c r="A67" s="36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c r="C87" s="353"/>
      <c r="D87" s="171"/>
      <c r="E87" s="11"/>
      <c r="F87" s="352"/>
      <c r="G87" s="352"/>
      <c r="H87" s="171"/>
      <c r="I87" s="11"/>
      <c r="J87" s="308"/>
      <c r="K87" s="235"/>
      <c r="L87" s="375"/>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c r="C108" s="233"/>
      <c r="D108" s="166"/>
      <c r="E108" s="27"/>
      <c r="F108" s="233"/>
      <c r="G108" s="233"/>
      <c r="H108" s="166"/>
      <c r="I108" s="27"/>
      <c r="J108" s="286"/>
      <c r="K108" s="44"/>
      <c r="L108" s="253"/>
      <c r="M108" s="27"/>
    </row>
    <row r="109" spans="1:13" ht="15.75" x14ac:dyDescent="0.2">
      <c r="A109" s="21" t="s">
        <v>388</v>
      </c>
      <c r="B109" s="233"/>
      <c r="C109" s="233"/>
      <c r="D109" s="166"/>
      <c r="E109" s="27"/>
      <c r="F109" s="233"/>
      <c r="G109" s="233"/>
      <c r="H109" s="166"/>
      <c r="I109" s="27"/>
      <c r="J109" s="286"/>
      <c r="K109" s="44"/>
      <c r="L109" s="253"/>
      <c r="M109" s="27"/>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c r="C111" s="159"/>
      <c r="D111" s="171"/>
      <c r="E111" s="11"/>
      <c r="F111" s="307"/>
      <c r="G111" s="159"/>
      <c r="H111" s="171"/>
      <c r="I111" s="11"/>
      <c r="J111" s="308"/>
      <c r="K111" s="235"/>
      <c r="L111" s="375"/>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c r="C116" s="233"/>
      <c r="D116" s="166"/>
      <c r="E116" s="27"/>
      <c r="F116" s="233"/>
      <c r="G116" s="233"/>
      <c r="H116" s="166"/>
      <c r="I116" s="27"/>
      <c r="J116" s="286"/>
      <c r="K116" s="44"/>
      <c r="L116" s="253"/>
      <c r="M116" s="27"/>
    </row>
    <row r="117" spans="1:14" ht="15.75" x14ac:dyDescent="0.2">
      <c r="A117" s="21" t="s">
        <v>391</v>
      </c>
      <c r="B117" s="233"/>
      <c r="C117" s="233"/>
      <c r="D117" s="166"/>
      <c r="E117" s="27"/>
      <c r="F117" s="233"/>
      <c r="G117" s="233"/>
      <c r="H117" s="166"/>
      <c r="I117" s="27"/>
      <c r="J117" s="286"/>
      <c r="K117" s="44"/>
      <c r="L117" s="253"/>
      <c r="M117" s="27"/>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c r="C119" s="159"/>
      <c r="D119" s="171"/>
      <c r="E119" s="11"/>
      <c r="F119" s="307"/>
      <c r="G119" s="159"/>
      <c r="H119" s="171"/>
      <c r="I119" s="11"/>
      <c r="J119" s="308"/>
      <c r="K119" s="235"/>
      <c r="L119" s="375"/>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c r="C124" s="233"/>
      <c r="D124" s="166"/>
      <c r="E124" s="27"/>
      <c r="F124" s="233"/>
      <c r="G124" s="233"/>
      <c r="H124" s="166"/>
      <c r="I124" s="27"/>
      <c r="J124" s="286"/>
      <c r="K124" s="44"/>
      <c r="L124" s="253"/>
      <c r="M124" s="27"/>
    </row>
    <row r="125" spans="1:14" ht="15.75" x14ac:dyDescent="0.2">
      <c r="A125" s="21" t="s">
        <v>388</v>
      </c>
      <c r="B125" s="233"/>
      <c r="C125" s="233"/>
      <c r="D125" s="166"/>
      <c r="E125" s="27"/>
      <c r="F125" s="233"/>
      <c r="G125" s="233"/>
      <c r="H125" s="166"/>
      <c r="I125" s="27"/>
      <c r="J125" s="286"/>
      <c r="K125" s="44"/>
      <c r="L125" s="253"/>
      <c r="M125" s="27"/>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79" priority="117">
      <formula>kvartal &lt; 4</formula>
    </cfRule>
  </conditionalFormatting>
  <conditionalFormatting sqref="B69">
    <cfRule type="expression" dxfId="278" priority="85">
      <formula>kvartal &lt; 4</formula>
    </cfRule>
  </conditionalFormatting>
  <conditionalFormatting sqref="C69">
    <cfRule type="expression" dxfId="277" priority="84">
      <formula>kvartal &lt; 4</formula>
    </cfRule>
  </conditionalFormatting>
  <conditionalFormatting sqref="B72">
    <cfRule type="expression" dxfId="276" priority="83">
      <formula>kvartal &lt; 4</formula>
    </cfRule>
  </conditionalFormatting>
  <conditionalFormatting sqref="C72">
    <cfRule type="expression" dxfId="275" priority="82">
      <formula>kvartal &lt; 4</formula>
    </cfRule>
  </conditionalFormatting>
  <conditionalFormatting sqref="B80">
    <cfRule type="expression" dxfId="274" priority="81">
      <formula>kvartal &lt; 4</formula>
    </cfRule>
  </conditionalFormatting>
  <conditionalFormatting sqref="C80">
    <cfRule type="expression" dxfId="273" priority="80">
      <formula>kvartal &lt; 4</formula>
    </cfRule>
  </conditionalFormatting>
  <conditionalFormatting sqref="B83">
    <cfRule type="expression" dxfId="272" priority="79">
      <formula>kvartal &lt; 4</formula>
    </cfRule>
  </conditionalFormatting>
  <conditionalFormatting sqref="C83">
    <cfRule type="expression" dxfId="271" priority="78">
      <formula>kvartal &lt; 4</formula>
    </cfRule>
  </conditionalFormatting>
  <conditionalFormatting sqref="B90">
    <cfRule type="expression" dxfId="270" priority="69">
      <formula>kvartal &lt; 4</formula>
    </cfRule>
  </conditionalFormatting>
  <conditionalFormatting sqref="C90">
    <cfRule type="expression" dxfId="269" priority="68">
      <formula>kvartal &lt; 4</formula>
    </cfRule>
  </conditionalFormatting>
  <conditionalFormatting sqref="B93">
    <cfRule type="expression" dxfId="268" priority="67">
      <formula>kvartal &lt; 4</formula>
    </cfRule>
  </conditionalFormatting>
  <conditionalFormatting sqref="C93">
    <cfRule type="expression" dxfId="267" priority="66">
      <formula>kvartal &lt; 4</formula>
    </cfRule>
  </conditionalFormatting>
  <conditionalFormatting sqref="B101">
    <cfRule type="expression" dxfId="266" priority="65">
      <formula>kvartal &lt; 4</formula>
    </cfRule>
  </conditionalFormatting>
  <conditionalFormatting sqref="C101">
    <cfRule type="expression" dxfId="265" priority="64">
      <formula>kvartal &lt; 4</formula>
    </cfRule>
  </conditionalFormatting>
  <conditionalFormatting sqref="B104">
    <cfRule type="expression" dxfId="264" priority="63">
      <formula>kvartal &lt; 4</formula>
    </cfRule>
  </conditionalFormatting>
  <conditionalFormatting sqref="C104">
    <cfRule type="expression" dxfId="263" priority="62">
      <formula>kvartal &lt; 4</formula>
    </cfRule>
  </conditionalFormatting>
  <conditionalFormatting sqref="B115">
    <cfRule type="expression" dxfId="262" priority="61">
      <formula>kvartal &lt; 4</formula>
    </cfRule>
  </conditionalFormatting>
  <conditionalFormatting sqref="C115">
    <cfRule type="expression" dxfId="261" priority="60">
      <formula>kvartal &lt; 4</formula>
    </cfRule>
  </conditionalFormatting>
  <conditionalFormatting sqref="B123">
    <cfRule type="expression" dxfId="260" priority="59">
      <formula>kvartal &lt; 4</formula>
    </cfRule>
  </conditionalFormatting>
  <conditionalFormatting sqref="C123">
    <cfRule type="expression" dxfId="259" priority="58">
      <formula>kvartal &lt; 4</formula>
    </cfRule>
  </conditionalFormatting>
  <conditionalFormatting sqref="F70">
    <cfRule type="expression" dxfId="258" priority="57">
      <formula>kvartal &lt; 4</formula>
    </cfRule>
  </conditionalFormatting>
  <conditionalFormatting sqref="G70">
    <cfRule type="expression" dxfId="257" priority="56">
      <formula>kvartal &lt; 4</formula>
    </cfRule>
  </conditionalFormatting>
  <conditionalFormatting sqref="F71:G71">
    <cfRule type="expression" dxfId="256" priority="55">
      <formula>kvartal &lt; 4</formula>
    </cfRule>
  </conditionalFormatting>
  <conditionalFormatting sqref="F73:G74">
    <cfRule type="expression" dxfId="255" priority="54">
      <formula>kvartal &lt; 4</formula>
    </cfRule>
  </conditionalFormatting>
  <conditionalFormatting sqref="F81:G82">
    <cfRule type="expression" dxfId="254" priority="53">
      <formula>kvartal &lt; 4</formula>
    </cfRule>
  </conditionalFormatting>
  <conditionalFormatting sqref="F84:G85">
    <cfRule type="expression" dxfId="253" priority="52">
      <formula>kvartal &lt; 4</formula>
    </cfRule>
  </conditionalFormatting>
  <conditionalFormatting sqref="F91:G92">
    <cfRule type="expression" dxfId="252" priority="47">
      <formula>kvartal &lt; 4</formula>
    </cfRule>
  </conditionalFormatting>
  <conditionalFormatting sqref="F94:G95">
    <cfRule type="expression" dxfId="251" priority="46">
      <formula>kvartal &lt; 4</formula>
    </cfRule>
  </conditionalFormatting>
  <conditionalFormatting sqref="F102:G103">
    <cfRule type="expression" dxfId="250" priority="45">
      <formula>kvartal &lt; 4</formula>
    </cfRule>
  </conditionalFormatting>
  <conditionalFormatting sqref="F105:G106">
    <cfRule type="expression" dxfId="249" priority="44">
      <formula>kvartal &lt; 4</formula>
    </cfRule>
  </conditionalFormatting>
  <conditionalFormatting sqref="F115">
    <cfRule type="expression" dxfId="248" priority="43">
      <formula>kvartal &lt; 4</formula>
    </cfRule>
  </conditionalFormatting>
  <conditionalFormatting sqref="G115">
    <cfRule type="expression" dxfId="247" priority="42">
      <formula>kvartal &lt; 4</formula>
    </cfRule>
  </conditionalFormatting>
  <conditionalFormatting sqref="F123:G123">
    <cfRule type="expression" dxfId="246" priority="41">
      <formula>kvartal &lt; 4</formula>
    </cfRule>
  </conditionalFormatting>
  <conditionalFormatting sqref="F69:G69">
    <cfRule type="expression" dxfId="245" priority="40">
      <formula>kvartal &lt; 4</formula>
    </cfRule>
  </conditionalFormatting>
  <conditionalFormatting sqref="F72:G72">
    <cfRule type="expression" dxfId="244" priority="39">
      <formula>kvartal &lt; 4</formula>
    </cfRule>
  </conditionalFormatting>
  <conditionalFormatting sqref="F80:G80">
    <cfRule type="expression" dxfId="243" priority="38">
      <formula>kvartal &lt; 4</formula>
    </cfRule>
  </conditionalFormatting>
  <conditionalFormatting sqref="F83:G83">
    <cfRule type="expression" dxfId="242" priority="37">
      <formula>kvartal &lt; 4</formula>
    </cfRule>
  </conditionalFormatting>
  <conditionalFormatting sqref="F90:G90">
    <cfRule type="expression" dxfId="241" priority="31">
      <formula>kvartal &lt; 4</formula>
    </cfRule>
  </conditionalFormatting>
  <conditionalFormatting sqref="F93">
    <cfRule type="expression" dxfId="240" priority="30">
      <formula>kvartal &lt; 4</formula>
    </cfRule>
  </conditionalFormatting>
  <conditionalFormatting sqref="G93">
    <cfRule type="expression" dxfId="239" priority="29">
      <formula>kvartal &lt; 4</formula>
    </cfRule>
  </conditionalFormatting>
  <conditionalFormatting sqref="F101">
    <cfRule type="expression" dxfId="238" priority="28">
      <formula>kvartal &lt; 4</formula>
    </cfRule>
  </conditionalFormatting>
  <conditionalFormatting sqref="G101">
    <cfRule type="expression" dxfId="237" priority="27">
      <formula>kvartal &lt; 4</formula>
    </cfRule>
  </conditionalFormatting>
  <conditionalFormatting sqref="G104">
    <cfRule type="expression" dxfId="236" priority="26">
      <formula>kvartal &lt; 4</formula>
    </cfRule>
  </conditionalFormatting>
  <conditionalFormatting sqref="F104">
    <cfRule type="expression" dxfId="235" priority="25">
      <formula>kvartal &lt; 4</formula>
    </cfRule>
  </conditionalFormatting>
  <conditionalFormatting sqref="J69:K73">
    <cfRule type="expression" dxfId="234" priority="24">
      <formula>kvartal &lt; 4</formula>
    </cfRule>
  </conditionalFormatting>
  <conditionalFormatting sqref="J74:K74">
    <cfRule type="expression" dxfId="233" priority="23">
      <formula>kvartal &lt; 4</formula>
    </cfRule>
  </conditionalFormatting>
  <conditionalFormatting sqref="J80:K85">
    <cfRule type="expression" dxfId="232" priority="22">
      <formula>kvartal &lt; 4</formula>
    </cfRule>
  </conditionalFormatting>
  <conditionalFormatting sqref="J90:K95">
    <cfRule type="expression" dxfId="231" priority="19">
      <formula>kvartal &lt; 4</formula>
    </cfRule>
  </conditionalFormatting>
  <conditionalFormatting sqref="J101:K106">
    <cfRule type="expression" dxfId="230" priority="18">
      <formula>kvartal &lt; 4</formula>
    </cfRule>
  </conditionalFormatting>
  <conditionalFormatting sqref="J115:K115">
    <cfRule type="expression" dxfId="229" priority="17">
      <formula>kvartal &lt; 4</formula>
    </cfRule>
  </conditionalFormatting>
  <conditionalFormatting sqref="J123:K123">
    <cfRule type="expression" dxfId="228" priority="16">
      <formula>kvartal &lt; 4</formula>
    </cfRule>
  </conditionalFormatting>
  <conditionalFormatting sqref="A50:A52">
    <cfRule type="expression" dxfId="227" priority="12">
      <formula>kvartal &lt; 4</formula>
    </cfRule>
  </conditionalFormatting>
  <conditionalFormatting sqref="A69:A74">
    <cfRule type="expression" dxfId="226" priority="10">
      <formula>kvartal &lt; 4</formula>
    </cfRule>
  </conditionalFormatting>
  <conditionalFormatting sqref="A80:A85">
    <cfRule type="expression" dxfId="225" priority="9">
      <formula>kvartal &lt; 4</formula>
    </cfRule>
  </conditionalFormatting>
  <conditionalFormatting sqref="A90:A95">
    <cfRule type="expression" dxfId="224" priority="6">
      <formula>kvartal &lt; 4</formula>
    </cfRule>
  </conditionalFormatting>
  <conditionalFormatting sqref="A101:A106">
    <cfRule type="expression" dxfId="223" priority="5">
      <formula>kvartal &lt; 4</formula>
    </cfRule>
  </conditionalFormatting>
  <conditionalFormatting sqref="A115">
    <cfRule type="expression" dxfId="222" priority="4">
      <formula>kvartal &lt; 4</formula>
    </cfRule>
  </conditionalFormatting>
  <conditionalFormatting sqref="A123">
    <cfRule type="expression" dxfId="221"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410</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2018</v>
      </c>
      <c r="N8" s="74">
        <v>2019</v>
      </c>
      <c r="O8" s="74"/>
    </row>
    <row r="9" spans="1:15" x14ac:dyDescent="0.3">
      <c r="A9" s="74"/>
      <c r="B9" s="74"/>
      <c r="C9" s="74"/>
      <c r="D9" s="74"/>
      <c r="E9" s="74"/>
      <c r="F9" s="74"/>
      <c r="G9" s="74"/>
      <c r="H9" s="74"/>
      <c r="I9" s="74"/>
      <c r="J9" s="74"/>
      <c r="K9" s="74"/>
      <c r="M9" s="77"/>
      <c r="N9" s="77"/>
      <c r="O9" s="74"/>
    </row>
    <row r="10" spans="1:15" x14ac:dyDescent="0.3">
      <c r="A10" s="74"/>
      <c r="B10" s="74"/>
      <c r="C10" s="74"/>
      <c r="D10" s="74"/>
      <c r="E10" s="74"/>
      <c r="F10" s="74"/>
      <c r="G10" s="74"/>
      <c r="H10" s="74"/>
      <c r="I10" s="74"/>
      <c r="J10" s="74"/>
      <c r="K10" s="74"/>
      <c r="L10" s="74" t="s">
        <v>54</v>
      </c>
      <c r="M10" s="77">
        <f>'Tabel 1.1'!B10</f>
        <v>311903.85599999997</v>
      </c>
      <c r="N10" s="77">
        <f>'Tabel 1.1'!C10</f>
        <v>317604.17099999997</v>
      </c>
      <c r="O10" s="74"/>
    </row>
    <row r="11" spans="1:15" x14ac:dyDescent="0.3">
      <c r="A11" s="74"/>
      <c r="B11" s="74"/>
      <c r="C11" s="74"/>
      <c r="D11" s="74"/>
      <c r="E11" s="74"/>
      <c r="F11" s="74"/>
      <c r="G11" s="74"/>
      <c r="H11" s="74"/>
      <c r="I11" s="74"/>
      <c r="J11" s="74"/>
      <c r="K11" s="74"/>
      <c r="L11" s="74" t="s">
        <v>55</v>
      </c>
      <c r="M11" s="77">
        <f>'Tabel 1.1'!B11</f>
        <v>3693482</v>
      </c>
      <c r="N11" s="77">
        <f>'Tabel 1.1'!C11</f>
        <v>3715260.49223</v>
      </c>
      <c r="O11" s="74"/>
    </row>
    <row r="12" spans="1:15" x14ac:dyDescent="0.3">
      <c r="A12" s="74"/>
      <c r="B12" s="74"/>
      <c r="C12" s="74"/>
      <c r="D12" s="74"/>
      <c r="E12" s="74"/>
      <c r="F12" s="74"/>
      <c r="G12" s="74"/>
      <c r="H12" s="74"/>
      <c r="I12" s="74"/>
      <c r="J12" s="74"/>
      <c r="K12" s="74"/>
      <c r="L12" s="74" t="s">
        <v>56</v>
      </c>
      <c r="M12" s="77">
        <f>'Tabel 1.1'!B12</f>
        <v>228170</v>
      </c>
      <c r="N12" s="77">
        <f>'Tabel 1.1'!C12</f>
        <v>252371</v>
      </c>
      <c r="O12" s="74"/>
    </row>
    <row r="13" spans="1:15" x14ac:dyDescent="0.3">
      <c r="A13" s="74"/>
      <c r="B13" s="74"/>
      <c r="C13" s="74"/>
      <c r="D13" s="74"/>
      <c r="E13" s="74"/>
      <c r="F13" s="74"/>
      <c r="G13" s="74"/>
      <c r="H13" s="74"/>
      <c r="I13" s="74"/>
      <c r="J13" s="74"/>
      <c r="K13" s="74"/>
      <c r="L13" s="74" t="s">
        <v>57</v>
      </c>
      <c r="M13" s="77">
        <f>'Tabel 1.1'!B13</f>
        <v>463177</v>
      </c>
      <c r="N13" s="77">
        <f>'Tabel 1.1'!C13</f>
        <v>491735</v>
      </c>
      <c r="O13" s="74"/>
    </row>
    <row r="14" spans="1:15" x14ac:dyDescent="0.3">
      <c r="A14" s="74"/>
      <c r="B14" s="74"/>
      <c r="C14" s="74"/>
      <c r="D14" s="74"/>
      <c r="E14" s="74"/>
      <c r="F14" s="74"/>
      <c r="G14" s="74"/>
      <c r="H14" s="74"/>
      <c r="I14" s="74"/>
      <c r="J14" s="74"/>
      <c r="K14" s="74"/>
      <c r="L14" s="74" t="s">
        <v>58</v>
      </c>
      <c r="M14" s="77">
        <f>'Tabel 1.1'!B14</f>
        <v>6101</v>
      </c>
      <c r="N14" s="77">
        <f>'Tabel 1.1'!C14</f>
        <v>6362.2570000000096</v>
      </c>
      <c r="O14" s="74"/>
    </row>
    <row r="15" spans="1:15" x14ac:dyDescent="0.3">
      <c r="A15" s="74"/>
      <c r="B15" s="74"/>
      <c r="C15" s="74"/>
      <c r="D15" s="74"/>
      <c r="E15" s="74"/>
      <c r="F15" s="74"/>
      <c r="G15" s="74"/>
      <c r="H15" s="74"/>
      <c r="I15" s="74"/>
      <c r="J15" s="74"/>
      <c r="K15" s="74"/>
      <c r="L15" s="74" t="s">
        <v>59</v>
      </c>
      <c r="M15" s="77">
        <f>'Tabel 1.1'!B15</f>
        <v>1376815</v>
      </c>
      <c r="N15" s="77">
        <f>'Tabel 1.1'!C15</f>
        <v>1365659</v>
      </c>
      <c r="O15" s="74"/>
    </row>
    <row r="16" spans="1:15" x14ac:dyDescent="0.3">
      <c r="A16" s="74"/>
      <c r="B16" s="74"/>
      <c r="C16" s="74"/>
      <c r="D16" s="74"/>
      <c r="E16" s="74"/>
      <c r="F16" s="74"/>
      <c r="G16" s="74"/>
      <c r="H16" s="74"/>
      <c r="I16" s="74"/>
      <c r="J16" s="74"/>
      <c r="K16" s="74"/>
      <c r="L16" s="74" t="s">
        <v>60</v>
      </c>
      <c r="M16" s="77">
        <f>'Tabel 1.1'!B16</f>
        <v>448350</v>
      </c>
      <c r="N16" s="77">
        <f>'Tabel 1.1'!C16</f>
        <v>495734</v>
      </c>
      <c r="O16" s="74"/>
    </row>
    <row r="17" spans="1:15" x14ac:dyDescent="0.3">
      <c r="A17" s="74"/>
      <c r="B17" s="74"/>
      <c r="C17" s="74"/>
      <c r="D17" s="74"/>
      <c r="E17" s="74"/>
      <c r="F17" s="74"/>
      <c r="G17" s="74"/>
      <c r="H17" s="74"/>
      <c r="I17" s="74"/>
      <c r="J17" s="74"/>
      <c r="K17" s="74"/>
      <c r="L17" s="74" t="s">
        <v>61</v>
      </c>
      <c r="M17" s="77">
        <f>'Tabel 1.1'!B17</f>
        <v>27672</v>
      </c>
      <c r="N17" s="77">
        <f>'Tabel 1.1'!C17</f>
        <v>26625.80341</v>
      </c>
      <c r="O17" s="74"/>
    </row>
    <row r="18" spans="1:15" x14ac:dyDescent="0.3">
      <c r="A18" s="74"/>
      <c r="B18" s="74"/>
      <c r="C18" s="74"/>
      <c r="D18" s="74"/>
      <c r="E18" s="74"/>
      <c r="F18" s="74"/>
      <c r="G18" s="74"/>
      <c r="H18" s="74"/>
      <c r="I18" s="74"/>
      <c r="J18" s="74"/>
      <c r="K18" s="74"/>
      <c r="L18" s="74" t="s">
        <v>62</v>
      </c>
      <c r="M18" s="77">
        <f>'Tabel 1.1'!B18</f>
        <v>354933.20600000001</v>
      </c>
      <c r="N18" s="77">
        <f>'Tabel 1.1'!C18</f>
        <v>368992.59400000004</v>
      </c>
      <c r="O18" s="74"/>
    </row>
    <row r="19" spans="1:15" x14ac:dyDescent="0.3">
      <c r="A19" s="74"/>
      <c r="B19" s="74"/>
      <c r="C19" s="74"/>
      <c r="D19" s="74"/>
      <c r="E19" s="74"/>
      <c r="F19" s="74"/>
      <c r="G19" s="74"/>
      <c r="H19" s="74"/>
      <c r="I19" s="74"/>
      <c r="J19" s="74"/>
      <c r="K19" s="74"/>
      <c r="L19" s="74" t="s">
        <v>63</v>
      </c>
      <c r="M19" s="77">
        <f>'Tabel 1.1'!B19</f>
        <v>31138078.29101</v>
      </c>
      <c r="N19" s="77">
        <f>'Tabel 1.1'!C19</f>
        <v>32032545.142410003</v>
      </c>
      <c r="O19" s="74"/>
    </row>
    <row r="20" spans="1:15" x14ac:dyDescent="0.3">
      <c r="A20" s="74"/>
      <c r="B20" s="74"/>
      <c r="C20" s="74"/>
      <c r="D20" s="74"/>
      <c r="E20" s="74"/>
      <c r="F20" s="74"/>
      <c r="G20" s="74"/>
      <c r="H20" s="74"/>
      <c r="I20" s="74"/>
      <c r="J20" s="74"/>
      <c r="K20" s="74"/>
      <c r="L20" s="74" t="s">
        <v>64</v>
      </c>
      <c r="M20" s="77">
        <f>'Tabel 1.1'!B20</f>
        <v>66367</v>
      </c>
      <c r="N20" s="77">
        <f>'Tabel 1.1'!C20</f>
        <v>74207</v>
      </c>
      <c r="O20" s="74"/>
    </row>
    <row r="21" spans="1:15" x14ac:dyDescent="0.3">
      <c r="A21" s="74"/>
      <c r="B21" s="74"/>
      <c r="C21" s="74"/>
      <c r="D21" s="74"/>
      <c r="E21" s="74"/>
      <c r="F21" s="74"/>
      <c r="G21" s="74"/>
      <c r="H21" s="74"/>
      <c r="I21" s="74"/>
      <c r="J21" s="74"/>
      <c r="K21" s="74"/>
      <c r="L21" s="74" t="s">
        <v>65</v>
      </c>
      <c r="M21" s="77">
        <f>'Tabel 1.1'!B21</f>
        <v>126445.98299999999</v>
      </c>
      <c r="N21" s="77">
        <f>'Tabel 1.1'!C21</f>
        <v>163742.53900000002</v>
      </c>
      <c r="O21" s="74"/>
    </row>
    <row r="22" spans="1:15" x14ac:dyDescent="0.3">
      <c r="A22" s="74"/>
      <c r="B22" s="74"/>
      <c r="C22" s="74"/>
      <c r="D22" s="74"/>
      <c r="E22" s="74"/>
      <c r="F22" s="74"/>
      <c r="G22" s="74"/>
      <c r="H22" s="74"/>
      <c r="I22" s="74"/>
      <c r="J22" s="74"/>
      <c r="K22" s="74"/>
      <c r="L22" s="74" t="s">
        <v>411</v>
      </c>
      <c r="M22" s="77">
        <f>'Tabel 1.1'!B22</f>
        <v>24377</v>
      </c>
      <c r="N22" s="77">
        <f>'Tabel 1.1'!C22</f>
        <v>28648</v>
      </c>
      <c r="O22" s="74"/>
    </row>
    <row r="23" spans="1:15" x14ac:dyDescent="0.3">
      <c r="A23" s="74"/>
      <c r="B23" s="74"/>
      <c r="C23" s="74"/>
      <c r="D23" s="74"/>
      <c r="E23" s="74"/>
      <c r="F23" s="74"/>
      <c r="G23" s="74"/>
      <c r="H23" s="74"/>
      <c r="I23" s="74"/>
      <c r="J23" s="74"/>
      <c r="K23" s="74"/>
      <c r="L23" s="74" t="s">
        <v>405</v>
      </c>
      <c r="M23" s="77">
        <f>'Tabel 1.1'!B23</f>
        <v>1079</v>
      </c>
      <c r="N23" s="77">
        <f>'Tabel 1.1'!C23</f>
        <v>12781.715</v>
      </c>
      <c r="O23" s="74"/>
    </row>
    <row r="24" spans="1:15" x14ac:dyDescent="0.3">
      <c r="A24" s="74"/>
      <c r="B24" s="74"/>
      <c r="C24" s="74"/>
      <c r="D24" s="74"/>
      <c r="E24" s="74"/>
      <c r="F24" s="74"/>
      <c r="G24" s="74"/>
      <c r="H24" s="74"/>
      <c r="I24" s="74"/>
      <c r="J24" s="74"/>
      <c r="K24" s="74"/>
      <c r="L24" s="74" t="s">
        <v>66</v>
      </c>
      <c r="M24" s="77">
        <f>'Tabel 1.1'!B24</f>
        <v>1223827.0734030721</v>
      </c>
      <c r="N24" s="77">
        <f>'Tabel 1.1'!C24</f>
        <v>1234767.86646463</v>
      </c>
      <c r="O24" s="74"/>
    </row>
    <row r="25" spans="1:15" x14ac:dyDescent="0.3">
      <c r="A25" s="74"/>
      <c r="B25" s="74"/>
      <c r="C25" s="74"/>
      <c r="D25" s="74"/>
      <c r="E25" s="74"/>
      <c r="F25" s="74"/>
      <c r="G25" s="74"/>
      <c r="H25" s="74"/>
      <c r="I25" s="74"/>
      <c r="J25" s="74"/>
      <c r="K25" s="74"/>
      <c r="L25" s="74" t="s">
        <v>67</v>
      </c>
      <c r="M25" s="77">
        <f>'Tabel 1.1'!B25</f>
        <v>4003368.5150000001</v>
      </c>
      <c r="N25" s="77">
        <f>'Tabel 1.1'!C25</f>
        <v>4463574</v>
      </c>
      <c r="O25" s="74"/>
    </row>
    <row r="26" spans="1:15" s="141" customFormat="1" x14ac:dyDescent="0.3">
      <c r="A26" s="74"/>
      <c r="B26" s="74"/>
      <c r="C26" s="74"/>
      <c r="D26" s="74"/>
      <c r="E26" s="74"/>
      <c r="F26" s="74"/>
      <c r="G26" s="74"/>
      <c r="H26" s="74"/>
      <c r="I26" s="74"/>
      <c r="J26" s="74"/>
      <c r="K26" s="74"/>
      <c r="L26" s="74" t="s">
        <v>399</v>
      </c>
      <c r="M26" s="77">
        <f>'Tabel 1.1'!B26</f>
        <v>299297.71739252901</v>
      </c>
      <c r="N26" s="77">
        <f>'Tabel 1.1'!C26</f>
        <v>298592.88391241134</v>
      </c>
      <c r="O26" s="74"/>
    </row>
    <row r="27" spans="1:15" x14ac:dyDescent="0.3">
      <c r="A27" s="74"/>
      <c r="B27" s="74"/>
      <c r="C27" s="74"/>
      <c r="D27" s="74"/>
      <c r="E27" s="74"/>
      <c r="F27" s="74"/>
      <c r="G27" s="74"/>
      <c r="H27" s="74"/>
      <c r="I27" s="74"/>
      <c r="J27" s="74"/>
      <c r="K27" s="74"/>
      <c r="L27" s="74" t="s">
        <v>68</v>
      </c>
      <c r="M27" s="77">
        <f>'Tabel 1.1'!B27</f>
        <v>2103059.9592800001</v>
      </c>
      <c r="N27" s="77">
        <f>'Tabel 1.1'!C27</f>
        <v>2285218.03632</v>
      </c>
      <c r="O27" s="74"/>
    </row>
    <row r="28" spans="1:15" x14ac:dyDescent="0.3">
      <c r="A28" s="74"/>
      <c r="B28" s="74"/>
      <c r="C28" s="74"/>
      <c r="D28" s="74"/>
      <c r="E28" s="74"/>
      <c r="F28" s="74"/>
      <c r="G28" s="74"/>
      <c r="H28" s="74"/>
      <c r="I28" s="74"/>
      <c r="J28" s="74"/>
      <c r="K28" s="74"/>
      <c r="L28" s="74" t="s">
        <v>69</v>
      </c>
      <c r="M28" s="77">
        <f>'Tabel 1.1'!B28</f>
        <v>4517436.4090000009</v>
      </c>
      <c r="N28" s="77">
        <f>'Tabel 1.1'!C28</f>
        <v>4417928.83</v>
      </c>
    </row>
    <row r="29" spans="1:15" x14ac:dyDescent="0.3">
      <c r="A29" s="74"/>
      <c r="B29" s="74"/>
      <c r="C29" s="74"/>
      <c r="D29" s="74"/>
      <c r="E29" s="74"/>
      <c r="F29" s="74"/>
      <c r="G29" s="74"/>
      <c r="H29" s="74"/>
      <c r="I29" s="74"/>
      <c r="J29" s="74"/>
      <c r="K29" s="74"/>
      <c r="L29" s="74" t="s">
        <v>70</v>
      </c>
      <c r="M29" s="77">
        <f>'Tabel 1.1'!B29</f>
        <v>20446</v>
      </c>
      <c r="N29" s="77">
        <f>'Tabel 1.1'!C29</f>
        <v>0</v>
      </c>
    </row>
    <row r="30" spans="1:15" x14ac:dyDescent="0.3">
      <c r="A30" s="74"/>
      <c r="B30" s="74"/>
      <c r="C30" s="74"/>
      <c r="D30" s="74"/>
      <c r="E30" s="74"/>
      <c r="F30" s="74"/>
      <c r="G30" s="74"/>
      <c r="H30" s="74"/>
      <c r="I30" s="74"/>
      <c r="J30" s="74"/>
      <c r="K30" s="74"/>
      <c r="L30" s="74" t="s">
        <v>71</v>
      </c>
      <c r="M30" s="77">
        <f>'Tabel 1.1'!B30</f>
        <v>494563</v>
      </c>
      <c r="N30" s="77">
        <f>'Tabel 1.1'!C30</f>
        <v>577343.84699999995</v>
      </c>
    </row>
    <row r="31" spans="1:15" x14ac:dyDescent="0.3">
      <c r="A31" s="75" t="s">
        <v>412</v>
      </c>
      <c r="B31" s="74"/>
      <c r="C31" s="74"/>
      <c r="D31" s="74"/>
      <c r="E31" s="74"/>
      <c r="F31" s="74"/>
      <c r="G31" s="74"/>
      <c r="H31" s="74"/>
      <c r="I31" s="79"/>
      <c r="J31" s="74"/>
      <c r="K31" s="74"/>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v>2018</v>
      </c>
      <c r="N36" s="74">
        <v>2019</v>
      </c>
    </row>
    <row r="37" spans="1:15" x14ac:dyDescent="0.3">
      <c r="A37" s="74"/>
      <c r="B37" s="74"/>
      <c r="C37" s="74"/>
      <c r="D37" s="74"/>
      <c r="E37" s="74"/>
      <c r="F37" s="74"/>
      <c r="G37" s="74"/>
      <c r="H37" s="74"/>
      <c r="I37" s="74"/>
      <c r="J37" s="74"/>
      <c r="K37" s="74"/>
      <c r="L37" s="79" t="s">
        <v>54</v>
      </c>
      <c r="M37" s="78">
        <f>'Tabel 1.1'!B34</f>
        <v>1378607.102</v>
      </c>
      <c r="N37" s="78">
        <f>'Tabel 1.1'!C34</f>
        <v>1462527.3599999999</v>
      </c>
    </row>
    <row r="38" spans="1:15" x14ac:dyDescent="0.3">
      <c r="A38" s="74"/>
      <c r="B38" s="74"/>
      <c r="C38" s="74"/>
      <c r="D38" s="74"/>
      <c r="E38" s="74"/>
      <c r="F38" s="74"/>
      <c r="G38" s="74"/>
      <c r="H38" s="74"/>
      <c r="I38" s="74"/>
      <c r="J38" s="74"/>
      <c r="K38" s="74"/>
      <c r="L38" s="74" t="s">
        <v>55</v>
      </c>
      <c r="M38" s="78">
        <f>'Tabel 1.1'!B35</f>
        <v>6459699</v>
      </c>
      <c r="N38" s="78">
        <f>'Tabel 1.1'!C35</f>
        <v>7274914.4699999997</v>
      </c>
    </row>
    <row r="39" spans="1:15" x14ac:dyDescent="0.3">
      <c r="A39" s="74"/>
      <c r="B39" s="74"/>
      <c r="C39" s="74"/>
      <c r="D39" s="74"/>
      <c r="E39" s="74"/>
      <c r="F39" s="74"/>
      <c r="G39" s="74"/>
      <c r="H39" s="74"/>
      <c r="I39" s="74"/>
      <c r="J39" s="74"/>
      <c r="K39" s="74"/>
      <c r="L39" s="74" t="s">
        <v>57</v>
      </c>
      <c r="M39" s="78">
        <f>'Tabel 1.1'!B36</f>
        <v>272300</v>
      </c>
      <c r="N39" s="78">
        <f>'Tabel 1.1'!C36</f>
        <v>301589</v>
      </c>
    </row>
    <row r="40" spans="1:15" x14ac:dyDescent="0.3">
      <c r="A40" s="74"/>
      <c r="B40" s="74"/>
      <c r="C40" s="74"/>
      <c r="D40" s="74"/>
      <c r="E40" s="74"/>
      <c r="F40" s="74"/>
      <c r="G40" s="74"/>
      <c r="H40" s="74"/>
      <c r="I40" s="74"/>
      <c r="J40" s="74"/>
      <c r="K40" s="74"/>
      <c r="L40" s="79" t="s">
        <v>60</v>
      </c>
      <c r="M40" s="78">
        <f>'Tabel 1.1'!B37</f>
        <v>2075074</v>
      </c>
      <c r="N40" s="78">
        <f>'Tabel 1.1'!C37</f>
        <v>2383693</v>
      </c>
    </row>
    <row r="41" spans="1:15" x14ac:dyDescent="0.3">
      <c r="A41" s="74"/>
      <c r="B41" s="74"/>
      <c r="C41" s="74"/>
      <c r="D41" s="74"/>
      <c r="E41" s="74"/>
      <c r="F41" s="74"/>
      <c r="G41" s="74"/>
      <c r="H41" s="74"/>
      <c r="I41" s="74"/>
      <c r="J41" s="74"/>
      <c r="K41" s="74"/>
      <c r="L41" s="74" t="s">
        <v>63</v>
      </c>
      <c r="M41" s="78">
        <f>'Tabel 1.1'!B38</f>
        <v>116827.63</v>
      </c>
      <c r="N41" s="78">
        <f>'Tabel 1.1'!C38</f>
        <v>125663.209</v>
      </c>
      <c r="O41" s="74"/>
    </row>
    <row r="42" spans="1:15" x14ac:dyDescent="0.3">
      <c r="A42" s="74"/>
      <c r="B42" s="74"/>
      <c r="C42" s="74"/>
      <c r="D42" s="74"/>
      <c r="E42" s="74"/>
      <c r="F42" s="74"/>
      <c r="G42" s="74"/>
      <c r="H42" s="74"/>
      <c r="I42" s="74"/>
      <c r="J42" s="74"/>
      <c r="K42" s="74"/>
      <c r="L42" s="79" t="s">
        <v>64</v>
      </c>
      <c r="M42" s="78">
        <f>'Tabel 1.1'!B39</f>
        <v>315306</v>
      </c>
      <c r="N42" s="78">
        <f>'Tabel 1.1'!C39</f>
        <v>401210</v>
      </c>
      <c r="O42" s="74"/>
    </row>
    <row r="43" spans="1:15" x14ac:dyDescent="0.3">
      <c r="A43" s="74"/>
      <c r="B43" s="74"/>
      <c r="C43" s="74"/>
      <c r="D43" s="74"/>
      <c r="E43" s="74"/>
      <c r="F43" s="74"/>
      <c r="G43" s="74"/>
      <c r="H43" s="74"/>
      <c r="I43" s="74"/>
      <c r="J43" s="74"/>
      <c r="K43" s="74"/>
      <c r="L43" s="79" t="s">
        <v>66</v>
      </c>
      <c r="M43" s="78">
        <f>'Tabel 1.1'!B40</f>
        <v>6126379.0115300007</v>
      </c>
      <c r="N43" s="78">
        <f>'Tabel 1.1'!C40</f>
        <v>8452097.9891100004</v>
      </c>
      <c r="O43" s="74"/>
    </row>
    <row r="44" spans="1:15" x14ac:dyDescent="0.3">
      <c r="A44" s="74"/>
      <c r="B44" s="74"/>
      <c r="C44" s="74"/>
      <c r="D44" s="74"/>
      <c r="E44" s="74"/>
      <c r="F44" s="74"/>
      <c r="G44" s="74"/>
      <c r="H44" s="74"/>
      <c r="I44" s="74"/>
      <c r="J44" s="74"/>
      <c r="K44" s="74"/>
      <c r="L44" s="79" t="s">
        <v>72</v>
      </c>
      <c r="M44" s="78">
        <f>'Tabel 1.1'!B41</f>
        <v>108843</v>
      </c>
      <c r="N44" s="78">
        <f>'Tabel 1.1'!C41</f>
        <v>97840.428989999986</v>
      </c>
      <c r="O44" s="74"/>
    </row>
    <row r="45" spans="1:15" x14ac:dyDescent="0.3">
      <c r="A45" s="74"/>
      <c r="B45" s="74"/>
      <c r="C45" s="74"/>
      <c r="D45" s="74"/>
      <c r="E45" s="74"/>
      <c r="F45" s="74"/>
      <c r="G45" s="74"/>
      <c r="H45" s="74"/>
      <c r="I45" s="74"/>
      <c r="J45" s="74"/>
      <c r="K45" s="74"/>
      <c r="L45" s="79" t="s">
        <v>68</v>
      </c>
      <c r="M45" s="78">
        <f>'Tabel 1.1'!B42</f>
        <v>2837915.8733999999</v>
      </c>
      <c r="N45" s="78">
        <f>'Tabel 1.1'!C42</f>
        <v>3230081.0362499999</v>
      </c>
      <c r="O45" s="74"/>
    </row>
    <row r="46" spans="1:15" x14ac:dyDescent="0.3">
      <c r="A46" s="74"/>
      <c r="B46" s="74"/>
      <c r="C46" s="74"/>
      <c r="D46" s="74"/>
      <c r="E46" s="74"/>
      <c r="F46" s="74"/>
      <c r="G46" s="74"/>
      <c r="H46" s="74"/>
      <c r="I46" s="74"/>
      <c r="J46" s="74"/>
      <c r="K46" s="74"/>
      <c r="L46" s="79" t="s">
        <v>73</v>
      </c>
      <c r="M46" s="78">
        <f>'Tabel 1.1'!B43</f>
        <v>8177309.6540000001</v>
      </c>
      <c r="N46" s="78">
        <f>'Tabel 1.1'!C43</f>
        <v>8147311.8700000001</v>
      </c>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413</v>
      </c>
      <c r="B56" s="74"/>
      <c r="C56" s="74"/>
      <c r="D56" s="74"/>
      <c r="E56" s="74"/>
      <c r="F56" s="74"/>
      <c r="G56" s="74"/>
      <c r="H56" s="74"/>
      <c r="I56" s="79"/>
      <c r="J56" s="74"/>
      <c r="K56" s="74"/>
      <c r="O56" s="74"/>
    </row>
    <row r="57" spans="1:15" x14ac:dyDescent="0.3">
      <c r="A57" s="74"/>
      <c r="B57" s="74"/>
      <c r="C57" s="74"/>
      <c r="D57" s="74"/>
      <c r="E57" s="74"/>
      <c r="F57" s="74"/>
      <c r="G57" s="74"/>
      <c r="H57" s="74"/>
      <c r="I57" s="74"/>
      <c r="J57" s="74"/>
      <c r="K57" s="74"/>
      <c r="L57" s="74" t="s">
        <v>74</v>
      </c>
      <c r="O57" s="74"/>
    </row>
    <row r="58" spans="1:15" x14ac:dyDescent="0.3">
      <c r="A58" s="74"/>
      <c r="B58" s="74"/>
      <c r="C58" s="74"/>
      <c r="D58" s="74"/>
      <c r="E58" s="74"/>
      <c r="F58" s="74"/>
      <c r="G58" s="74"/>
      <c r="H58" s="74"/>
      <c r="I58" s="74"/>
      <c r="J58" s="74"/>
      <c r="K58" s="74"/>
      <c r="L58" s="74" t="s">
        <v>0</v>
      </c>
      <c r="O58" s="74"/>
    </row>
    <row r="59" spans="1:15" x14ac:dyDescent="0.3">
      <c r="A59" s="74"/>
      <c r="B59" s="74"/>
      <c r="C59" s="74"/>
      <c r="D59" s="74"/>
      <c r="E59" s="74"/>
      <c r="F59" s="74"/>
      <c r="G59" s="74"/>
      <c r="H59" s="74"/>
      <c r="I59" s="74"/>
      <c r="J59" s="74"/>
      <c r="K59" s="74"/>
      <c r="M59" s="74">
        <v>2018</v>
      </c>
      <c r="N59" s="74">
        <v>2019</v>
      </c>
      <c r="O59" s="74"/>
    </row>
    <row r="60" spans="1:15" x14ac:dyDescent="0.3">
      <c r="A60" s="74"/>
      <c r="B60" s="74"/>
      <c r="C60" s="74"/>
      <c r="D60" s="74"/>
      <c r="E60" s="74"/>
      <c r="F60" s="74"/>
      <c r="G60" s="74"/>
      <c r="H60" s="74"/>
      <c r="I60" s="74"/>
      <c r="J60" s="74"/>
      <c r="K60" s="74"/>
      <c r="L60" s="74" t="s">
        <v>54</v>
      </c>
      <c r="M60" s="77">
        <f>'Tabel 1.1'!G10</f>
        <v>1087595.622</v>
      </c>
      <c r="N60" s="77">
        <f>'Tabel 1.1'!H10</f>
        <v>1147898.6510000001</v>
      </c>
      <c r="O60" s="74"/>
    </row>
    <row r="61" spans="1:15" x14ac:dyDescent="0.3">
      <c r="A61" s="74"/>
      <c r="B61" s="74"/>
      <c r="C61" s="74"/>
      <c r="D61" s="74"/>
      <c r="E61" s="74"/>
      <c r="F61" s="74"/>
      <c r="G61" s="74"/>
      <c r="H61" s="74"/>
      <c r="I61" s="74"/>
      <c r="J61" s="74"/>
      <c r="K61" s="74"/>
      <c r="L61" s="74" t="s">
        <v>55</v>
      </c>
      <c r="M61" s="77">
        <f>'Tabel 1.1'!G11</f>
        <v>201016641</v>
      </c>
      <c r="N61" s="77">
        <f>'Tabel 1.1'!H11</f>
        <v>198989780.16319001</v>
      </c>
      <c r="O61" s="74"/>
    </row>
    <row r="62" spans="1:15" x14ac:dyDescent="0.3">
      <c r="A62" s="74"/>
      <c r="B62" s="74"/>
      <c r="C62" s="74"/>
      <c r="D62" s="74"/>
      <c r="E62" s="74"/>
      <c r="F62" s="74"/>
      <c r="G62" s="74"/>
      <c r="H62" s="74"/>
      <c r="I62" s="74"/>
      <c r="J62" s="74"/>
      <c r="K62" s="74"/>
      <c r="L62" s="74" t="s">
        <v>56</v>
      </c>
      <c r="M62" s="77">
        <f>'Tabel 1.1'!G12</f>
        <v>0</v>
      </c>
      <c r="N62" s="77">
        <f>'Tabel 1.1'!H12</f>
        <v>0</v>
      </c>
      <c r="O62" s="74"/>
    </row>
    <row r="63" spans="1:15" x14ac:dyDescent="0.3">
      <c r="A63" s="74"/>
      <c r="B63" s="74"/>
      <c r="C63" s="74"/>
      <c r="D63" s="74"/>
      <c r="E63" s="74"/>
      <c r="F63" s="74"/>
      <c r="G63" s="74"/>
      <c r="H63" s="74"/>
      <c r="I63" s="74"/>
      <c r="J63" s="74"/>
      <c r="K63" s="74"/>
      <c r="L63" s="74" t="s">
        <v>57</v>
      </c>
      <c r="M63" s="77">
        <f>'Tabel 1.1'!G13</f>
        <v>833959.8</v>
      </c>
      <c r="N63" s="77">
        <f>'Tabel 1.1'!H13</f>
        <v>950096</v>
      </c>
      <c r="O63" s="74"/>
    </row>
    <row r="64" spans="1:15" x14ac:dyDescent="0.3">
      <c r="A64" s="74"/>
      <c r="B64" s="74"/>
      <c r="C64" s="74"/>
      <c r="D64" s="74"/>
      <c r="E64" s="74"/>
      <c r="F64" s="74"/>
      <c r="G64" s="74"/>
      <c r="H64" s="74"/>
      <c r="I64" s="74"/>
      <c r="J64" s="74"/>
      <c r="K64" s="74"/>
      <c r="L64" s="74" t="s">
        <v>59</v>
      </c>
      <c r="M64" s="77">
        <f>'Tabel 1.1'!G14</f>
        <v>0</v>
      </c>
      <c r="N64" s="77">
        <f>'Tabel 1.1'!H14</f>
        <v>0</v>
      </c>
      <c r="O64" s="74"/>
    </row>
    <row r="65" spans="1:15" x14ac:dyDescent="0.3">
      <c r="A65" s="74"/>
      <c r="B65" s="74"/>
      <c r="C65" s="74"/>
      <c r="D65" s="74"/>
      <c r="E65" s="74"/>
      <c r="F65" s="74"/>
      <c r="G65" s="74"/>
      <c r="H65" s="74"/>
      <c r="I65" s="74"/>
      <c r="J65" s="74"/>
      <c r="K65" s="74"/>
      <c r="L65" s="74" t="s">
        <v>60</v>
      </c>
      <c r="M65" s="77">
        <f>'Tabel 1.1'!G16</f>
        <v>6474253</v>
      </c>
      <c r="N65" s="77">
        <f>'Tabel 1.1'!H16</f>
        <v>7082534</v>
      </c>
      <c r="O65" s="74"/>
    </row>
    <row r="66" spans="1:15" x14ac:dyDescent="0.3">
      <c r="A66" s="74"/>
      <c r="B66" s="74"/>
      <c r="C66" s="74"/>
      <c r="D66" s="74"/>
      <c r="E66" s="74"/>
      <c r="F66" s="74"/>
      <c r="G66" s="74"/>
      <c r="H66" s="74"/>
      <c r="I66" s="74"/>
      <c r="J66" s="74"/>
      <c r="K66" s="74"/>
      <c r="L66" s="74" t="s">
        <v>61</v>
      </c>
      <c r="M66" s="77">
        <f>'Tabel 1.1'!G17</f>
        <v>22959</v>
      </c>
      <c r="N66" s="77">
        <f>'Tabel 1.1'!H17</f>
        <v>28422.660874665598</v>
      </c>
      <c r="O66" s="74"/>
    </row>
    <row r="67" spans="1:15" x14ac:dyDescent="0.3">
      <c r="A67" s="74"/>
      <c r="B67" s="74"/>
      <c r="C67" s="74"/>
      <c r="D67" s="74"/>
      <c r="E67" s="74"/>
      <c r="F67" s="74"/>
      <c r="G67" s="74"/>
      <c r="H67" s="74"/>
      <c r="I67" s="74"/>
      <c r="J67" s="74"/>
      <c r="K67" s="74"/>
      <c r="L67" s="74" t="s">
        <v>62</v>
      </c>
      <c r="M67" s="77">
        <f>'Tabel 1.1'!G18</f>
        <v>0</v>
      </c>
      <c r="N67" s="77">
        <f>'Tabel 1.1'!H18</f>
        <v>0</v>
      </c>
      <c r="O67" s="74"/>
    </row>
    <row r="68" spans="1:15" x14ac:dyDescent="0.3">
      <c r="A68" s="74"/>
      <c r="B68" s="74"/>
      <c r="C68" s="74"/>
      <c r="D68" s="74"/>
      <c r="E68" s="74"/>
      <c r="F68" s="74"/>
      <c r="G68" s="74"/>
      <c r="H68" s="74"/>
      <c r="I68" s="74"/>
      <c r="J68" s="74"/>
      <c r="K68" s="74"/>
      <c r="L68" s="74" t="s">
        <v>63</v>
      </c>
      <c r="M68" s="77">
        <f>'Tabel 1.1'!G19</f>
        <v>469261417.09344</v>
      </c>
      <c r="N68" s="77">
        <f>'Tabel 1.1'!H19</f>
        <v>497212120.95908999</v>
      </c>
      <c r="O68" s="74"/>
    </row>
    <row r="69" spans="1:15" x14ac:dyDescent="0.3">
      <c r="A69" s="74"/>
      <c r="B69" s="74"/>
      <c r="C69" s="74"/>
      <c r="D69" s="74"/>
      <c r="E69" s="74"/>
      <c r="F69" s="74"/>
      <c r="G69" s="74"/>
      <c r="H69" s="74"/>
      <c r="I69" s="74"/>
      <c r="J69" s="74"/>
      <c r="K69" s="74"/>
      <c r="L69" s="74" t="s">
        <v>64</v>
      </c>
      <c r="M69" s="77">
        <f>'Tabel 1.1'!G20</f>
        <v>1682836</v>
      </c>
      <c r="N69" s="77">
        <f>'Tabel 1.1'!H20</f>
        <v>1726673</v>
      </c>
      <c r="O69" s="74"/>
    </row>
    <row r="70" spans="1:15" x14ac:dyDescent="0.3">
      <c r="A70" s="74"/>
      <c r="B70" s="74"/>
      <c r="C70" s="74"/>
      <c r="D70" s="74"/>
      <c r="E70" s="74"/>
      <c r="F70" s="74"/>
      <c r="G70" s="74"/>
      <c r="H70" s="74"/>
      <c r="I70" s="74"/>
      <c r="J70" s="74"/>
      <c r="K70" s="74"/>
      <c r="L70" s="74" t="s">
        <v>65</v>
      </c>
      <c r="M70" s="77">
        <f>'Tabel 1.1'!G21</f>
        <v>17207.845999999998</v>
      </c>
      <c r="N70" s="77">
        <f>'Tabel 1.1'!H21</f>
        <v>34480.175000000003</v>
      </c>
      <c r="O70" s="74"/>
    </row>
    <row r="71" spans="1:15" x14ac:dyDescent="0.3">
      <c r="A71" s="74"/>
      <c r="B71" s="74"/>
      <c r="C71" s="74"/>
      <c r="D71" s="74"/>
      <c r="E71" s="74"/>
      <c r="F71" s="74"/>
      <c r="G71" s="74"/>
      <c r="H71" s="74"/>
      <c r="I71" s="74"/>
      <c r="J71" s="74"/>
      <c r="K71" s="74"/>
      <c r="L71" s="74" t="s">
        <v>66</v>
      </c>
      <c r="M71" s="77">
        <f>'Tabel 1.1'!G24</f>
        <v>50214570.000432804</v>
      </c>
      <c r="N71" s="77">
        <f>'Tabel 1.1'!H24</f>
        <v>51315530.000145264</v>
      </c>
      <c r="O71" s="74"/>
    </row>
    <row r="72" spans="1:15" x14ac:dyDescent="0.3">
      <c r="A72" s="74"/>
      <c r="B72" s="74"/>
      <c r="C72" s="74"/>
      <c r="D72" s="74"/>
      <c r="E72" s="74"/>
      <c r="F72" s="74"/>
      <c r="G72" s="74"/>
      <c r="H72" s="74"/>
      <c r="I72" s="74"/>
      <c r="J72" s="74"/>
      <c r="K72" s="74"/>
      <c r="L72" s="74" t="s">
        <v>67</v>
      </c>
      <c r="M72" s="77">
        <f>'Tabel 1.1'!G25</f>
        <v>74741399.903610006</v>
      </c>
      <c r="N72" s="77">
        <f>'Tabel 1.1'!H25</f>
        <v>76175866</v>
      </c>
      <c r="O72" s="74"/>
    </row>
    <row r="73" spans="1:15" x14ac:dyDescent="0.3">
      <c r="A73" s="74"/>
      <c r="B73" s="74"/>
      <c r="C73" s="74"/>
      <c r="D73" s="74"/>
      <c r="E73" s="74"/>
      <c r="F73" s="74"/>
      <c r="G73" s="74"/>
      <c r="H73" s="74"/>
      <c r="I73" s="74"/>
      <c r="J73" s="74"/>
      <c r="K73" s="74"/>
      <c r="L73" s="74" t="s">
        <v>68</v>
      </c>
      <c r="M73" s="77">
        <f>'Tabel 1.1'!G27</f>
        <v>19235566.757199999</v>
      </c>
      <c r="N73" s="77">
        <f>'Tabel 1.1'!H27</f>
        <v>20850610.60103</v>
      </c>
      <c r="O73" s="74"/>
    </row>
    <row r="74" spans="1:15" x14ac:dyDescent="0.3">
      <c r="A74" s="74"/>
      <c r="B74" s="74"/>
      <c r="C74" s="74"/>
      <c r="D74" s="74"/>
      <c r="E74" s="74"/>
      <c r="F74" s="74"/>
      <c r="G74" s="74"/>
      <c r="H74" s="74"/>
      <c r="I74" s="74"/>
      <c r="J74" s="74"/>
      <c r="K74" s="74"/>
      <c r="L74" s="74" t="s">
        <v>69</v>
      </c>
      <c r="M74" s="77">
        <f>'Tabel 1.1'!G28</f>
        <v>181362430.31399998</v>
      </c>
      <c r="N74" s="77">
        <f>'Tabel 1.1'!H28</f>
        <v>181032450.26100001</v>
      </c>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5" t="s">
        <v>414</v>
      </c>
      <c r="B80" s="74"/>
      <c r="C80" s="74"/>
      <c r="D80" s="74"/>
      <c r="E80" s="74"/>
      <c r="F80" s="74"/>
      <c r="G80" s="74"/>
      <c r="H80" s="74"/>
      <c r="I80" s="79"/>
      <c r="J80" s="74"/>
      <c r="K80" s="74"/>
      <c r="O80" s="74"/>
    </row>
    <row r="81" spans="1:15" x14ac:dyDescent="0.3">
      <c r="B81" s="74"/>
      <c r="C81" s="74"/>
      <c r="D81" s="74"/>
      <c r="E81" s="74"/>
      <c r="F81" s="74"/>
      <c r="G81" s="74"/>
      <c r="H81" s="74"/>
      <c r="I81" s="74"/>
      <c r="J81" s="74"/>
      <c r="K81" s="74"/>
      <c r="O81" s="74"/>
    </row>
    <row r="82" spans="1:15" x14ac:dyDescent="0.3">
      <c r="A82" s="74"/>
      <c r="B82" s="74"/>
      <c r="C82" s="74"/>
      <c r="D82" s="74"/>
      <c r="E82" s="74"/>
      <c r="F82" s="74"/>
      <c r="G82" s="74"/>
      <c r="H82" s="74"/>
      <c r="I82" s="74"/>
      <c r="J82" s="74"/>
      <c r="K82" s="74"/>
      <c r="L82" s="74" t="s">
        <v>74</v>
      </c>
      <c r="O82" s="74"/>
    </row>
    <row r="83" spans="1:15" x14ac:dyDescent="0.3">
      <c r="A83" s="74"/>
      <c r="B83" s="74"/>
      <c r="C83" s="74"/>
      <c r="D83" s="74"/>
      <c r="E83" s="74"/>
      <c r="F83" s="74"/>
      <c r="G83" s="74"/>
      <c r="H83" s="74"/>
      <c r="I83" s="74"/>
      <c r="J83" s="74"/>
      <c r="K83" s="74"/>
      <c r="L83" s="74" t="s">
        <v>1</v>
      </c>
      <c r="O83" s="74"/>
    </row>
    <row r="84" spans="1:15" x14ac:dyDescent="0.3">
      <c r="A84" s="74"/>
      <c r="B84" s="74"/>
      <c r="C84" s="74"/>
      <c r="D84" s="74"/>
      <c r="E84" s="74"/>
      <c r="F84" s="74"/>
      <c r="G84" s="74"/>
      <c r="H84" s="74"/>
      <c r="I84" s="74"/>
      <c r="J84" s="74"/>
      <c r="K84" s="74"/>
      <c r="M84" s="74">
        <v>2018</v>
      </c>
      <c r="N84" s="74">
        <v>2019</v>
      </c>
      <c r="O84" s="74"/>
    </row>
    <row r="85" spans="1:15" x14ac:dyDescent="0.3">
      <c r="B85" s="74"/>
      <c r="C85" s="74"/>
      <c r="D85" s="74"/>
      <c r="E85" s="74"/>
      <c r="F85" s="74"/>
      <c r="G85" s="74"/>
      <c r="H85" s="74"/>
      <c r="I85" s="74"/>
      <c r="J85" s="74"/>
      <c r="K85" s="74"/>
      <c r="L85" s="74" t="s">
        <v>54</v>
      </c>
      <c r="M85" s="77">
        <f>'Tabel 1.1'!G34</f>
        <v>17958434.743000001</v>
      </c>
      <c r="N85" s="77">
        <f>'Tabel 1.1'!H34</f>
        <v>19693741.598999999</v>
      </c>
      <c r="O85" s="74"/>
    </row>
    <row r="86" spans="1:15" x14ac:dyDescent="0.3">
      <c r="B86" s="74"/>
      <c r="C86" s="74"/>
      <c r="D86" s="74"/>
      <c r="E86" s="74"/>
      <c r="F86" s="74"/>
      <c r="G86" s="74"/>
      <c r="H86" s="74"/>
      <c r="I86" s="74"/>
      <c r="J86" s="74"/>
      <c r="K86" s="74"/>
      <c r="L86" s="74" t="s">
        <v>55</v>
      </c>
      <c r="M86" s="77">
        <f>'Tabel 1.1'!G35</f>
        <v>82380384</v>
      </c>
      <c r="N86" s="77">
        <f>'Tabel 1.1'!H35</f>
        <v>92856889.727000013</v>
      </c>
      <c r="O86" s="74"/>
    </row>
    <row r="87" spans="1:15" x14ac:dyDescent="0.3">
      <c r="B87" s="74"/>
      <c r="C87" s="74"/>
      <c r="D87" s="74"/>
      <c r="E87" s="74"/>
      <c r="F87" s="74"/>
      <c r="G87" s="74"/>
      <c r="H87" s="74"/>
      <c r="I87" s="74"/>
      <c r="J87" s="74"/>
      <c r="K87" s="74"/>
      <c r="L87" s="74" t="s">
        <v>57</v>
      </c>
      <c r="M87" s="77">
        <f>'Tabel 1.1'!G36</f>
        <v>3471864</v>
      </c>
      <c r="N87" s="77">
        <f>'Tabel 1.1'!H36</f>
        <v>3966911.3</v>
      </c>
      <c r="O87" s="74"/>
    </row>
    <row r="88" spans="1:15" x14ac:dyDescent="0.3">
      <c r="B88" s="74"/>
      <c r="C88" s="74"/>
      <c r="D88" s="74"/>
      <c r="E88" s="74"/>
      <c r="F88" s="74"/>
      <c r="G88" s="74"/>
      <c r="H88" s="74"/>
      <c r="I88" s="74"/>
      <c r="J88" s="74"/>
      <c r="K88" s="74"/>
      <c r="L88" s="79" t="s">
        <v>60</v>
      </c>
      <c r="M88" s="77">
        <f>'Tabel 1.1'!G37</f>
        <v>25237226</v>
      </c>
      <c r="N88" s="77">
        <f>'Tabel 1.1'!H37</f>
        <v>28289547</v>
      </c>
      <c r="O88" s="74"/>
    </row>
    <row r="89" spans="1:15" x14ac:dyDescent="0.3">
      <c r="B89" s="74"/>
      <c r="C89" s="74"/>
      <c r="D89" s="74"/>
      <c r="E89" s="74"/>
      <c r="F89" s="74"/>
      <c r="G89" s="74"/>
      <c r="H89" s="74"/>
      <c r="I89" s="74"/>
      <c r="J89" s="74"/>
      <c r="K89" s="74"/>
      <c r="L89" s="74" t="s">
        <v>63</v>
      </c>
      <c r="M89" s="77">
        <f>'Tabel 1.1'!G38</f>
        <v>2478827.29715</v>
      </c>
      <c r="N89" s="77">
        <f>'Tabel 1.1'!H38</f>
        <v>2644541.49015</v>
      </c>
      <c r="O89" s="74"/>
    </row>
    <row r="90" spans="1:15" x14ac:dyDescent="0.3">
      <c r="B90" s="74"/>
      <c r="C90" s="74"/>
      <c r="D90" s="74"/>
      <c r="E90" s="74"/>
      <c r="F90" s="74"/>
      <c r="G90" s="74"/>
      <c r="H90" s="74"/>
      <c r="I90" s="74"/>
      <c r="J90" s="74"/>
      <c r="K90" s="74"/>
      <c r="L90" s="74" t="s">
        <v>64</v>
      </c>
      <c r="M90" s="77">
        <f>'Tabel 1.1'!G39</f>
        <v>3400155</v>
      </c>
      <c r="N90" s="77">
        <f>'Tabel 1.1'!H39</f>
        <v>4520776</v>
      </c>
      <c r="O90" s="74"/>
    </row>
    <row r="91" spans="1:15" x14ac:dyDescent="0.3">
      <c r="A91" s="74"/>
      <c r="B91" s="74"/>
      <c r="C91" s="74"/>
      <c r="D91" s="74"/>
      <c r="E91" s="74"/>
      <c r="F91" s="74"/>
      <c r="G91" s="74"/>
      <c r="H91" s="74"/>
      <c r="I91" s="74"/>
      <c r="J91" s="74"/>
      <c r="K91" s="74"/>
      <c r="L91" s="74" t="s">
        <v>66</v>
      </c>
      <c r="M91" s="77">
        <f>'Tabel 1.1'!G40</f>
        <v>62133840</v>
      </c>
      <c r="N91" s="77">
        <f>'Tabel 1.1'!H40</f>
        <v>72267840</v>
      </c>
      <c r="O91" s="74"/>
    </row>
    <row r="92" spans="1:15" ht="18.75" customHeight="1" x14ac:dyDescent="0.3">
      <c r="A92" s="74"/>
      <c r="B92" s="74"/>
      <c r="C92" s="74"/>
      <c r="D92" s="74"/>
      <c r="E92" s="74"/>
      <c r="F92" s="74"/>
      <c r="G92" s="74"/>
      <c r="H92" s="74"/>
      <c r="I92" s="74"/>
      <c r="J92" s="74"/>
      <c r="K92" s="74"/>
      <c r="L92" s="74" t="s">
        <v>72</v>
      </c>
      <c r="M92" s="77">
        <f>'Tabel 1.1'!G41</f>
        <v>2249653.4116099998</v>
      </c>
      <c r="N92" s="77">
        <f>'Tabel 1.1'!H41</f>
        <v>2377643.9235399999</v>
      </c>
      <c r="O92" s="74"/>
    </row>
    <row r="93" spans="1:15" ht="18.75" customHeight="1" x14ac:dyDescent="0.3">
      <c r="A93" s="74"/>
      <c r="B93" s="74"/>
      <c r="C93" s="74"/>
      <c r="D93" s="74"/>
      <c r="E93" s="74"/>
      <c r="F93" s="74"/>
      <c r="G93" s="74"/>
      <c r="H93" s="74"/>
      <c r="I93" s="74"/>
      <c r="J93" s="74"/>
      <c r="K93" s="74"/>
      <c r="L93" s="74" t="s">
        <v>68</v>
      </c>
      <c r="M93" s="77">
        <f>'Tabel 1.1'!G42</f>
        <v>29524731.95205</v>
      </c>
      <c r="N93" s="77">
        <f>'Tabel 1.1'!H42</f>
        <v>33369795.9474</v>
      </c>
      <c r="O93" s="74"/>
    </row>
    <row r="94" spans="1:15" ht="18.75" customHeight="1" x14ac:dyDescent="0.3">
      <c r="A94" s="74"/>
      <c r="B94" s="74"/>
      <c r="C94" s="74"/>
      <c r="D94" s="74"/>
      <c r="E94" s="74"/>
      <c r="F94" s="74"/>
      <c r="G94" s="74"/>
      <c r="H94" s="74"/>
      <c r="I94" s="74"/>
      <c r="J94" s="74"/>
      <c r="K94" s="74"/>
      <c r="L94" s="74" t="s">
        <v>73</v>
      </c>
      <c r="M94" s="77">
        <f>'Tabel 1.1'!G43</f>
        <v>98437461.060000002</v>
      </c>
      <c r="N94" s="77">
        <f>'Tabel 1.1'!H43</f>
        <v>107697369.89</v>
      </c>
      <c r="O94" s="74"/>
    </row>
    <row r="95" spans="1:15" ht="18.75" customHeight="1" x14ac:dyDescent="0.3">
      <c r="A95" s="74"/>
      <c r="B95" s="74"/>
      <c r="C95" s="74"/>
      <c r="D95" s="74"/>
      <c r="E95" s="74"/>
      <c r="F95" s="74"/>
      <c r="G95" s="74"/>
      <c r="H95" s="74"/>
      <c r="I95" s="74"/>
      <c r="J95" s="74"/>
      <c r="K95" s="74"/>
      <c r="M95" s="77"/>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415</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L108" s="74" t="s">
        <v>75</v>
      </c>
      <c r="O108" s="74"/>
      <c r="Q108" s="74"/>
    </row>
    <row r="109" spans="1:17" ht="18.75" customHeight="1" x14ac:dyDescent="0.3">
      <c r="A109" s="74"/>
      <c r="B109" s="74"/>
      <c r="C109" s="74"/>
      <c r="D109" s="74"/>
      <c r="E109" s="74"/>
      <c r="F109" s="74"/>
      <c r="G109" s="74"/>
      <c r="H109" s="74"/>
      <c r="I109" s="74"/>
      <c r="J109" s="74"/>
      <c r="K109" s="74"/>
      <c r="L109" s="74" t="s">
        <v>0</v>
      </c>
      <c r="O109" s="74"/>
      <c r="Q109" s="74"/>
    </row>
    <row r="110" spans="1:17" ht="18.75" customHeight="1" x14ac:dyDescent="0.3">
      <c r="A110" s="74"/>
      <c r="B110" s="74"/>
      <c r="C110" s="74"/>
      <c r="D110" s="74"/>
      <c r="E110" s="74"/>
      <c r="F110" s="74"/>
      <c r="G110" s="74"/>
      <c r="H110" s="74"/>
      <c r="I110" s="74"/>
      <c r="J110" s="74"/>
      <c r="K110" s="74"/>
      <c r="M110" s="74">
        <v>2018</v>
      </c>
      <c r="N110" s="74">
        <v>2019</v>
      </c>
      <c r="O110" s="74"/>
      <c r="Q110" s="74"/>
    </row>
    <row r="111" spans="1:17" ht="18.75" customHeight="1" x14ac:dyDescent="0.3">
      <c r="A111" s="74"/>
      <c r="B111" s="74"/>
      <c r="C111" s="74"/>
      <c r="D111" s="74"/>
      <c r="E111" s="74"/>
      <c r="F111" s="74"/>
      <c r="G111" s="74"/>
      <c r="H111" s="74"/>
      <c r="I111" s="74"/>
      <c r="J111" s="74"/>
      <c r="K111" s="74"/>
      <c r="L111" s="74" t="s">
        <v>54</v>
      </c>
      <c r="M111"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4929.8120000000017</v>
      </c>
      <c r="N111"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10954.466</v>
      </c>
      <c r="O111" s="74"/>
      <c r="Q111" s="74"/>
    </row>
    <row r="112" spans="1:17" ht="18.75" customHeight="1" x14ac:dyDescent="0.3">
      <c r="A112" s="74"/>
      <c r="B112" s="74"/>
      <c r="C112" s="74"/>
      <c r="D112" s="74"/>
      <c r="E112" s="74"/>
      <c r="F112" s="74"/>
      <c r="G112" s="74"/>
      <c r="H112" s="74"/>
      <c r="I112" s="74"/>
      <c r="J112" s="74"/>
      <c r="K112" s="74"/>
      <c r="L112" s="74" t="s">
        <v>55</v>
      </c>
      <c r="M112" s="77">
        <f>'DNB Livsforsikring'!B11-'DNB Livsforsikring'!B12+'DNB Livsforsikring'!B34-'DNB Livsforsikring'!B35+'DNB Livsforsikring'!B38-'DNB Livsforsikring'!B39+'DNB Livsforsikring'!B111-'DNB Livsforsikring'!B119+'DNB Livsforsikring'!B136-'DNB Livsforsikring'!B137</f>
        <v>107071</v>
      </c>
      <c r="N112" s="77">
        <f>'DNB Livsforsikring'!C11-'DNB Livsforsikring'!C12+'DNB Livsforsikring'!C34-'DNB Livsforsikring'!C35+'DNB Livsforsikring'!C38-'DNB Livsforsikring'!C39+'DNB Livsforsikring'!C111-'DNB Livsforsikring'!C119+'DNB Livsforsikring'!C136-'DNB Livsforsikring'!C137</f>
        <v>159065.88099999999</v>
      </c>
      <c r="O112" s="74"/>
      <c r="Q112" s="74"/>
    </row>
    <row r="113" spans="1:17" ht="18.75" customHeight="1" x14ac:dyDescent="0.3">
      <c r="A113" s="74"/>
      <c r="B113" s="74"/>
      <c r="C113" s="74"/>
      <c r="D113" s="74"/>
      <c r="E113" s="74"/>
      <c r="F113" s="74"/>
      <c r="G113" s="74"/>
      <c r="H113" s="74"/>
      <c r="I113" s="74"/>
      <c r="J113" s="74"/>
      <c r="K113" s="74"/>
      <c r="L113" s="79" t="s">
        <v>60</v>
      </c>
      <c r="M113" s="77">
        <f>'Gjensidige Pensjon'!B11-'Gjensidige Pensjon'!B12+'Gjensidige Pensjon'!B34-'Gjensidige Pensjon'!B35+'Gjensidige Pensjon'!B38-'Gjensidige Pensjon'!B39+'Gjensidige Pensjon'!B111-'Gjensidige Pensjon'!B119+'Gjensidige Pensjon'!B136-'Gjensidige Pensjon'!B137</f>
        <v>31387</v>
      </c>
      <c r="N113" s="77">
        <f>'Gjensidige Pensjon'!C11-'Gjensidige Pensjon'!C12+'Gjensidige Pensjon'!C34-'Gjensidige Pensjon'!C35+'Gjensidige Pensjon'!C38-'Gjensidige Pensjon'!C39+'Gjensidige Pensjon'!C111-'Gjensidige Pensjon'!C119+'Gjensidige Pensjon'!C136-'Gjensidige Pensjon'!C137</f>
        <v>39643</v>
      </c>
      <c r="O113" s="74"/>
      <c r="Q113" s="74"/>
    </row>
    <row r="114" spans="1:17" ht="18.75" customHeight="1" x14ac:dyDescent="0.3">
      <c r="A114" s="74"/>
      <c r="B114" s="74"/>
      <c r="C114" s="74"/>
      <c r="D114" s="74"/>
      <c r="E114" s="74"/>
      <c r="F114" s="74"/>
      <c r="G114" s="74"/>
      <c r="H114" s="74"/>
      <c r="I114" s="74"/>
      <c r="J114" s="74"/>
      <c r="K114" s="74"/>
      <c r="L114" s="79" t="s">
        <v>63</v>
      </c>
      <c r="M114" s="77">
        <f>KLP!B11-KLP!B12+KLP!B34-KLP!B35+KLP!B38-KLP!B39+KLP!B111-KLP!B119+KLP!B136-KLP!B137</f>
        <v>-491426.71799999999</v>
      </c>
      <c r="N114" s="77">
        <f>KLP!C11-KLP!C12+KLP!C34-KLP!C35+KLP!C38-KLP!C39+KLP!C111-KLP!C119+KLP!C136-KLP!C137</f>
        <v>-287976.44500000001</v>
      </c>
      <c r="O114" s="74"/>
      <c r="Q114" s="74"/>
    </row>
    <row r="115" spans="1:17" ht="18.75" customHeight="1" x14ac:dyDescent="0.3">
      <c r="A115" s="74"/>
      <c r="B115" s="74"/>
      <c r="C115" s="74"/>
      <c r="D115" s="74"/>
      <c r="E115" s="74"/>
      <c r="F115" s="74"/>
      <c r="G115" s="74"/>
      <c r="H115" s="74"/>
      <c r="I115" s="74"/>
      <c r="J115" s="74"/>
      <c r="K115" s="74"/>
      <c r="L115" s="79" t="s">
        <v>64</v>
      </c>
      <c r="M115" s="77">
        <f>'KLP Bedriftspensjon AS'!B11-'KLP Bedriftspensjon AS'!B12+'KLP Bedriftspensjon AS'!B34-'KLP Bedriftspensjon AS'!B35+'KLP Bedriftspensjon AS'!B38-'KLP Bedriftspensjon AS'!B39+'KLP Bedriftspensjon AS'!B111-'KLP Bedriftspensjon AS'!B119+'KLP Bedriftspensjon AS'!B136-'KLP Bedriftspensjon AS'!B137</f>
        <v>2189</v>
      </c>
      <c r="N115" s="77">
        <f>'KLP Bedriftspensjon AS'!C11-'KLP Bedriftspensjon AS'!C12+'KLP Bedriftspensjon AS'!C34-'KLP Bedriftspensjon AS'!C35+'KLP Bedriftspensjon AS'!C38-'KLP Bedriftspensjon AS'!C39+'KLP Bedriftspensjon AS'!C111-'KLP Bedriftspensjon AS'!C119+'KLP Bedriftspensjon AS'!C136-'KLP Bedriftspensjon AS'!C137</f>
        <v>771</v>
      </c>
      <c r="O115" s="74"/>
      <c r="Q115" s="74"/>
    </row>
    <row r="116" spans="1:17" ht="18.75" customHeight="1" x14ac:dyDescent="0.3">
      <c r="A116" s="74"/>
      <c r="B116" s="74"/>
      <c r="C116" s="74"/>
      <c r="D116" s="74"/>
      <c r="E116" s="74"/>
      <c r="F116" s="74"/>
      <c r="G116" s="74"/>
      <c r="H116" s="74"/>
      <c r="I116" s="74"/>
      <c r="J116" s="74"/>
      <c r="K116" s="74"/>
      <c r="L116" s="74" t="s">
        <v>66</v>
      </c>
      <c r="M116" s="77">
        <f>'Nordea Liv '!B11-'Nordea Liv '!B12+'Nordea Liv '!B34-'Nordea Liv '!B35+'Nordea Liv '!B38-'Nordea Liv '!B39+'Nordea Liv '!B111-'Nordea Liv '!B119+'Nordea Liv '!B136-'Nordea Liv '!B137</f>
        <v>-146808.55927</v>
      </c>
      <c r="N116" s="77">
        <f>'Nordea Liv '!C11-'Nordea Liv '!C12+'Nordea Liv '!C34-'Nordea Liv '!C35+'Nordea Liv '!C38-'Nordea Liv '!C39+'Nordea Liv '!C111-'Nordea Liv '!C119+'Nordea Liv '!C136-'Nordea Liv '!C137</f>
        <v>-18522.302429999902</v>
      </c>
      <c r="O116" s="74"/>
      <c r="Q116" s="74"/>
    </row>
    <row r="117" spans="1:17" ht="18.75" customHeight="1" x14ac:dyDescent="0.3">
      <c r="A117" s="74"/>
      <c r="B117" s="74"/>
      <c r="C117" s="74"/>
      <c r="D117" s="74"/>
      <c r="E117" s="74"/>
      <c r="F117" s="74"/>
      <c r="G117" s="74"/>
      <c r="H117" s="74"/>
      <c r="I117" s="74"/>
      <c r="J117" s="74"/>
      <c r="K117" s="74"/>
      <c r="L117" s="74" t="s">
        <v>68</v>
      </c>
      <c r="M117" s="77">
        <f>'Sparebank 1'!B11-'Sparebank 1'!B12+'Sparebank 1'!B34-'Sparebank 1'!B35+'Sparebank 1'!B38-'Sparebank 1'!B39+'Sparebank 1'!B111-'Sparebank 1'!B119+'Sparebank 1'!B136-'Sparebank 1'!B137</f>
        <v>-34677.96688</v>
      </c>
      <c r="N117" s="77">
        <f>'Sparebank 1'!C11-'Sparebank 1'!C12+'Sparebank 1'!C34-'Sparebank 1'!C35+'Sparebank 1'!C38-'Sparebank 1'!C39+'Sparebank 1'!C111-'Sparebank 1'!C119+'Sparebank 1'!C136-'Sparebank 1'!C137</f>
        <v>-22140.237180000004</v>
      </c>
      <c r="O117" s="74"/>
    </row>
    <row r="118" spans="1:17" ht="18.75" customHeight="1" x14ac:dyDescent="0.3">
      <c r="A118" s="74"/>
      <c r="B118" s="74"/>
      <c r="C118" s="74"/>
      <c r="D118" s="74"/>
      <c r="E118" s="74"/>
      <c r="F118" s="74"/>
      <c r="G118" s="74"/>
      <c r="H118" s="74"/>
      <c r="I118" s="74"/>
      <c r="J118" s="74"/>
      <c r="K118" s="74"/>
      <c r="L118" s="74" t="s">
        <v>69</v>
      </c>
      <c r="M118"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-330309.92999999993</v>
      </c>
      <c r="N118"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-100940.09700000001</v>
      </c>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416</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L133" s="74" t="s">
        <v>76</v>
      </c>
      <c r="O133" s="74"/>
    </row>
    <row r="134" spans="1:15" x14ac:dyDescent="0.3">
      <c r="A134" s="74"/>
      <c r="B134" s="74"/>
      <c r="C134" s="74"/>
      <c r="D134" s="74"/>
      <c r="E134" s="74"/>
      <c r="F134" s="74"/>
      <c r="G134" s="74"/>
      <c r="H134" s="74"/>
      <c r="I134" s="74"/>
      <c r="J134" s="74"/>
      <c r="K134" s="74"/>
      <c r="L134" s="74" t="s">
        <v>1</v>
      </c>
      <c r="O134" s="74"/>
    </row>
    <row r="135" spans="1:15" x14ac:dyDescent="0.3">
      <c r="A135" s="74"/>
      <c r="B135" s="74"/>
      <c r="C135" s="74"/>
      <c r="D135" s="74"/>
      <c r="E135" s="74"/>
      <c r="F135" s="74"/>
      <c r="G135" s="74"/>
      <c r="H135" s="74"/>
      <c r="I135" s="74"/>
      <c r="J135" s="74"/>
      <c r="K135" s="74"/>
      <c r="M135" s="74">
        <v>2018</v>
      </c>
      <c r="N135" s="74">
        <v>2019</v>
      </c>
      <c r="O135" s="74"/>
    </row>
    <row r="136" spans="1:15" x14ac:dyDescent="0.3">
      <c r="A136" s="74"/>
      <c r="B136" s="74"/>
      <c r="C136" s="74"/>
      <c r="D136" s="74"/>
      <c r="E136" s="74"/>
      <c r="F136" s="74"/>
      <c r="G136" s="74"/>
      <c r="H136" s="74"/>
      <c r="I136" s="74"/>
      <c r="J136" s="74"/>
      <c r="K136" s="74"/>
      <c r="L136" s="74" t="s">
        <v>54</v>
      </c>
      <c r="M136"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-127938.38399999996</v>
      </c>
      <c r="N136"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257596.99600000004</v>
      </c>
      <c r="O136" s="74"/>
    </row>
    <row r="137" spans="1:15" x14ac:dyDescent="0.3">
      <c r="A137" s="74"/>
      <c r="B137" s="74"/>
      <c r="C137" s="74"/>
      <c r="D137" s="74"/>
      <c r="E137" s="74"/>
      <c r="F137" s="74"/>
      <c r="G137" s="74"/>
      <c r="H137" s="74"/>
      <c r="I137" s="74"/>
      <c r="J137" s="74"/>
      <c r="K137" s="74"/>
      <c r="L137" s="74" t="s">
        <v>55</v>
      </c>
      <c r="M137" s="77">
        <f>'DNB Livsforsikring'!F11-'DNB Livsforsikring'!F12+'DNB Livsforsikring'!F34-'DNB Livsforsikring'!F35+'DNB Livsforsikring'!F38-'DNB Livsforsikring'!F39+'DNB Livsforsikring'!F111-'DNB Livsforsikring'!F119+'DNB Livsforsikring'!F136-'DNB Livsforsikring'!F137</f>
        <v>-351863</v>
      </c>
      <c r="N137" s="77">
        <f>'DNB Livsforsikring'!G11-'DNB Livsforsikring'!G12+'DNB Livsforsikring'!G34-'DNB Livsforsikring'!G35+'DNB Livsforsikring'!G38-'DNB Livsforsikring'!G39+'DNB Livsforsikring'!G111-'DNB Livsforsikring'!G119+'DNB Livsforsikring'!G136-'DNB Livsforsikring'!G137</f>
        <v>-385535.37299999967</v>
      </c>
      <c r="O137" s="74"/>
    </row>
    <row r="138" spans="1:15" x14ac:dyDescent="0.3">
      <c r="A138" s="74"/>
      <c r="B138" s="74"/>
      <c r="C138" s="74"/>
      <c r="D138" s="74"/>
      <c r="E138" s="74"/>
      <c r="F138" s="74"/>
      <c r="G138" s="74"/>
      <c r="H138" s="74"/>
      <c r="I138" s="74"/>
      <c r="J138" s="74"/>
      <c r="K138" s="74"/>
      <c r="L138" s="74" t="s">
        <v>57</v>
      </c>
      <c r="M138" s="77">
        <f>'Frende Livsforsikring'!F11-'Frende Livsforsikring'!F12+'Frende Livsforsikring'!F34-'Frende Livsforsikring'!F35+'Frende Livsforsikring'!F38-'Frende Livsforsikring'!F39+'Frende Livsforsikring'!F111-'Frende Livsforsikring'!F119+'Frende Livsforsikring'!F136-'Frende Livsforsikring'!F137</f>
        <v>-57824.499999999993</v>
      </c>
      <c r="N138" s="77">
        <f>'Frende Livsforsikring'!G11-'Frende Livsforsikring'!G12+'Frende Livsforsikring'!G34-'Frende Livsforsikring'!G35+'Frende Livsforsikring'!G38-'Frende Livsforsikring'!G39+'Frende Livsforsikring'!G111-'Frende Livsforsikring'!G119+'Frende Livsforsikring'!G136-'Frende Livsforsikring'!G137</f>
        <v>64171</v>
      </c>
      <c r="O138" s="74"/>
    </row>
    <row r="139" spans="1:15" x14ac:dyDescent="0.3">
      <c r="A139" s="74"/>
      <c r="B139" s="74"/>
      <c r="C139" s="74"/>
      <c r="D139" s="74"/>
      <c r="E139" s="74"/>
      <c r="F139" s="74"/>
      <c r="G139" s="74"/>
      <c r="H139" s="74"/>
      <c r="I139" s="74"/>
      <c r="J139" s="74"/>
      <c r="K139" s="74"/>
      <c r="L139" s="79" t="s">
        <v>60</v>
      </c>
      <c r="M139" s="77">
        <f>'Gjensidige Pensjon'!F11-'Gjensidige Pensjon'!F12+'Gjensidige Pensjon'!F34-'Gjensidige Pensjon'!F35+'Gjensidige Pensjon'!F38-'Gjensidige Pensjon'!F39+'Gjensidige Pensjon'!F111-'Gjensidige Pensjon'!F119+'Gjensidige Pensjon'!F136-'Gjensidige Pensjon'!F137</f>
        <v>234150</v>
      </c>
      <c r="N139" s="77">
        <f>'Gjensidige Pensjon'!G11-'Gjensidige Pensjon'!G12+'Gjensidige Pensjon'!G34-'Gjensidige Pensjon'!G35+'Gjensidige Pensjon'!G38-'Gjensidige Pensjon'!G39+'Gjensidige Pensjon'!G111-'Gjensidige Pensjon'!G119+'Gjensidige Pensjon'!G136-'Gjensidige Pensjon'!G137</f>
        <v>-419270</v>
      </c>
      <c r="O139" s="74"/>
    </row>
    <row r="140" spans="1:15" x14ac:dyDescent="0.3">
      <c r="A140" s="74"/>
      <c r="B140" s="74"/>
      <c r="C140" s="74"/>
      <c r="D140" s="74"/>
      <c r="E140" s="74"/>
      <c r="F140" s="74"/>
      <c r="G140" s="74"/>
      <c r="H140" s="74"/>
      <c r="I140" s="74"/>
      <c r="J140" s="74"/>
      <c r="K140" s="74"/>
      <c r="L140" s="74" t="s">
        <v>64</v>
      </c>
      <c r="M140" s="77">
        <f>'KLP Bedriftspensjon AS'!F11-'KLP Bedriftspensjon AS'!F12+'KLP Bedriftspensjon AS'!F34-'KLP Bedriftspensjon AS'!F35+'KLP Bedriftspensjon AS'!F38-'KLP Bedriftspensjon AS'!F39+'KLP Bedriftspensjon AS'!F111-'KLP Bedriftspensjon AS'!F119+'KLP Bedriftspensjon AS'!F136-'KLP Bedriftspensjon AS'!F137</f>
        <v>284074</v>
      </c>
      <c r="N140" s="77">
        <f>'KLP Bedriftspensjon AS'!G11-'KLP Bedriftspensjon AS'!G12+'KLP Bedriftspensjon AS'!G34-'KLP Bedriftspensjon AS'!G35+'KLP Bedriftspensjon AS'!G38-'KLP Bedriftspensjon AS'!G39+'KLP Bedriftspensjon AS'!G111-'KLP Bedriftspensjon AS'!G119+'KLP Bedriftspensjon AS'!G136-'KLP Bedriftspensjon AS'!G137</f>
        <v>302024</v>
      </c>
      <c r="O140" s="74"/>
    </row>
    <row r="141" spans="1:15" x14ac:dyDescent="0.3">
      <c r="A141" s="74"/>
      <c r="B141" s="74"/>
      <c r="C141" s="74"/>
      <c r="D141" s="74"/>
      <c r="E141" s="74"/>
      <c r="F141" s="74"/>
      <c r="G141" s="74"/>
      <c r="H141" s="74"/>
      <c r="I141" s="74"/>
      <c r="J141" s="74"/>
      <c r="K141" s="74"/>
      <c r="L141" s="74" t="s">
        <v>66</v>
      </c>
      <c r="M141" s="77">
        <f>'Nordea Liv '!F11-'Nordea Liv '!F12+'Nordea Liv '!F34-'Nordea Liv '!F35+'Nordea Liv '!F38-'Nordea Liv '!F39+'Nordea Liv '!F111-'Nordea Liv '!F119+'Nordea Liv '!F136-'Nordea Liv '!F137</f>
        <v>-1085791.4407300001</v>
      </c>
      <c r="N141" s="77">
        <f>'Nordea Liv '!G11-'Nordea Liv '!G12+'Nordea Liv '!G34-'Nordea Liv '!G35+'Nordea Liv '!G38-'Nordea Liv '!G39+'Nordea Liv '!G111-'Nordea Liv '!G119+'Nordea Liv '!G136-'Nordea Liv '!G137</f>
        <v>1135836.2008400001</v>
      </c>
      <c r="O141" s="74"/>
    </row>
    <row r="142" spans="1:15" x14ac:dyDescent="0.3">
      <c r="A142" s="74"/>
      <c r="B142" s="74"/>
      <c r="C142" s="74"/>
      <c r="D142" s="74"/>
      <c r="E142" s="74"/>
      <c r="F142" s="74"/>
      <c r="G142" s="74"/>
      <c r="H142" s="74"/>
      <c r="I142" s="74"/>
      <c r="J142" s="74"/>
      <c r="K142" s="74"/>
      <c r="L142" s="74" t="s">
        <v>72</v>
      </c>
      <c r="M142" s="77">
        <f>'SHB Liv'!F11-'SHB Liv'!F12+'SHB Liv'!F34-'SHB Liv'!F35+'SHB Liv'!F38-'SHB Liv'!F39+'SHB Liv'!F111-'SHB Liv'!F119+'SHB Liv'!F136-'SHB Liv'!F137</f>
        <v>120585</v>
      </c>
      <c r="N142" s="77">
        <f>'SHB Liv'!G11-'SHB Liv'!G12+'SHB Liv'!G34-'SHB Liv'!G35+'SHB Liv'!G38-'SHB Liv'!G39+'SHB Liv'!G111-'SHB Liv'!G119+'SHB Liv'!G136-'SHB Liv'!G137</f>
        <v>70450.498990000007</v>
      </c>
      <c r="O142" s="74"/>
    </row>
    <row r="143" spans="1:15" x14ac:dyDescent="0.3">
      <c r="A143" s="74"/>
      <c r="B143" s="74"/>
      <c r="C143" s="74"/>
      <c r="D143" s="74"/>
      <c r="E143" s="74"/>
      <c r="F143" s="74"/>
      <c r="G143" s="74"/>
      <c r="H143" s="74"/>
      <c r="I143" s="74"/>
      <c r="J143" s="74"/>
      <c r="K143" s="74"/>
      <c r="L143" s="74" t="s">
        <v>68</v>
      </c>
      <c r="M143" s="77">
        <f>'Sparebank 1'!F11-'Sparebank 1'!F12+'Sparebank 1'!F34-'Sparebank 1'!F35+'Sparebank 1'!F38-'Sparebank 1'!F39+'Sparebank 1'!F111-'Sparebank 1'!F119+'Sparebank 1'!F136-'Sparebank 1'!F137</f>
        <v>1410787.0637000001</v>
      </c>
      <c r="N143" s="77">
        <f>'Sparebank 1'!G11-'Sparebank 1'!G12+'Sparebank 1'!G34-'Sparebank 1'!G35+'Sparebank 1'!G38-'Sparebank 1'!G39+'Sparebank 1'!G111-'Sparebank 1'!G119+'Sparebank 1'!G136-'Sparebank 1'!G137</f>
        <v>375750.19088000001</v>
      </c>
      <c r="O143" s="74"/>
    </row>
    <row r="144" spans="1:15" x14ac:dyDescent="0.3">
      <c r="A144" s="74"/>
      <c r="B144" s="74"/>
      <c r="C144" s="74"/>
      <c r="D144" s="74"/>
      <c r="E144" s="74"/>
      <c r="F144" s="74"/>
      <c r="G144" s="74"/>
      <c r="H144" s="74"/>
      <c r="I144" s="74"/>
      <c r="J144" s="74"/>
      <c r="K144" s="74"/>
      <c r="L144" s="74" t="s">
        <v>73</v>
      </c>
      <c r="M144"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-503303.25299999979</v>
      </c>
      <c r="N144"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-1397198.8170000003</v>
      </c>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Q61"/>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68" customWidth="1"/>
    <col min="2" max="43" width="11.7109375" style="468" customWidth="1"/>
    <col min="44" max="16384" width="11.42578125" style="468"/>
  </cols>
  <sheetData>
    <row r="1" spans="1:43" ht="20.25" x14ac:dyDescent="0.3">
      <c r="A1" s="466" t="s">
        <v>288</v>
      </c>
      <c r="B1" s="431" t="s">
        <v>52</v>
      </c>
      <c r="C1" s="467"/>
      <c r="D1" s="467"/>
      <c r="E1" s="467"/>
      <c r="F1" s="467"/>
      <c r="G1" s="467"/>
      <c r="H1" s="467"/>
      <c r="I1" s="467"/>
      <c r="J1" s="467"/>
    </row>
    <row r="2" spans="1:43" ht="20.25" x14ac:dyDescent="0.3">
      <c r="A2" s="466" t="s">
        <v>259</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row>
    <row r="3" spans="1:43" ht="18.75" x14ac:dyDescent="0.3">
      <c r="A3" s="470" t="s">
        <v>289</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row>
    <row r="4" spans="1:43" ht="18.75" customHeight="1" x14ac:dyDescent="0.25">
      <c r="A4" s="437" t="s">
        <v>422</v>
      </c>
      <c r="B4" s="472"/>
      <c r="C4" s="472"/>
      <c r="D4" s="473"/>
      <c r="E4" s="474"/>
      <c r="F4" s="472"/>
      <c r="G4" s="473"/>
      <c r="H4" s="474"/>
      <c r="I4" s="472"/>
      <c r="J4" s="473"/>
      <c r="K4" s="475"/>
      <c r="L4" s="475"/>
      <c r="M4" s="475"/>
      <c r="N4" s="476"/>
      <c r="O4" s="475"/>
      <c r="P4" s="477"/>
      <c r="Q4" s="476"/>
      <c r="R4" s="475"/>
      <c r="S4" s="477"/>
      <c r="T4" s="476"/>
      <c r="U4" s="475"/>
      <c r="V4" s="477"/>
      <c r="W4" s="476"/>
      <c r="X4" s="475"/>
      <c r="Y4" s="477"/>
      <c r="Z4" s="476"/>
      <c r="AA4" s="475"/>
      <c r="AB4" s="477"/>
      <c r="AC4" s="476"/>
      <c r="AD4" s="475"/>
      <c r="AE4" s="477"/>
      <c r="AF4" s="476"/>
      <c r="AG4" s="475"/>
      <c r="AH4" s="477"/>
      <c r="AI4" s="476"/>
      <c r="AJ4" s="475"/>
      <c r="AK4" s="477"/>
      <c r="AL4" s="478"/>
      <c r="AM4" s="479"/>
      <c r="AN4" s="480"/>
      <c r="AO4" s="476"/>
      <c r="AP4" s="475"/>
      <c r="AQ4" s="481"/>
    </row>
    <row r="5" spans="1:43" ht="18.75" customHeight="1" x14ac:dyDescent="0.3">
      <c r="A5" s="482" t="s">
        <v>102</v>
      </c>
      <c r="B5" s="681" t="s">
        <v>177</v>
      </c>
      <c r="C5" s="682"/>
      <c r="D5" s="683"/>
      <c r="E5" s="681" t="s">
        <v>178</v>
      </c>
      <c r="F5" s="682"/>
      <c r="G5" s="683"/>
      <c r="H5" s="681" t="s">
        <v>179</v>
      </c>
      <c r="I5" s="682"/>
      <c r="J5" s="683"/>
      <c r="K5" s="681" t="s">
        <v>180</v>
      </c>
      <c r="L5" s="682"/>
      <c r="M5" s="683"/>
      <c r="N5" s="681" t="s">
        <v>181</v>
      </c>
      <c r="O5" s="682"/>
      <c r="P5" s="683"/>
      <c r="Q5" s="681"/>
      <c r="R5" s="682"/>
      <c r="S5" s="683"/>
      <c r="T5" s="681" t="s">
        <v>63</v>
      </c>
      <c r="U5" s="682"/>
      <c r="V5" s="683"/>
      <c r="W5" s="600"/>
      <c r="X5" s="601"/>
      <c r="Y5" s="602"/>
      <c r="Z5" s="681" t="s">
        <v>182</v>
      </c>
      <c r="AA5" s="682"/>
      <c r="AB5" s="683"/>
      <c r="AC5" s="594"/>
      <c r="AD5" s="595"/>
      <c r="AE5" s="596"/>
      <c r="AF5" s="681"/>
      <c r="AG5" s="682"/>
      <c r="AH5" s="683"/>
      <c r="AI5" s="681" t="s">
        <v>73</v>
      </c>
      <c r="AJ5" s="682"/>
      <c r="AK5" s="683"/>
      <c r="AL5" s="687" t="s">
        <v>2</v>
      </c>
      <c r="AM5" s="688"/>
      <c r="AN5" s="689"/>
      <c r="AO5" s="681" t="s">
        <v>290</v>
      </c>
      <c r="AP5" s="682"/>
      <c r="AQ5" s="683"/>
    </row>
    <row r="6" spans="1:43" ht="21" customHeight="1" x14ac:dyDescent="0.3">
      <c r="A6" s="483"/>
      <c r="B6" s="678" t="s">
        <v>183</v>
      </c>
      <c r="C6" s="679"/>
      <c r="D6" s="680"/>
      <c r="E6" s="678" t="s">
        <v>184</v>
      </c>
      <c r="F6" s="679"/>
      <c r="G6" s="680"/>
      <c r="H6" s="678" t="s">
        <v>184</v>
      </c>
      <c r="I6" s="679"/>
      <c r="J6" s="680"/>
      <c r="K6" s="678" t="s">
        <v>185</v>
      </c>
      <c r="L6" s="679"/>
      <c r="M6" s="680"/>
      <c r="N6" s="678" t="s">
        <v>91</v>
      </c>
      <c r="O6" s="679"/>
      <c r="P6" s="680"/>
      <c r="Q6" s="678" t="s">
        <v>63</v>
      </c>
      <c r="R6" s="679"/>
      <c r="S6" s="680"/>
      <c r="T6" s="678" t="s">
        <v>186</v>
      </c>
      <c r="U6" s="679"/>
      <c r="V6" s="680"/>
      <c r="W6" s="678" t="s">
        <v>66</v>
      </c>
      <c r="X6" s="679"/>
      <c r="Y6" s="680"/>
      <c r="Z6" s="678" t="s">
        <v>183</v>
      </c>
      <c r="AA6" s="679"/>
      <c r="AB6" s="680"/>
      <c r="AC6" s="678" t="s">
        <v>72</v>
      </c>
      <c r="AD6" s="679"/>
      <c r="AE6" s="680"/>
      <c r="AF6" s="678" t="s">
        <v>68</v>
      </c>
      <c r="AG6" s="679"/>
      <c r="AH6" s="680"/>
      <c r="AI6" s="678" t="s">
        <v>184</v>
      </c>
      <c r="AJ6" s="679"/>
      <c r="AK6" s="680"/>
      <c r="AL6" s="684" t="s">
        <v>291</v>
      </c>
      <c r="AM6" s="685"/>
      <c r="AN6" s="686"/>
      <c r="AO6" s="678" t="s">
        <v>292</v>
      </c>
      <c r="AP6" s="679"/>
      <c r="AQ6" s="680"/>
    </row>
    <row r="7" spans="1:43" ht="18.75" customHeight="1" x14ac:dyDescent="0.3">
      <c r="A7" s="483"/>
      <c r="B7" s="482"/>
      <c r="C7" s="482"/>
      <c r="D7" s="484" t="s">
        <v>81</v>
      </c>
      <c r="E7" s="482"/>
      <c r="F7" s="482"/>
      <c r="G7" s="484" t="s">
        <v>81</v>
      </c>
      <c r="H7" s="482"/>
      <c r="I7" s="482"/>
      <c r="J7" s="484" t="s">
        <v>81</v>
      </c>
      <c r="K7" s="482"/>
      <c r="L7" s="482"/>
      <c r="M7" s="484" t="s">
        <v>81</v>
      </c>
      <c r="N7" s="482"/>
      <c r="O7" s="482"/>
      <c r="P7" s="484" t="s">
        <v>81</v>
      </c>
      <c r="Q7" s="482"/>
      <c r="R7" s="482"/>
      <c r="S7" s="484" t="s">
        <v>81</v>
      </c>
      <c r="T7" s="482"/>
      <c r="U7" s="482"/>
      <c r="V7" s="484" t="s">
        <v>81</v>
      </c>
      <c r="W7" s="482"/>
      <c r="X7" s="482"/>
      <c r="Y7" s="484" t="s">
        <v>81</v>
      </c>
      <c r="Z7" s="482"/>
      <c r="AA7" s="482"/>
      <c r="AB7" s="484" t="s">
        <v>81</v>
      </c>
      <c r="AC7" s="482"/>
      <c r="AD7" s="482"/>
      <c r="AE7" s="484" t="s">
        <v>81</v>
      </c>
      <c r="AF7" s="482"/>
      <c r="AG7" s="482"/>
      <c r="AH7" s="484" t="s">
        <v>81</v>
      </c>
      <c r="AI7" s="482"/>
      <c r="AJ7" s="482"/>
      <c r="AK7" s="484" t="s">
        <v>81</v>
      </c>
      <c r="AL7" s="482"/>
      <c r="AM7" s="482"/>
      <c r="AN7" s="484" t="s">
        <v>81</v>
      </c>
      <c r="AO7" s="482"/>
      <c r="AP7" s="482"/>
      <c r="AQ7" s="484" t="s">
        <v>81</v>
      </c>
    </row>
    <row r="8" spans="1:43" ht="18.75" customHeight="1" x14ac:dyDescent="0.25">
      <c r="A8" s="485" t="s">
        <v>293</v>
      </c>
      <c r="B8" s="591">
        <v>2018</v>
      </c>
      <c r="C8" s="591">
        <v>2019</v>
      </c>
      <c r="D8" s="486" t="s">
        <v>83</v>
      </c>
      <c r="E8" s="591">
        <v>2018</v>
      </c>
      <c r="F8" s="591">
        <v>2019</v>
      </c>
      <c r="G8" s="486" t="s">
        <v>83</v>
      </c>
      <c r="H8" s="591">
        <v>2018</v>
      </c>
      <c r="I8" s="591">
        <v>2019</v>
      </c>
      <c r="J8" s="486" t="s">
        <v>83</v>
      </c>
      <c r="K8" s="591">
        <v>2018</v>
      </c>
      <c r="L8" s="591">
        <v>2019</v>
      </c>
      <c r="M8" s="486" t="s">
        <v>83</v>
      </c>
      <c r="N8" s="591">
        <v>2018</v>
      </c>
      <c r="O8" s="591">
        <v>2019</v>
      </c>
      <c r="P8" s="486" t="s">
        <v>83</v>
      </c>
      <c r="Q8" s="591">
        <v>2018</v>
      </c>
      <c r="R8" s="591">
        <v>2019</v>
      </c>
      <c r="S8" s="486" t="s">
        <v>83</v>
      </c>
      <c r="T8" s="591">
        <v>2018</v>
      </c>
      <c r="U8" s="591">
        <v>2019</v>
      </c>
      <c r="V8" s="486" t="s">
        <v>83</v>
      </c>
      <c r="W8" s="591">
        <v>2018</v>
      </c>
      <c r="X8" s="591">
        <v>2019</v>
      </c>
      <c r="Y8" s="486" t="s">
        <v>83</v>
      </c>
      <c r="Z8" s="591">
        <v>2018</v>
      </c>
      <c r="AA8" s="591">
        <v>2019</v>
      </c>
      <c r="AB8" s="486" t="s">
        <v>83</v>
      </c>
      <c r="AC8" s="591">
        <v>2018</v>
      </c>
      <c r="AD8" s="591">
        <v>2019</v>
      </c>
      <c r="AE8" s="486" t="s">
        <v>83</v>
      </c>
      <c r="AF8" s="591">
        <v>2018</v>
      </c>
      <c r="AG8" s="591">
        <v>2019</v>
      </c>
      <c r="AH8" s="486" t="s">
        <v>83</v>
      </c>
      <c r="AI8" s="591">
        <v>2018</v>
      </c>
      <c r="AJ8" s="591">
        <v>2019</v>
      </c>
      <c r="AK8" s="486" t="s">
        <v>83</v>
      </c>
      <c r="AL8" s="591">
        <v>2018</v>
      </c>
      <c r="AM8" s="591">
        <v>2019</v>
      </c>
      <c r="AN8" s="486" t="s">
        <v>83</v>
      </c>
      <c r="AO8" s="591">
        <v>2018</v>
      </c>
      <c r="AP8" s="591">
        <v>2019</v>
      </c>
      <c r="AQ8" s="486" t="s">
        <v>83</v>
      </c>
    </row>
    <row r="9" spans="1:43" ht="18.75" customHeight="1" x14ac:dyDescent="0.3">
      <c r="A9" s="483" t="s">
        <v>294</v>
      </c>
      <c r="B9" s="584"/>
      <c r="C9" s="569"/>
      <c r="D9" s="488"/>
      <c r="E9" s="584"/>
      <c r="F9" s="569"/>
      <c r="G9" s="488"/>
      <c r="H9" s="584"/>
      <c r="I9" s="569"/>
      <c r="J9" s="488"/>
      <c r="K9" s="584"/>
      <c r="L9" s="569"/>
      <c r="M9" s="487"/>
      <c r="N9" s="606"/>
      <c r="O9" s="489"/>
      <c r="P9" s="488"/>
      <c r="Q9" s="589"/>
      <c r="R9" s="572"/>
      <c r="S9" s="488"/>
      <c r="T9" s="584"/>
      <c r="U9" s="569"/>
      <c r="V9" s="488"/>
      <c r="W9" s="584"/>
      <c r="X9" s="569"/>
      <c r="Y9" s="488"/>
      <c r="Z9" s="589"/>
      <c r="AA9" s="572"/>
      <c r="AB9" s="488"/>
      <c r="AC9" s="584"/>
      <c r="AD9" s="569"/>
      <c r="AE9" s="488"/>
      <c r="AF9" s="584"/>
      <c r="AG9" s="569"/>
      <c r="AH9" s="488"/>
      <c r="AI9" s="584"/>
      <c r="AJ9" s="569"/>
      <c r="AK9" s="488"/>
      <c r="AL9" s="488"/>
      <c r="AM9" s="488"/>
      <c r="AN9" s="488"/>
      <c r="AO9" s="490"/>
      <c r="AP9" s="490"/>
      <c r="AQ9" s="490"/>
    </row>
    <row r="10" spans="1:43" s="469" customFormat="1" ht="18.75" customHeight="1" x14ac:dyDescent="0.3">
      <c r="A10" s="491" t="s">
        <v>295</v>
      </c>
      <c r="B10" s="387"/>
      <c r="C10" s="385"/>
      <c r="D10" s="493"/>
      <c r="E10" s="387"/>
      <c r="F10" s="385"/>
      <c r="G10" s="493"/>
      <c r="H10" s="387"/>
      <c r="I10" s="385"/>
      <c r="J10" s="493"/>
      <c r="K10" s="387"/>
      <c r="L10" s="385"/>
      <c r="M10" s="492"/>
      <c r="N10" s="494"/>
      <c r="O10" s="495"/>
      <c r="P10" s="493"/>
      <c r="Q10" s="408"/>
      <c r="R10" s="338"/>
      <c r="S10" s="493"/>
      <c r="T10" s="387"/>
      <c r="U10" s="385"/>
      <c r="V10" s="493"/>
      <c r="W10" s="387"/>
      <c r="X10" s="385"/>
      <c r="Y10" s="493"/>
      <c r="Z10" s="408"/>
      <c r="AA10" s="338"/>
      <c r="AB10" s="493"/>
      <c r="AC10" s="387"/>
      <c r="AD10" s="385"/>
      <c r="AE10" s="493"/>
      <c r="AF10" s="387"/>
      <c r="AG10" s="385"/>
      <c r="AH10" s="493"/>
      <c r="AI10" s="387"/>
      <c r="AJ10" s="385"/>
      <c r="AK10" s="493"/>
      <c r="AL10" s="493"/>
      <c r="AM10" s="493"/>
      <c r="AN10" s="493"/>
      <c r="AO10" s="496"/>
      <c r="AP10" s="496"/>
      <c r="AQ10" s="496"/>
    </row>
    <row r="11" spans="1:43" s="469" customFormat="1" ht="18.75" customHeight="1" x14ac:dyDescent="0.3">
      <c r="A11" s="491" t="s">
        <v>296</v>
      </c>
      <c r="B11" s="408">
        <f>1687.625+2.886</f>
        <v>1690.511</v>
      </c>
      <c r="C11" s="338">
        <f>1779.407+0.724</f>
        <v>1780.1309999999999</v>
      </c>
      <c r="D11" s="493">
        <f t="shared" ref="D11:D16" si="0">IF(B11=0, "    ---- ", IF(ABS(ROUND(100/B11*C11-100,1))&lt;999,ROUND(100/B11*C11-100,1),IF(ROUND(100/B11*C11-100,1)&gt;999,999,-999)))</f>
        <v>5.3</v>
      </c>
      <c r="E11" s="408">
        <v>10540.957</v>
      </c>
      <c r="F11" s="338">
        <v>11523.682000000001</v>
      </c>
      <c r="G11" s="493">
        <f t="shared" ref="G11:G17" si="1">IF(E11=0, "    ---- ", IF(ABS(ROUND(100/E11*F11-100,1))&lt;999,ROUND(100/E11*F11-100,1),IF(ROUND(100/E11*F11-100,1)&gt;999,999,-999)))</f>
        <v>9.3000000000000007</v>
      </c>
      <c r="H11" s="408">
        <v>823.39099999999996</v>
      </c>
      <c r="I11" s="338">
        <v>886</v>
      </c>
      <c r="J11" s="493">
        <f t="shared" ref="J11:J17" si="2">IF(H11=0, "    ---- ", IF(ABS(ROUND(100/H11*I11-100,1))&lt;999,ROUND(100/H11*I11-100,1),IF(ROUND(100/H11*I11-100,1)&gt;999,999,-999)))</f>
        <v>7.6</v>
      </c>
      <c r="K11" s="408">
        <v>2523.4</v>
      </c>
      <c r="L11" s="338">
        <v>2879.4270000000001</v>
      </c>
      <c r="M11" s="493">
        <f t="shared" ref="M11:M16" si="3">IF(K11=0, "    ---- ", IF(ABS(ROUND(100/K11*L11-100,1))&lt;999,ROUND(100/K11*L11-100,1),IF(ROUND(100/K11*L11-100,1)&gt;999,999,-999)))</f>
        <v>14.1</v>
      </c>
      <c r="N11" s="408">
        <v>28</v>
      </c>
      <c r="O11" s="338">
        <v>26.62580341</v>
      </c>
      <c r="P11" s="493">
        <f>IF(N11=0, "    ---- ", IF(ABS(ROUND(100/N11*O11-100,1))&lt;999,ROUND(100/N11*O11-100,1),IF(ROUND(100/N11*O11-100,1)&gt;999,999,-999)))</f>
        <v>-4.9000000000000004</v>
      </c>
      <c r="Q11" s="408">
        <v>31254.905921009999</v>
      </c>
      <c r="R11" s="338">
        <v>32158.208351410001</v>
      </c>
      <c r="S11" s="493">
        <f t="shared" ref="S11:S17" si="4">IF(Q11=0, "    ---- ", IF(ABS(ROUND(100/Q11*R11-100,1))&lt;999,ROUND(100/Q11*R11-100,1),IF(ROUND(100/Q11*R11-100,1)&gt;999,999,-999)))</f>
        <v>2.9</v>
      </c>
      <c r="T11" s="408">
        <v>381.7</v>
      </c>
      <c r="U11" s="338">
        <v>475.4</v>
      </c>
      <c r="V11" s="493">
        <f t="shared" ref="V11:V30" si="5">IF(T11=0, "    ---- ", IF(ABS(ROUND(100/T11*U11-100,1))&lt;999,ROUND(100/T11*U11-100,1),IF(ROUND(100/T11*U11-100,1)&gt;999,999,-999)))</f>
        <v>24.5</v>
      </c>
      <c r="W11" s="408">
        <v>7460</v>
      </c>
      <c r="X11" s="338">
        <v>9812</v>
      </c>
      <c r="Y11" s="493">
        <f t="shared" ref="Y11:Y17" si="6">IF(W11=0, "    ---- ", IF(ABS(ROUND(100/W11*X11-100,1))&lt;999,ROUND(100/W11*X11-100,1),IF(ROUND(100/W11*X11-100,1)&gt;999,999,-999)))</f>
        <v>31.5</v>
      </c>
      <c r="Z11" s="408">
        <v>4064</v>
      </c>
      <c r="AA11" s="338">
        <v>4519</v>
      </c>
      <c r="AB11" s="493">
        <f t="shared" ref="AB11:AB17" si="7">IF(Z11=0, "    ---- ", IF(ABS(ROUND(100/Z11*AA11-100,1))&lt;999,ROUND(100/Z11*AA11-100,1),IF(ROUND(100/Z11*AA11-100,1)&gt;999,999,-999)))</f>
        <v>11.2</v>
      </c>
      <c r="AC11" s="408">
        <v>109</v>
      </c>
      <c r="AD11" s="338">
        <v>97.840428990000007</v>
      </c>
      <c r="AE11" s="493">
        <f t="shared" ref="AE11:AE16" si="8">IF(AC11=0, "    ---- ", IF(ABS(ROUND(100/AC11*AD11-100,1))&lt;999,ROUND(100/AC11*AD11-100,1),IF(ROUND(100/AC11*AD11-100,1)&gt;999,999,-999)))</f>
        <v>-10.199999999999999</v>
      </c>
      <c r="AF11" s="408">
        <v>5196.705059599999</v>
      </c>
      <c r="AG11" s="338">
        <v>5784.8854157299993</v>
      </c>
      <c r="AH11" s="493">
        <f t="shared" ref="AH11:AH17" si="9">IF(AF11=0, "    ---- ", IF(ABS(ROUND(100/AF11*AG11-100,1))&lt;999,ROUND(100/AF11*AG11-100,1),IF(ROUND(100/AF11*AG11-100,1)&gt;999,999,-999)))</f>
        <v>11.3</v>
      </c>
      <c r="AI11" s="408">
        <v>12956</v>
      </c>
      <c r="AJ11" s="338">
        <v>12816</v>
      </c>
      <c r="AK11" s="493">
        <f t="shared" ref="AK11:AK17" si="10">IF(AI11=0, "    ---- ", IF(ABS(ROUND(100/AI11*AJ11-100,1))&lt;999,ROUND(100/AI11*AJ11-100,1),IF(ROUND(100/AI11*AJ11-100,1)&gt;999,999,-999)))</f>
        <v>-1.1000000000000001</v>
      </c>
      <c r="AL11" s="493">
        <f>B11+E11+H11+K11+Q11+T11+W11+Z11+AF11+AI11</f>
        <v>76891.569980609987</v>
      </c>
      <c r="AM11" s="493">
        <f>C11+F11+I11+L11+R11+U11+X11+AA11+AG11+AJ11</f>
        <v>82634.733767140002</v>
      </c>
      <c r="AN11" s="493">
        <f t="shared" ref="AN11:AN45" si="11">IF(AL11=0, "    ---- ", IF(ABS(ROUND(100/AL11*AM11-100,1))&lt;999,ROUND(100/AL11*AM11-100,1),IF(ROUND(100/AL11*AM11-100,1)&gt;999,999,-999)))</f>
        <v>7.5</v>
      </c>
      <c r="AO11" s="497">
        <f>+B11+E11+H11+K11+N11+Q11+T11+W11+Z11+AC11+AF11+AI11</f>
        <v>77028.569980609987</v>
      </c>
      <c r="AP11" s="497">
        <f>+C11+F11+I11+L11+O11+R11+U11+X11+AA11+AD11+AG11+AJ11</f>
        <v>82759.199999539996</v>
      </c>
      <c r="AQ11" s="493">
        <f t="shared" ref="AQ11:AQ17" si="12">IF(AO11=0, "    ---- ", IF(ABS(ROUND(100/AO11*AP11-100,1))&lt;999,ROUND(100/AO11*AP11-100,1),IF(ROUND(100/AO11*AP11-100,1)&gt;999,999,-999)))</f>
        <v>7.4</v>
      </c>
    </row>
    <row r="12" spans="1:43" s="469" customFormat="1" ht="18.75" customHeight="1" x14ac:dyDescent="0.3">
      <c r="A12" s="491" t="s">
        <v>297</v>
      </c>
      <c r="B12" s="408">
        <v>-81.256</v>
      </c>
      <c r="C12" s="338">
        <v>-90.757000000000005</v>
      </c>
      <c r="D12" s="493">
        <f t="shared" si="0"/>
        <v>11.7</v>
      </c>
      <c r="E12" s="408">
        <v>-162.977</v>
      </c>
      <c r="F12" s="338">
        <v>-186.67699999999999</v>
      </c>
      <c r="G12" s="493">
        <f t="shared" si="1"/>
        <v>14.5</v>
      </c>
      <c r="H12" s="408">
        <v>-45.152000000000001</v>
      </c>
      <c r="I12" s="338">
        <v>-1</v>
      </c>
      <c r="J12" s="493">
        <f t="shared" si="2"/>
        <v>-97.8</v>
      </c>
      <c r="K12" s="408">
        <v>-42.4</v>
      </c>
      <c r="L12" s="338">
        <v>-49.493000000000002</v>
      </c>
      <c r="M12" s="493">
        <f t="shared" si="3"/>
        <v>16.7</v>
      </c>
      <c r="N12" s="408"/>
      <c r="O12" s="338"/>
      <c r="P12" s="493"/>
      <c r="Q12" s="408">
        <v>-1.5713729999999999</v>
      </c>
      <c r="R12" s="338">
        <v>-1.2561040000000001</v>
      </c>
      <c r="S12" s="493">
        <f t="shared" si="4"/>
        <v>-20.100000000000001</v>
      </c>
      <c r="T12" s="408">
        <v>-0.3</v>
      </c>
      <c r="U12" s="338">
        <v>-0.3</v>
      </c>
      <c r="V12" s="493">
        <f t="shared" si="5"/>
        <v>0</v>
      </c>
      <c r="W12" s="408">
        <v>-63.9</v>
      </c>
      <c r="X12" s="338">
        <v>-57</v>
      </c>
      <c r="Y12" s="493">
        <f t="shared" si="6"/>
        <v>-10.8</v>
      </c>
      <c r="Z12" s="408">
        <v>-1</v>
      </c>
      <c r="AA12" s="338">
        <v>-1</v>
      </c>
      <c r="AB12" s="493"/>
      <c r="AC12" s="408"/>
      <c r="AD12" s="338"/>
      <c r="AE12" s="493"/>
      <c r="AF12" s="408">
        <v>-153.42599999999999</v>
      </c>
      <c r="AG12" s="338">
        <v>-146.245</v>
      </c>
      <c r="AH12" s="493">
        <f t="shared" si="9"/>
        <v>-4.7</v>
      </c>
      <c r="AI12" s="408">
        <v>-17</v>
      </c>
      <c r="AJ12" s="338">
        <v>-7</v>
      </c>
      <c r="AK12" s="493">
        <f t="shared" si="10"/>
        <v>-58.8</v>
      </c>
      <c r="AL12" s="493">
        <f t="shared" ref="AL12:AM17" si="13">B12+E12+H12+K12+Q12+T12+W12+Z12+AF12+AI12</f>
        <v>-568.98237299999994</v>
      </c>
      <c r="AM12" s="493">
        <f t="shared" si="13"/>
        <v>-540.72810400000003</v>
      </c>
      <c r="AN12" s="493">
        <f t="shared" si="11"/>
        <v>-5</v>
      </c>
      <c r="AO12" s="497">
        <f t="shared" ref="AO12:AP17" si="14">+B12+E12+H12+K12+N12+Q12+T12+W12+Z12+AC12+AF12+AI12</f>
        <v>-568.98237299999994</v>
      </c>
      <c r="AP12" s="497">
        <f t="shared" si="14"/>
        <v>-540.72810400000003</v>
      </c>
      <c r="AQ12" s="493">
        <f t="shared" si="12"/>
        <v>-5</v>
      </c>
    </row>
    <row r="13" spans="1:43" s="469" customFormat="1" ht="18.75" customHeight="1" x14ac:dyDescent="0.3">
      <c r="A13" s="491" t="s">
        <v>298</v>
      </c>
      <c r="B13" s="408">
        <v>607.81399999999996</v>
      </c>
      <c r="C13" s="338">
        <v>812.97</v>
      </c>
      <c r="D13" s="493">
        <f t="shared" si="0"/>
        <v>33.799999999999997</v>
      </c>
      <c r="E13" s="408">
        <v>3201.0479999999998</v>
      </c>
      <c r="F13" s="338">
        <v>2663.759</v>
      </c>
      <c r="G13" s="493">
        <f t="shared" si="1"/>
        <v>-16.8</v>
      </c>
      <c r="H13" s="408">
        <v>48.155999999999999</v>
      </c>
      <c r="I13" s="338">
        <v>140.9</v>
      </c>
      <c r="J13" s="493">
        <f t="shared" si="2"/>
        <v>192.6</v>
      </c>
      <c r="K13" s="408">
        <v>1289.7</v>
      </c>
      <c r="L13" s="338">
        <v>1466.4490000000001</v>
      </c>
      <c r="M13" s="493">
        <f t="shared" si="3"/>
        <v>13.7</v>
      </c>
      <c r="N13" s="408"/>
      <c r="O13" s="338"/>
      <c r="P13" s="493"/>
      <c r="Q13" s="408">
        <v>5.3019790000000002</v>
      </c>
      <c r="R13" s="338">
        <v>0.23514299999999999</v>
      </c>
      <c r="S13" s="493">
        <f t="shared" si="4"/>
        <v>-95.6</v>
      </c>
      <c r="T13" s="408">
        <v>350.4</v>
      </c>
      <c r="U13" s="338">
        <v>394.6</v>
      </c>
      <c r="V13" s="493">
        <f t="shared" si="5"/>
        <v>12.6</v>
      </c>
      <c r="W13" s="408">
        <v>2097.4</v>
      </c>
      <c r="X13" s="338">
        <v>2654</v>
      </c>
      <c r="Y13" s="493">
        <f t="shared" si="6"/>
        <v>26.5</v>
      </c>
      <c r="Z13" s="408">
        <v>310</v>
      </c>
      <c r="AA13" s="338">
        <v>106</v>
      </c>
      <c r="AB13" s="493"/>
      <c r="AC13" s="408">
        <v>129</v>
      </c>
      <c r="AD13" s="338">
        <v>82.389431999999999</v>
      </c>
      <c r="AE13" s="493">
        <f t="shared" si="8"/>
        <v>-36.1</v>
      </c>
      <c r="AF13" s="408">
        <v>1935.5394127899999</v>
      </c>
      <c r="AG13" s="338">
        <v>1148.41937738</v>
      </c>
      <c r="AH13" s="493">
        <f t="shared" si="9"/>
        <v>-40.700000000000003</v>
      </c>
      <c r="AI13" s="408">
        <v>1824</v>
      </c>
      <c r="AJ13" s="338">
        <v>2370</v>
      </c>
      <c r="AK13" s="493">
        <f t="shared" si="10"/>
        <v>29.9</v>
      </c>
      <c r="AL13" s="493">
        <f t="shared" si="13"/>
        <v>11669.35939179</v>
      </c>
      <c r="AM13" s="493">
        <f t="shared" si="13"/>
        <v>11757.332520380001</v>
      </c>
      <c r="AN13" s="493">
        <f t="shared" si="11"/>
        <v>0.8</v>
      </c>
      <c r="AO13" s="497">
        <f t="shared" si="14"/>
        <v>11798.35939179</v>
      </c>
      <c r="AP13" s="497">
        <f t="shared" si="14"/>
        <v>11839.721952380001</v>
      </c>
      <c r="AQ13" s="493">
        <f t="shared" si="12"/>
        <v>0.4</v>
      </c>
    </row>
    <row r="14" spans="1:43" s="469" customFormat="1" ht="18.75" customHeight="1" x14ac:dyDescent="0.3">
      <c r="A14" s="491" t="s">
        <v>299</v>
      </c>
      <c r="B14" s="593">
        <f>SUM(B11:B13)</f>
        <v>2217.069</v>
      </c>
      <c r="C14" s="574">
        <f>SUM(C11:C13)</f>
        <v>2502.3440000000001</v>
      </c>
      <c r="D14" s="493">
        <f t="shared" si="0"/>
        <v>12.9</v>
      </c>
      <c r="E14" s="387">
        <f>SUM(E11:E13)</f>
        <v>13579.027999999998</v>
      </c>
      <c r="F14" s="385">
        <f>SUM(F11:F13)</f>
        <v>14000.764000000001</v>
      </c>
      <c r="G14" s="493">
        <f t="shared" si="1"/>
        <v>3.1</v>
      </c>
      <c r="H14" s="387">
        <f>SUM(H11:H13)</f>
        <v>826.39499999999987</v>
      </c>
      <c r="I14" s="385">
        <f>SUM(I11:I13)</f>
        <v>1025.9000000000001</v>
      </c>
      <c r="J14" s="493">
        <f t="shared" si="2"/>
        <v>24.1</v>
      </c>
      <c r="K14" s="387">
        <f>SUM(K11:K13)</f>
        <v>3770.7</v>
      </c>
      <c r="L14" s="385">
        <f>SUM(L11:L13)</f>
        <v>4296.3829999999998</v>
      </c>
      <c r="M14" s="493">
        <f t="shared" si="3"/>
        <v>13.9</v>
      </c>
      <c r="N14" s="387">
        <f>SUM(N11:N13)</f>
        <v>28</v>
      </c>
      <c r="O14" s="385">
        <f>SUM(O11:O13)</f>
        <v>26.62580341</v>
      </c>
      <c r="P14" s="493">
        <f>IF(N14=0, "    ---- ", IF(ABS(ROUND(100/N14*O14-100,1))&lt;999,ROUND(100/N14*O14-100,1),IF(ROUND(100/N14*O14-100,1)&gt;999,999,-999)))</f>
        <v>-4.9000000000000004</v>
      </c>
      <c r="Q14" s="387">
        <f>SUM(Q11:Q13)</f>
        <v>31258.63652701</v>
      </c>
      <c r="R14" s="385">
        <v>32157.187390410003</v>
      </c>
      <c r="S14" s="493">
        <f t="shared" si="4"/>
        <v>2.9</v>
      </c>
      <c r="T14" s="387">
        <f>SUM(T11:T13)</f>
        <v>731.8</v>
      </c>
      <c r="U14" s="385">
        <f>SUM(U11:U13)</f>
        <v>869.7</v>
      </c>
      <c r="V14" s="493">
        <f t="shared" si="5"/>
        <v>18.8</v>
      </c>
      <c r="W14" s="387">
        <f>SUM(W11:W13)</f>
        <v>9493.5</v>
      </c>
      <c r="X14" s="385">
        <f>SUM(X11:X13)</f>
        <v>12409</v>
      </c>
      <c r="Y14" s="493">
        <f t="shared" si="6"/>
        <v>30.7</v>
      </c>
      <c r="Z14" s="387">
        <f>SUM(Z11:Z13)</f>
        <v>4373</v>
      </c>
      <c r="AA14" s="385">
        <f>SUM(AA11:AA13)</f>
        <v>4624</v>
      </c>
      <c r="AB14" s="493">
        <f t="shared" si="7"/>
        <v>5.7</v>
      </c>
      <c r="AC14" s="387">
        <f>SUM(AC11:AC13)</f>
        <v>238</v>
      </c>
      <c r="AD14" s="385">
        <f>SUM(AD11:AD13)</f>
        <v>180.22986099000002</v>
      </c>
      <c r="AE14" s="493">
        <f t="shared" si="8"/>
        <v>-24.3</v>
      </c>
      <c r="AF14" s="387">
        <f>SUM(AF11:AF13)</f>
        <v>6978.8184723899985</v>
      </c>
      <c r="AG14" s="385">
        <f>SUM(AG11:AG13)</f>
        <v>6787.0597931099992</v>
      </c>
      <c r="AH14" s="493">
        <f t="shared" si="9"/>
        <v>-2.7</v>
      </c>
      <c r="AI14" s="387">
        <f>SUM(AI11:AI13)</f>
        <v>14763</v>
      </c>
      <c r="AJ14" s="385">
        <f>SUM(AJ11:AJ13)</f>
        <v>15179</v>
      </c>
      <c r="AK14" s="493">
        <f t="shared" si="10"/>
        <v>2.8</v>
      </c>
      <c r="AL14" s="493">
        <f t="shared" si="13"/>
        <v>87991.94699940001</v>
      </c>
      <c r="AM14" s="493">
        <f t="shared" si="13"/>
        <v>93851.338183520013</v>
      </c>
      <c r="AN14" s="493">
        <f t="shared" si="11"/>
        <v>6.7</v>
      </c>
      <c r="AO14" s="497">
        <f t="shared" si="14"/>
        <v>88257.94699940001</v>
      </c>
      <c r="AP14" s="497">
        <f t="shared" si="14"/>
        <v>94058.193847920003</v>
      </c>
      <c r="AQ14" s="493">
        <f t="shared" si="12"/>
        <v>6.6</v>
      </c>
    </row>
    <row r="15" spans="1:43" s="469" customFormat="1" ht="18.75" customHeight="1" x14ac:dyDescent="0.3">
      <c r="A15" s="491" t="s">
        <v>300</v>
      </c>
      <c r="B15" s="403">
        <v>12.186</v>
      </c>
      <c r="C15" s="401">
        <v>43.780999999999999</v>
      </c>
      <c r="D15" s="493">
        <f t="shared" si="0"/>
        <v>259.3</v>
      </c>
      <c r="E15" s="403">
        <v>6066.674</v>
      </c>
      <c r="F15" s="401">
        <v>9023.6350000000002</v>
      </c>
      <c r="G15" s="493">
        <f t="shared" si="1"/>
        <v>48.7</v>
      </c>
      <c r="H15" s="590">
        <v>18.785</v>
      </c>
      <c r="I15" s="573">
        <v>45.8</v>
      </c>
      <c r="J15" s="493">
        <f t="shared" si="2"/>
        <v>143.80000000000001</v>
      </c>
      <c r="K15" s="403">
        <v>189.4</v>
      </c>
      <c r="L15" s="401">
        <v>204.006</v>
      </c>
      <c r="M15" s="493">
        <f t="shared" si="3"/>
        <v>7.7</v>
      </c>
      <c r="N15" s="588"/>
      <c r="O15" s="571"/>
      <c r="P15" s="493"/>
      <c r="Q15" s="403">
        <v>14362.900120660001</v>
      </c>
      <c r="R15" s="401">
        <v>33961.814102969998</v>
      </c>
      <c r="S15" s="493">
        <f t="shared" si="4"/>
        <v>136.5</v>
      </c>
      <c r="T15" s="403">
        <v>39.700000000000003</v>
      </c>
      <c r="U15" s="401">
        <v>50.5</v>
      </c>
      <c r="V15" s="493">
        <f t="shared" si="5"/>
        <v>27.2</v>
      </c>
      <c r="W15" s="403">
        <v>1623</v>
      </c>
      <c r="X15" s="401">
        <v>2148</v>
      </c>
      <c r="Y15" s="493">
        <f t="shared" si="6"/>
        <v>32.299999999999997</v>
      </c>
      <c r="Z15" s="403">
        <v>3188</v>
      </c>
      <c r="AA15" s="401">
        <v>5667</v>
      </c>
      <c r="AB15" s="493">
        <f t="shared" si="7"/>
        <v>77.8</v>
      </c>
      <c r="AC15" s="588"/>
      <c r="AD15" s="571"/>
      <c r="AE15" s="493"/>
      <c r="AF15" s="499">
        <v>677.84310407999999</v>
      </c>
      <c r="AG15" s="500">
        <v>1984.1352124299983</v>
      </c>
      <c r="AH15" s="493">
        <f t="shared" si="9"/>
        <v>192.7</v>
      </c>
      <c r="AI15" s="403">
        <v>4218</v>
      </c>
      <c r="AJ15" s="401">
        <v>8407</v>
      </c>
      <c r="AK15" s="493">
        <f t="shared" si="10"/>
        <v>99.3</v>
      </c>
      <c r="AL15" s="493">
        <f t="shared" si="13"/>
        <v>30396.488224739998</v>
      </c>
      <c r="AM15" s="493">
        <f t="shared" si="13"/>
        <v>61535.671315399995</v>
      </c>
      <c r="AN15" s="493">
        <f t="shared" si="11"/>
        <v>102.4</v>
      </c>
      <c r="AO15" s="497">
        <f t="shared" si="14"/>
        <v>30396.488224739998</v>
      </c>
      <c r="AP15" s="497">
        <f t="shared" si="14"/>
        <v>61535.671315399995</v>
      </c>
      <c r="AQ15" s="493">
        <f t="shared" si="12"/>
        <v>102.4</v>
      </c>
    </row>
    <row r="16" spans="1:43" s="469" customFormat="1" ht="18.75" customHeight="1" x14ac:dyDescent="0.3">
      <c r="A16" s="491" t="s">
        <v>301</v>
      </c>
      <c r="B16" s="403">
        <v>284.61200000000002</v>
      </c>
      <c r="C16" s="401">
        <v>1718.7249999999999</v>
      </c>
      <c r="D16" s="493">
        <f t="shared" si="0"/>
        <v>503.9</v>
      </c>
      <c r="E16" s="403">
        <v>2727.7939999999999</v>
      </c>
      <c r="F16" s="401">
        <v>10128.371999999999</v>
      </c>
      <c r="G16" s="493">
        <f t="shared" si="1"/>
        <v>271.3</v>
      </c>
      <c r="H16" s="590">
        <v>25.094000000000001</v>
      </c>
      <c r="I16" s="573">
        <v>296</v>
      </c>
      <c r="J16" s="493">
        <f t="shared" si="2"/>
        <v>999</v>
      </c>
      <c r="K16" s="403">
        <v>611.79999999999995</v>
      </c>
      <c r="L16" s="401">
        <v>2641.277</v>
      </c>
      <c r="M16" s="492">
        <f t="shared" si="3"/>
        <v>331.7</v>
      </c>
      <c r="N16" s="588"/>
      <c r="O16" s="571"/>
      <c r="P16" s="501"/>
      <c r="Q16" s="403">
        <v>73.210307599999993</v>
      </c>
      <c r="R16" s="401">
        <v>178.04810983000002</v>
      </c>
      <c r="S16" s="501">
        <f t="shared" si="4"/>
        <v>143.19999999999999</v>
      </c>
      <c r="T16" s="403">
        <v>139.4</v>
      </c>
      <c r="U16" s="401">
        <v>457.9</v>
      </c>
      <c r="V16" s="501">
        <f t="shared" si="5"/>
        <v>228.5</v>
      </c>
      <c r="W16" s="403">
        <v>1142</v>
      </c>
      <c r="X16" s="401">
        <v>6510</v>
      </c>
      <c r="Y16" s="493">
        <f t="shared" si="6"/>
        <v>470.1</v>
      </c>
      <c r="Z16" s="403"/>
      <c r="AA16" s="401"/>
      <c r="AB16" s="493"/>
      <c r="AC16" s="588">
        <v>59</v>
      </c>
      <c r="AD16" s="571">
        <v>280</v>
      </c>
      <c r="AE16" s="493">
        <f t="shared" si="8"/>
        <v>374.6</v>
      </c>
      <c r="AF16" s="499">
        <v>1017.5438005499998</v>
      </c>
      <c r="AG16" s="500">
        <v>2888.4494457100004</v>
      </c>
      <c r="AH16" s="493">
        <f t="shared" si="9"/>
        <v>183.9</v>
      </c>
      <c r="AI16" s="403">
        <v>3123</v>
      </c>
      <c r="AJ16" s="401">
        <v>9726</v>
      </c>
      <c r="AK16" s="493">
        <f t="shared" si="10"/>
        <v>211.4</v>
      </c>
      <c r="AL16" s="493">
        <f t="shared" si="13"/>
        <v>9144.4541081499992</v>
      </c>
      <c r="AM16" s="493">
        <f t="shared" si="13"/>
        <v>34544.771555539999</v>
      </c>
      <c r="AN16" s="493">
        <f t="shared" si="11"/>
        <v>277.8</v>
      </c>
      <c r="AO16" s="497">
        <f t="shared" si="14"/>
        <v>9203.4541081499992</v>
      </c>
      <c r="AP16" s="497">
        <f t="shared" si="14"/>
        <v>34824.771555539999</v>
      </c>
      <c r="AQ16" s="493">
        <f t="shared" si="12"/>
        <v>278.39999999999998</v>
      </c>
    </row>
    <row r="17" spans="1:43" s="469" customFormat="1" ht="18.75" customHeight="1" x14ac:dyDescent="0.3">
      <c r="A17" s="491" t="s">
        <v>302</v>
      </c>
      <c r="B17" s="403"/>
      <c r="C17" s="401"/>
      <c r="D17" s="493"/>
      <c r="E17" s="403">
        <v>8.1240000000000006</v>
      </c>
      <c r="F17" s="401">
        <v>45.738999999999997</v>
      </c>
      <c r="G17" s="493">
        <f t="shared" si="1"/>
        <v>463</v>
      </c>
      <c r="H17" s="590">
        <v>9.702</v>
      </c>
      <c r="I17" s="573">
        <v>10.4</v>
      </c>
      <c r="J17" s="493">
        <f t="shared" si="2"/>
        <v>7.2</v>
      </c>
      <c r="K17" s="403">
        <v>110.2</v>
      </c>
      <c r="L17" s="401">
        <v>122.4</v>
      </c>
      <c r="M17" s="493"/>
      <c r="N17" s="588"/>
      <c r="O17" s="571"/>
      <c r="P17" s="493"/>
      <c r="Q17" s="403">
        <v>781.34996899999999</v>
      </c>
      <c r="R17" s="401">
        <v>830.27711499999998</v>
      </c>
      <c r="S17" s="493">
        <f t="shared" si="4"/>
        <v>6.3</v>
      </c>
      <c r="T17" s="403">
        <v>3.5</v>
      </c>
      <c r="U17" s="401">
        <v>6.5</v>
      </c>
      <c r="V17" s="493">
        <f t="shared" si="5"/>
        <v>85.7</v>
      </c>
      <c r="W17" s="403">
        <v>113</v>
      </c>
      <c r="X17" s="401">
        <v>126</v>
      </c>
      <c r="Y17" s="493">
        <f t="shared" si="6"/>
        <v>11.5</v>
      </c>
      <c r="Z17" s="403">
        <v>151</v>
      </c>
      <c r="AA17" s="401">
        <v>153</v>
      </c>
      <c r="AB17" s="493">
        <f t="shared" si="7"/>
        <v>1.3</v>
      </c>
      <c r="AC17" s="588"/>
      <c r="AD17" s="571"/>
      <c r="AE17" s="493"/>
      <c r="AF17" s="499">
        <v>151.07443132</v>
      </c>
      <c r="AG17" s="500">
        <v>162.42581912</v>
      </c>
      <c r="AH17" s="493">
        <f t="shared" si="9"/>
        <v>7.5</v>
      </c>
      <c r="AI17" s="403">
        <v>474</v>
      </c>
      <c r="AJ17" s="401">
        <v>583</v>
      </c>
      <c r="AK17" s="493">
        <f t="shared" si="10"/>
        <v>23</v>
      </c>
      <c r="AL17" s="493">
        <f t="shared" si="13"/>
        <v>1801.95040032</v>
      </c>
      <c r="AM17" s="493">
        <f t="shared" si="13"/>
        <v>2039.74193412</v>
      </c>
      <c r="AN17" s="493">
        <f t="shared" si="11"/>
        <v>13.2</v>
      </c>
      <c r="AO17" s="497">
        <f t="shared" si="14"/>
        <v>1801.95040032</v>
      </c>
      <c r="AP17" s="497">
        <f t="shared" si="14"/>
        <v>2039.74193412</v>
      </c>
      <c r="AQ17" s="493">
        <f t="shared" si="12"/>
        <v>13.2</v>
      </c>
    </row>
    <row r="18" spans="1:43" s="469" customFormat="1" ht="18.75" customHeight="1" x14ac:dyDescent="0.3">
      <c r="A18" s="491" t="s">
        <v>303</v>
      </c>
      <c r="B18" s="403"/>
      <c r="C18" s="401"/>
      <c r="D18" s="493"/>
      <c r="E18" s="403"/>
      <c r="F18" s="401"/>
      <c r="G18" s="493"/>
      <c r="H18" s="590"/>
      <c r="I18" s="573"/>
      <c r="J18" s="493"/>
      <c r="K18" s="403"/>
      <c r="L18" s="401"/>
      <c r="M18" s="492"/>
      <c r="N18" s="588"/>
      <c r="O18" s="571"/>
      <c r="P18" s="493"/>
      <c r="Q18" s="403"/>
      <c r="R18" s="401"/>
      <c r="S18" s="493"/>
      <c r="T18" s="403"/>
      <c r="U18" s="401"/>
      <c r="V18" s="493"/>
      <c r="W18" s="502"/>
      <c r="X18" s="503"/>
      <c r="Y18" s="493"/>
      <c r="Z18" s="403"/>
      <c r="AA18" s="401"/>
      <c r="AB18" s="493"/>
      <c r="AC18" s="588"/>
      <c r="AD18" s="571"/>
      <c r="AE18" s="493"/>
      <c r="AF18" s="499"/>
      <c r="AG18" s="500"/>
      <c r="AH18" s="493"/>
      <c r="AI18" s="403"/>
      <c r="AJ18" s="401"/>
      <c r="AK18" s="493"/>
      <c r="AL18" s="493"/>
      <c r="AM18" s="493"/>
      <c r="AN18" s="493"/>
      <c r="AO18" s="504"/>
      <c r="AP18" s="504"/>
      <c r="AQ18" s="496"/>
    </row>
    <row r="19" spans="1:43" s="469" customFormat="1" ht="18.75" customHeight="1" x14ac:dyDescent="0.3">
      <c r="A19" s="491" t="s">
        <v>304</v>
      </c>
      <c r="B19" s="387">
        <f>-537.648+44.643</f>
        <v>-493.005</v>
      </c>
      <c r="C19" s="385">
        <f>-581.827+33.877</f>
        <v>-547.95000000000005</v>
      </c>
      <c r="D19" s="493">
        <f>IF(B19=0, "    ---- ", IF(ABS(ROUND(100/B19*C19-100,1))&lt;999,ROUND(100/B19*C19-100,1),IF(ROUND(100/B19*C19-100,1)&gt;999,999,-999)))</f>
        <v>11.1</v>
      </c>
      <c r="E19" s="387">
        <v>-10520.825999999999</v>
      </c>
      <c r="F19" s="385">
        <v>-10429.901</v>
      </c>
      <c r="G19" s="493">
        <f>IF(E19=0, "    ---- ", IF(ABS(ROUND(100/E19*F19-100,1))&lt;999,ROUND(100/E19*F19-100,1),IF(ROUND(100/E19*F19-100,1)&gt;999,999,-999)))</f>
        <v>-0.9</v>
      </c>
      <c r="H19" s="387">
        <v>-84.606999999999999</v>
      </c>
      <c r="I19" s="385">
        <v>-111.2</v>
      </c>
      <c r="J19" s="493">
        <f>IF(H19=0, "    ---- ", IF(ABS(ROUND(100/H19*I19-100,1))&lt;999,ROUND(100/H19*I19-100,1),IF(ROUND(100/H19*I19-100,1)&gt;999,999,-999)))</f>
        <v>31.4</v>
      </c>
      <c r="K19" s="387">
        <f>-410+8.7</f>
        <v>-401.3</v>
      </c>
      <c r="L19" s="385">
        <v>-459.61</v>
      </c>
      <c r="M19" s="493">
        <f>IF(K19=0, "    ---- ", IF(ABS(ROUND(100/K19*L19-100,1))&lt;999,ROUND(100/K19*L19-100,1),IF(ROUND(100/K19*L19-100,1)&gt;999,999,-999)))</f>
        <v>14.5</v>
      </c>
      <c r="N19" s="387">
        <v>-14</v>
      </c>
      <c r="O19" s="385">
        <v>-13.242918</v>
      </c>
      <c r="P19" s="493">
        <f>IF(N19=0, "    ---- ", IF(ABS(ROUND(100/N19*O19-100,1))&lt;999,ROUND(100/N19*O19-100,1),IF(ROUND(100/N19*O19-100,1)&gt;999,999,-999)))</f>
        <v>-5.4</v>
      </c>
      <c r="Q19" s="387">
        <v>-13613.708052</v>
      </c>
      <c r="R19" s="385">
        <v>-14788.338514999999</v>
      </c>
      <c r="S19" s="493">
        <f>IF(Q19=0, "    ---- ", IF(ABS(ROUND(100/Q19*R19-100,1))&lt;999,ROUND(100/Q19*R19-100,1),IF(ROUND(100/Q19*R19-100,1)&gt;999,999,-999)))</f>
        <v>8.6</v>
      </c>
      <c r="T19" s="387">
        <v>-62.2</v>
      </c>
      <c r="U19" s="385">
        <v>-67</v>
      </c>
      <c r="V19" s="493">
        <f t="shared" si="5"/>
        <v>7.7</v>
      </c>
      <c r="W19" s="387">
        <v>-4024.4</v>
      </c>
      <c r="X19" s="385">
        <v>-4207</v>
      </c>
      <c r="Y19" s="493">
        <f>IF(W19=0, "    ---- ", IF(ABS(ROUND(100/W19*X19-100,1))&lt;999,ROUND(100/W19*X19-100,1),IF(ROUND(100/W19*X19-100,1)&gt;999,999,-999)))</f>
        <v>4.5</v>
      </c>
      <c r="Z19" s="387">
        <v>-2099</v>
      </c>
      <c r="AA19" s="385">
        <v>-2228</v>
      </c>
      <c r="AB19" s="493">
        <f>IF(Z19=0, "    ---- ", IF(ABS(ROUND(100/Z19*AA19-100,1))&lt;999,ROUND(100/Z19*AA19-100,1),IF(ROUND(100/Z19*AA19-100,1)&gt;999,999,-999)))</f>
        <v>6.1</v>
      </c>
      <c r="AC19" s="387">
        <v>-113</v>
      </c>
      <c r="AD19" s="385">
        <v>-139.7756583</v>
      </c>
      <c r="AE19" s="493">
        <f>IF(AC19=0, "    ---- ", IF(ABS(ROUND(100/AC19*AD19-100,1))&lt;999,ROUND(100/AC19*AD19-100,1),IF(ROUND(100/AC19*AD19-100,1)&gt;999,999,-999)))</f>
        <v>23.7</v>
      </c>
      <c r="AF19" s="505">
        <v>-1690.5531754699998</v>
      </c>
      <c r="AG19" s="506">
        <v>-1787.23499855</v>
      </c>
      <c r="AH19" s="493">
        <f>IF(AF19=0, "    ---- ", IF(ABS(ROUND(100/AF19*AG19-100,1))&lt;999,ROUND(100/AF19*AG19-100,1),IF(ROUND(100/AF19*AG19-100,1)&gt;999,999,-999)))</f>
        <v>5.7</v>
      </c>
      <c r="AI19" s="387">
        <f>-8308+14</f>
        <v>-8294</v>
      </c>
      <c r="AJ19" s="385">
        <f>-9300+7</f>
        <v>-9293</v>
      </c>
      <c r="AK19" s="493">
        <f>IF(AI19=0, "    ---- ", IF(ABS(ROUND(100/AI19*AJ19-100,1))&lt;999,ROUND(100/AI19*AJ19-100,1),IF(ROUND(100/AI19*AJ19-100,1)&gt;999,999,-999)))</f>
        <v>12</v>
      </c>
      <c r="AL19" s="493">
        <f t="shared" ref="AL19:AM21" si="15">B19+E19+H19+K19+Q19+T19+W19+Z19+AF19+AI19</f>
        <v>-41283.599227470004</v>
      </c>
      <c r="AM19" s="493">
        <f t="shared" si="15"/>
        <v>-43919.23451355</v>
      </c>
      <c r="AN19" s="493">
        <f t="shared" si="11"/>
        <v>6.4</v>
      </c>
      <c r="AO19" s="497">
        <f t="shared" ref="AO19:AP21" si="16">+B19+E19+H19+K19+N19+Q19+T19+W19+Z19+AC19+AF19+AI19</f>
        <v>-41410.599227470004</v>
      </c>
      <c r="AP19" s="497">
        <f t="shared" si="16"/>
        <v>-44072.253089849997</v>
      </c>
      <c r="AQ19" s="493">
        <f>IF(AO19=0, "    ---- ", IF(ABS(ROUND(100/AO19*AP19-100,1))&lt;999,ROUND(100/AO19*AP19-100,1),IF(ROUND(100/AO19*AP19-100,1)&gt;999,999,-999)))</f>
        <v>6.4</v>
      </c>
    </row>
    <row r="20" spans="1:43" s="469" customFormat="1" ht="18.75" customHeight="1" x14ac:dyDescent="0.3">
      <c r="A20" s="491" t="s">
        <v>366</v>
      </c>
      <c r="B20" s="408">
        <v>-730.82299999999998</v>
      </c>
      <c r="C20" s="338">
        <v>-544.41800000000001</v>
      </c>
      <c r="D20" s="493">
        <f>IF(B20=0, "    ---- ", IF(ABS(ROUND(100/B20*C20-100,1))&lt;999,ROUND(100/B20*C20-100,1),IF(ROUND(100/B20*C20-100,1)&gt;999,999,-999)))</f>
        <v>-25.5</v>
      </c>
      <c r="E20" s="408">
        <v>-3461.5549999999998</v>
      </c>
      <c r="F20" s="338">
        <v>-2903.377</v>
      </c>
      <c r="G20" s="493">
        <f>IF(E20=0, "    ---- ", IF(ABS(ROUND(100/E20*F20-100,1))&lt;999,ROUND(100/E20*F20-100,1),IF(ROUND(100/E20*F20-100,1)&gt;999,999,-999)))</f>
        <v>-16.100000000000001</v>
      </c>
      <c r="H20" s="408">
        <v>-108.535</v>
      </c>
      <c r="I20" s="338">
        <v>-77.400000000000006</v>
      </c>
      <c r="J20" s="493">
        <f>IF(H20=0, "    ---- ", IF(ABS(ROUND(100/H20*I20-100,1))&lt;999,ROUND(100/H20*I20-100,1),IF(ROUND(100/H20*I20-100,1)&gt;999,999,-999)))</f>
        <v>-28.7</v>
      </c>
      <c r="K20" s="408">
        <v>-1024.0999999999999</v>
      </c>
      <c r="L20" s="338">
        <v>-1849.498</v>
      </c>
      <c r="M20" s="493">
        <f>IF(K20=0, "    ---- ", IF(ABS(ROUND(100/K20*L20-100,1))&lt;999,ROUND(100/K20*L20-100,1),IF(ROUND(100/K20*L20-100,1)&gt;999,999,-999)))</f>
        <v>80.599999999999994</v>
      </c>
      <c r="N20" s="408"/>
      <c r="O20" s="338"/>
      <c r="P20" s="493"/>
      <c r="Q20" s="408">
        <v>-496.73950100000002</v>
      </c>
      <c r="R20" s="338">
        <v>-288.21158800000001</v>
      </c>
      <c r="S20" s="493">
        <f>IF(Q20=0, "    ---- ", IF(ABS(ROUND(100/Q20*R20-100,1))&lt;999,ROUND(100/Q20*R20-100,1),IF(ROUND(100/Q20*R20-100,1)&gt;999,999,-999)))</f>
        <v>-42</v>
      </c>
      <c r="T20" s="408">
        <v>-64.099999999999994</v>
      </c>
      <c r="U20" s="338">
        <v>-91.8</v>
      </c>
      <c r="V20" s="493">
        <f t="shared" si="5"/>
        <v>43.2</v>
      </c>
      <c r="W20" s="507">
        <v>-3330</v>
      </c>
      <c r="X20" s="508">
        <v>-1539</v>
      </c>
      <c r="Y20" s="493">
        <f>IF(W20=0, "    ---- ", IF(ABS(ROUND(100/W20*X20-100,1))&lt;999,ROUND(100/W20*X20-100,1),IF(ROUND(100/W20*X20-100,1)&gt;999,999,-999)))</f>
        <v>-53.8</v>
      </c>
      <c r="Z20" s="507"/>
      <c r="AA20" s="508"/>
      <c r="AB20" s="493"/>
      <c r="AC20" s="408">
        <v>-7</v>
      </c>
      <c r="AD20" s="338">
        <v>-11.93893301</v>
      </c>
      <c r="AE20" s="493">
        <f>IF(AC20=0, "    ---- ", IF(ABS(ROUND(100/AC20*AD20-100,1))&lt;999,ROUND(100/AC20*AD20-100,1),IF(ROUND(100/AC20*AD20-100,1)&gt;999,999,-999)))</f>
        <v>70.599999999999994</v>
      </c>
      <c r="AF20" s="507">
        <v>-563.18794677999983</v>
      </c>
      <c r="AG20" s="508">
        <v>-794.80942468000012</v>
      </c>
      <c r="AH20" s="493">
        <f>IF(AF20=0, "    ---- ", IF(ABS(ROUND(100/AF20*AG20-100,1))&lt;999,ROUND(100/AF20*AG20-100,1),IF(ROUND(100/AF20*AG20-100,1)&gt;999,999,-999)))</f>
        <v>41.1</v>
      </c>
      <c r="AI20" s="408">
        <v>-2341.9</v>
      </c>
      <c r="AJ20" s="338">
        <v>-3892</v>
      </c>
      <c r="AK20" s="493">
        <f>IF(AI20=0, "    ---- ", IF(ABS(ROUND(100/AI20*AJ20-100,1))&lt;999,ROUND(100/AI20*AJ20-100,1),IF(ROUND(100/AI20*AJ20-100,1)&gt;999,999,-999)))</f>
        <v>66.2</v>
      </c>
      <c r="AL20" s="493">
        <f t="shared" si="15"/>
        <v>-12120.940447779998</v>
      </c>
      <c r="AM20" s="493">
        <f t="shared" si="15"/>
        <v>-11980.51401268</v>
      </c>
      <c r="AN20" s="493">
        <f t="shared" si="11"/>
        <v>-1.2</v>
      </c>
      <c r="AO20" s="497">
        <f t="shared" si="16"/>
        <v>-12127.940447779998</v>
      </c>
      <c r="AP20" s="497">
        <f t="shared" si="16"/>
        <v>-11992.452945690002</v>
      </c>
      <c r="AQ20" s="493">
        <f>IF(AO20=0, "    ---- ", IF(ABS(ROUND(100/AO20*AP20-100,1))&lt;999,ROUND(100/AO20*AP20-100,1),IF(ROUND(100/AO20*AP20-100,1)&gt;999,999,-999)))</f>
        <v>-1.1000000000000001</v>
      </c>
    </row>
    <row r="21" spans="1:43" s="469" customFormat="1" ht="18.75" customHeight="1" x14ac:dyDescent="0.3">
      <c r="A21" s="491" t="s">
        <v>305</v>
      </c>
      <c r="B21" s="387">
        <f>SUM(B19:B20)</f>
        <v>-1223.828</v>
      </c>
      <c r="C21" s="385">
        <f>SUM(C19:C20)</f>
        <v>-1092.3679999999999</v>
      </c>
      <c r="D21" s="493">
        <f>IF(B21=0, "    ---- ", IF(ABS(ROUND(100/B21*C21-100,1))&lt;999,ROUND(100/B21*C21-100,1),IF(ROUND(100/B21*C21-100,1)&gt;999,999,-999)))</f>
        <v>-10.7</v>
      </c>
      <c r="E21" s="387">
        <f>SUM(E19:E20)</f>
        <v>-13982.380999999999</v>
      </c>
      <c r="F21" s="385">
        <f>SUM(F19:F20)</f>
        <v>-13333.278</v>
      </c>
      <c r="G21" s="493">
        <f>IF(E21=0, "    ---- ", IF(ABS(ROUND(100/E21*F21-100,1))&lt;999,ROUND(100/E21*F21-100,1),IF(ROUND(100/E21*F21-100,1)&gt;999,999,-999)))</f>
        <v>-4.5999999999999996</v>
      </c>
      <c r="H21" s="387">
        <f>SUM(H19:H20)</f>
        <v>-193.142</v>
      </c>
      <c r="I21" s="385">
        <f>SUM(I19:I20)</f>
        <v>-188.60000000000002</v>
      </c>
      <c r="J21" s="493">
        <f>IF(H21=0, "    ---- ", IF(ABS(ROUND(100/H21*I21-100,1))&lt;999,ROUND(100/H21*I21-100,1),IF(ROUND(100/H21*I21-100,1)&gt;999,999,-999)))</f>
        <v>-2.4</v>
      </c>
      <c r="K21" s="387">
        <f>SUM(K19:K20)</f>
        <v>-1425.3999999999999</v>
      </c>
      <c r="L21" s="385">
        <f>SUM(L19:L20)</f>
        <v>-2309.1080000000002</v>
      </c>
      <c r="M21" s="493">
        <f>IF(K21=0, "    ---- ", IF(ABS(ROUND(100/K21*L21-100,1))&lt;999,ROUND(100/K21*L21-100,1),IF(ROUND(100/K21*L21-100,1)&gt;999,999,-999)))</f>
        <v>62</v>
      </c>
      <c r="N21" s="387">
        <f>SUM(N19:N20)</f>
        <v>-14</v>
      </c>
      <c r="O21" s="385">
        <f>SUM(O19:O20)</f>
        <v>-13.242918</v>
      </c>
      <c r="P21" s="493">
        <f>IF(N21=0, "    ---- ", IF(ABS(ROUND(100/N21*O21-100,1))&lt;999,ROUND(100/N21*O21-100,1),IF(ROUND(100/N21*O21-100,1)&gt;999,999,-999)))</f>
        <v>-5.4</v>
      </c>
      <c r="Q21" s="387">
        <f>SUM(Q19:Q20)</f>
        <v>-14110.447553</v>
      </c>
      <c r="R21" s="385">
        <v>-15076.550103</v>
      </c>
      <c r="S21" s="493">
        <f>IF(Q21=0, "    ---- ", IF(ABS(ROUND(100/Q21*R21-100,1))&lt;999,ROUND(100/Q21*R21-100,1),IF(ROUND(100/Q21*R21-100,1)&gt;999,999,-999)))</f>
        <v>6.8</v>
      </c>
      <c r="T21" s="387">
        <f>SUM(T19:T20)</f>
        <v>-126.3</v>
      </c>
      <c r="U21" s="385">
        <f>SUM(U19:U20)</f>
        <v>-158.80000000000001</v>
      </c>
      <c r="V21" s="493">
        <f t="shared" si="5"/>
        <v>25.7</v>
      </c>
      <c r="W21" s="387">
        <f>SUM(W19:W20)</f>
        <v>-7354.4</v>
      </c>
      <c r="X21" s="385">
        <f>SUM(X19:X20)</f>
        <v>-5746</v>
      </c>
      <c r="Y21" s="493">
        <f>IF(W21=0, "    ---- ", IF(ABS(ROUND(100/W21*X21-100,1))&lt;999,ROUND(100/W21*X21-100,1),IF(ROUND(100/W21*X21-100,1)&gt;999,999,-999)))</f>
        <v>-21.9</v>
      </c>
      <c r="Z21" s="387">
        <f>SUM(Z19:Z20)</f>
        <v>-2099</v>
      </c>
      <c r="AA21" s="385">
        <f>SUM(AA19:AA20)</f>
        <v>-2228</v>
      </c>
      <c r="AB21" s="493">
        <f>IF(Z21=0, "    ---- ", IF(ABS(ROUND(100/Z21*AA21-100,1))&lt;999,ROUND(100/Z21*AA21-100,1),IF(ROUND(100/Z21*AA21-100,1)&gt;999,999,-999)))</f>
        <v>6.1</v>
      </c>
      <c r="AC21" s="387">
        <f>SUM(AC19:AC20)</f>
        <v>-120</v>
      </c>
      <c r="AD21" s="385">
        <f>SUM(AD19:AD20)</f>
        <v>-151.71459131</v>
      </c>
      <c r="AE21" s="493">
        <f>IF(AC21=0, "    ---- ", IF(ABS(ROUND(100/AC21*AD21-100,1))&lt;999,ROUND(100/AC21*AD21-100,1),IF(ROUND(100/AC21*AD21-100,1)&gt;999,999,-999)))</f>
        <v>26.4</v>
      </c>
      <c r="AF21" s="387">
        <f>SUM(AF19:AF20)</f>
        <v>-2253.7411222499995</v>
      </c>
      <c r="AG21" s="385">
        <f>SUM(AG19:AG20)</f>
        <v>-2582.0444232300001</v>
      </c>
      <c r="AH21" s="493">
        <f>IF(AF21=0, "    ---- ", IF(ABS(ROUND(100/AF21*AG21-100,1))&lt;999,ROUND(100/AF21*AG21-100,1),IF(ROUND(100/AF21*AG21-100,1)&gt;999,999,-999)))</f>
        <v>14.6</v>
      </c>
      <c r="AI21" s="387">
        <f>SUM(AI19:AI20)</f>
        <v>-10635.9</v>
      </c>
      <c r="AJ21" s="385">
        <f>SUM(AJ19:AJ20)</f>
        <v>-13185</v>
      </c>
      <c r="AK21" s="493">
        <f>IF(AI21=0, "    ---- ", IF(ABS(ROUND(100/AI21*AJ21-100,1))&lt;999,ROUND(100/AI21*AJ21-100,1),IF(ROUND(100/AI21*AJ21-100,1)&gt;999,999,-999)))</f>
        <v>24</v>
      </c>
      <c r="AL21" s="493">
        <f t="shared" si="15"/>
        <v>-53404.539675250002</v>
      </c>
      <c r="AM21" s="493">
        <f t="shared" si="15"/>
        <v>-55899.748526229996</v>
      </c>
      <c r="AN21" s="493">
        <f t="shared" si="11"/>
        <v>4.7</v>
      </c>
      <c r="AO21" s="497">
        <f t="shared" si="16"/>
        <v>-53538.539675250002</v>
      </c>
      <c r="AP21" s="497">
        <f t="shared" si="16"/>
        <v>-56064.706035540003</v>
      </c>
      <c r="AQ21" s="493">
        <f>IF(AO21=0, "    ---- ", IF(ABS(ROUND(100/AO21*AP21-100,1))&lt;999,ROUND(100/AO21*AP21-100,1),IF(ROUND(100/AO21*AP21-100,1)&gt;999,999,-999)))</f>
        <v>4.7</v>
      </c>
    </row>
    <row r="22" spans="1:43" s="469" customFormat="1" ht="18.75" customHeight="1" x14ac:dyDescent="0.3">
      <c r="A22" s="491" t="s">
        <v>306</v>
      </c>
      <c r="B22" s="403"/>
      <c r="C22" s="401"/>
      <c r="D22" s="493"/>
      <c r="E22" s="403"/>
      <c r="F22" s="401"/>
      <c r="G22" s="493"/>
      <c r="H22" s="588"/>
      <c r="I22" s="571"/>
      <c r="J22" s="493"/>
      <c r="K22" s="403"/>
      <c r="L22" s="401"/>
      <c r="M22" s="493"/>
      <c r="N22" s="588"/>
      <c r="O22" s="571"/>
      <c r="P22" s="493"/>
      <c r="Q22" s="403"/>
      <c r="R22" s="401"/>
      <c r="S22" s="493"/>
      <c r="T22" s="588"/>
      <c r="U22" s="571"/>
      <c r="V22" s="493"/>
      <c r="W22" s="588"/>
      <c r="X22" s="571"/>
      <c r="Y22" s="493"/>
      <c r="Z22" s="588"/>
      <c r="AA22" s="571"/>
      <c r="AB22" s="493"/>
      <c r="AC22" s="588"/>
      <c r="AD22" s="571"/>
      <c r="AE22" s="493"/>
      <c r="AF22" s="588"/>
      <c r="AG22" s="571"/>
      <c r="AH22" s="493"/>
      <c r="AI22" s="403"/>
      <c r="AJ22" s="401"/>
      <c r="AK22" s="493"/>
      <c r="AL22" s="493"/>
      <c r="AM22" s="493"/>
      <c r="AN22" s="493"/>
      <c r="AO22" s="493"/>
      <c r="AP22" s="493"/>
      <c r="AQ22" s="493"/>
    </row>
    <row r="23" spans="1:43" s="469" customFormat="1" ht="18.75" customHeight="1" x14ac:dyDescent="0.3">
      <c r="A23" s="491" t="s">
        <v>307</v>
      </c>
      <c r="B23" s="408">
        <f>-60.378-1.889</f>
        <v>-62.267000000000003</v>
      </c>
      <c r="C23" s="338">
        <f>16.789-3.73</f>
        <v>13.059000000000001</v>
      </c>
      <c r="D23" s="493">
        <f t="shared" ref="D23:D29" si="17">IF(B23=0, "    ---- ", IF(ABS(ROUND(100/B23*C23-100,1))&lt;999,ROUND(100/B23*C23-100,1),IF(ROUND(100/B23*C23-100,1)&gt;999,999,-999)))</f>
        <v>-121</v>
      </c>
      <c r="E23" s="408">
        <v>2150.6390000000001</v>
      </c>
      <c r="F23" s="338">
        <v>2005.125</v>
      </c>
      <c r="G23" s="493">
        <f t="shared" ref="G23:G29" si="18">IF(E23=0, "    ---- ", IF(ABS(ROUND(100/E23*F23-100,1))&lt;999,ROUND(100/E23*F23-100,1),IF(ROUND(100/E23*F23-100,1)&gt;999,999,-999)))</f>
        <v>-6.8</v>
      </c>
      <c r="H23" s="408">
        <v>-193.464</v>
      </c>
      <c r="I23" s="338">
        <v>-230.4</v>
      </c>
      <c r="J23" s="493">
        <f>IF(H23=0, "    ---- ", IF(ABS(ROUND(100/H23*I23-100,1))&lt;999,ROUND(100/H23*I23-100,1),IF(ROUND(100/H23*I23-100,1)&gt;999,999,-999)))</f>
        <v>19.100000000000001</v>
      </c>
      <c r="K23" s="408">
        <v>-353.7</v>
      </c>
      <c r="L23" s="338">
        <v>-373.137</v>
      </c>
      <c r="M23" s="493">
        <f t="shared" ref="M23:M31" si="19">IF(K23=0, "    ---- ", IF(ABS(ROUND(100/K23*L23-100,1))&lt;999,ROUND(100/K23*L23-100,1),IF(ROUND(100/K23*L23-100,1)&gt;999,999,-999)))</f>
        <v>5.5</v>
      </c>
      <c r="N23" s="408">
        <v>7</v>
      </c>
      <c r="O23" s="338">
        <v>-5.3086270000000004</v>
      </c>
      <c r="P23" s="493"/>
      <c r="Q23" s="408">
        <v>-22849.182335349997</v>
      </c>
      <c r="R23" s="338">
        <v>-22950.562556950001</v>
      </c>
      <c r="S23" s="493">
        <f t="shared" ref="S23:S30" si="20">IF(Q23=0, "    ---- ", IF(ABS(ROUND(100/Q23*R23-100,1))&lt;999,ROUND(100/Q23*R23-100,1),IF(ROUND(100/Q23*R23-100,1)&gt;999,999,-999)))</f>
        <v>0.4</v>
      </c>
      <c r="T23" s="408">
        <v>-43.2</v>
      </c>
      <c r="U23" s="338">
        <v>-39.4</v>
      </c>
      <c r="V23" s="493">
        <f t="shared" si="5"/>
        <v>-8.8000000000000007</v>
      </c>
      <c r="W23" s="408">
        <v>-220.1</v>
      </c>
      <c r="X23" s="338">
        <v>-203</v>
      </c>
      <c r="Y23" s="493">
        <f t="shared" ref="Y23:Y29" si="21">IF(W23=0, "    ---- ", IF(ABS(ROUND(100/W23*X23-100,1))&lt;999,ROUND(100/W23*X23-100,1),IF(ROUND(100/W23*X23-100,1)&gt;999,999,-999)))</f>
        <v>-7.8</v>
      </c>
      <c r="Z23" s="408">
        <v>-3065</v>
      </c>
      <c r="AA23" s="338">
        <v>-3195</v>
      </c>
      <c r="AB23" s="493">
        <f t="shared" ref="AB23:AB29" si="22">IF(Z23=0, "    ---- ", IF(ABS(ROUND(100/Z23*AA23-100,1))&lt;999,ROUND(100/Z23*AA23-100,1),IF(ROUND(100/Z23*AA23-100,1)&gt;999,999,-999)))</f>
        <v>4.2</v>
      </c>
      <c r="AC23" s="408"/>
      <c r="AD23" s="338"/>
      <c r="AE23" s="493"/>
      <c r="AF23" s="408">
        <v>-470.40419902999997</v>
      </c>
      <c r="AG23" s="338">
        <v>-700.07325208000009</v>
      </c>
      <c r="AH23" s="493">
        <f t="shared" ref="AH23:AH29" si="23">IF(AF23=0, "    ---- ", IF(ABS(ROUND(100/AF23*AG23-100,1))&lt;999,ROUND(100/AF23*AG23-100,1),IF(ROUND(100/AF23*AG23-100,1)&gt;999,999,-999)))</f>
        <v>48.8</v>
      </c>
      <c r="AI23" s="408">
        <v>-266</v>
      </c>
      <c r="AJ23" s="338">
        <v>80</v>
      </c>
      <c r="AK23" s="493">
        <f t="shared" ref="AK23:AK29" si="24">IF(AI23=0, "    ---- ", IF(ABS(ROUND(100/AI23*AJ23-100,1))&lt;999,ROUND(100/AI23*AJ23-100,1),IF(ROUND(100/AI23*AJ23-100,1)&gt;999,999,-999)))</f>
        <v>-130.1</v>
      </c>
      <c r="AL23" s="493">
        <f t="shared" ref="AL23:AM33" si="25">B23+E23+H23+K23+Q23+T23+W23+Z23+AF23+AI23</f>
        <v>-25372.678534379997</v>
      </c>
      <c r="AM23" s="493">
        <f t="shared" si="25"/>
        <v>-25593.388809030002</v>
      </c>
      <c r="AN23" s="493">
        <f t="shared" si="11"/>
        <v>0.9</v>
      </c>
      <c r="AO23" s="493"/>
      <c r="AP23" s="493"/>
      <c r="AQ23" s="493"/>
    </row>
    <row r="24" spans="1:43" s="469" customFormat="1" ht="18.75" customHeight="1" x14ac:dyDescent="0.3">
      <c r="A24" s="491" t="s">
        <v>308</v>
      </c>
      <c r="B24" s="408"/>
      <c r="C24" s="338"/>
      <c r="D24" s="493"/>
      <c r="E24" s="408">
        <v>-14.629</v>
      </c>
      <c r="F24" s="338">
        <v>-10.609</v>
      </c>
      <c r="G24" s="493">
        <f t="shared" si="18"/>
        <v>-27.5</v>
      </c>
      <c r="H24" s="408"/>
      <c r="I24" s="338"/>
      <c r="J24" s="493"/>
      <c r="K24" s="408">
        <v>-1.5</v>
      </c>
      <c r="L24" s="338">
        <v>-1.329</v>
      </c>
      <c r="M24" s="493">
        <f t="shared" si="19"/>
        <v>-11.4</v>
      </c>
      <c r="N24" s="408"/>
      <c r="O24" s="338"/>
      <c r="P24" s="493"/>
      <c r="Q24" s="408">
        <v>20.551272999999998</v>
      </c>
      <c r="R24" s="338">
        <v>15.442897</v>
      </c>
      <c r="S24" s="493">
        <f t="shared" si="20"/>
        <v>-24.9</v>
      </c>
      <c r="T24" s="408">
        <v>0.1</v>
      </c>
      <c r="U24" s="338">
        <v>0.1</v>
      </c>
      <c r="V24" s="493">
        <f t="shared" si="5"/>
        <v>0</v>
      </c>
      <c r="W24" s="408">
        <v>28</v>
      </c>
      <c r="X24" s="338">
        <v>49</v>
      </c>
      <c r="Y24" s="493">
        <f t="shared" si="21"/>
        <v>75</v>
      </c>
      <c r="Z24" s="408"/>
      <c r="AA24" s="338"/>
      <c r="AB24" s="493"/>
      <c r="AC24" s="408"/>
      <c r="AD24" s="338"/>
      <c r="AE24" s="493"/>
      <c r="AF24" s="408">
        <v>32.682057060000012</v>
      </c>
      <c r="AG24" s="338">
        <v>38.226318710000008</v>
      </c>
      <c r="AH24" s="493">
        <f t="shared" si="23"/>
        <v>17</v>
      </c>
      <c r="AI24" s="408">
        <v>58</v>
      </c>
      <c r="AJ24" s="338">
        <v>64</v>
      </c>
      <c r="AK24" s="493">
        <f t="shared" si="24"/>
        <v>10.3</v>
      </c>
      <c r="AL24" s="493">
        <f t="shared" si="25"/>
        <v>123.20433006000002</v>
      </c>
      <c r="AM24" s="493">
        <f t="shared" si="25"/>
        <v>154.83121571000001</v>
      </c>
      <c r="AN24" s="493">
        <f t="shared" si="11"/>
        <v>25.7</v>
      </c>
      <c r="AO24" s="493"/>
      <c r="AP24" s="493"/>
      <c r="AQ24" s="493"/>
    </row>
    <row r="25" spans="1:43" s="469" customFormat="1" ht="18.75" customHeight="1" x14ac:dyDescent="0.3">
      <c r="A25" s="491" t="s">
        <v>309</v>
      </c>
      <c r="B25" s="408">
        <v>2.246</v>
      </c>
      <c r="C25" s="338">
        <v>-19.265999999999998</v>
      </c>
      <c r="D25" s="493">
        <f t="shared" si="17"/>
        <v>-957.8</v>
      </c>
      <c r="E25" s="408">
        <v>-892.01</v>
      </c>
      <c r="F25" s="338">
        <v>-3245.6570000000002</v>
      </c>
      <c r="G25" s="493">
        <f t="shared" si="18"/>
        <v>263.89999999999998</v>
      </c>
      <c r="H25" s="408"/>
      <c r="I25" s="338">
        <v>-9.5</v>
      </c>
      <c r="J25" s="493"/>
      <c r="K25" s="408">
        <v>42.5</v>
      </c>
      <c r="L25" s="338">
        <v>-16.536000000000001</v>
      </c>
      <c r="M25" s="493">
        <f t="shared" si="19"/>
        <v>-138.9</v>
      </c>
      <c r="N25" s="408"/>
      <c r="O25" s="338"/>
      <c r="P25" s="493"/>
      <c r="Q25" s="408">
        <v>-357.30651356999999</v>
      </c>
      <c r="R25" s="338">
        <v>-21036.712399</v>
      </c>
      <c r="S25" s="493">
        <f t="shared" si="20"/>
        <v>999</v>
      </c>
      <c r="T25" s="408">
        <v>18.600000000000001</v>
      </c>
      <c r="U25" s="338">
        <v>-8.4</v>
      </c>
      <c r="V25" s="493">
        <f t="shared" si="5"/>
        <v>-145.19999999999999</v>
      </c>
      <c r="W25" s="408">
        <v>-208.1</v>
      </c>
      <c r="X25" s="338">
        <v>-918</v>
      </c>
      <c r="Y25" s="493">
        <f t="shared" si="21"/>
        <v>341.1</v>
      </c>
      <c r="Z25" s="408">
        <v>-315</v>
      </c>
      <c r="AA25" s="338">
        <v>-4662</v>
      </c>
      <c r="AB25" s="493">
        <f t="shared" si="22"/>
        <v>999</v>
      </c>
      <c r="AC25" s="408"/>
      <c r="AD25" s="338"/>
      <c r="AE25" s="493"/>
      <c r="AF25" s="408">
        <v>-126.98170123000001</v>
      </c>
      <c r="AG25" s="338">
        <v>-659.26707844000009</v>
      </c>
      <c r="AH25" s="493">
        <f t="shared" si="23"/>
        <v>419.2</v>
      </c>
      <c r="AI25" s="408">
        <v>866</v>
      </c>
      <c r="AJ25" s="338">
        <v>-3648</v>
      </c>
      <c r="AK25" s="493">
        <f t="shared" si="24"/>
        <v>-521.20000000000005</v>
      </c>
      <c r="AL25" s="493">
        <f t="shared" si="25"/>
        <v>-970.0522148</v>
      </c>
      <c r="AM25" s="493">
        <f t="shared" si="25"/>
        <v>-34223.338477440004</v>
      </c>
      <c r="AN25" s="493">
        <f t="shared" si="11"/>
        <v>999</v>
      </c>
      <c r="AO25" s="493"/>
      <c r="AP25" s="493"/>
      <c r="AQ25" s="493"/>
    </row>
    <row r="26" spans="1:43" s="469" customFormat="1" ht="18.75" customHeight="1" x14ac:dyDescent="0.3">
      <c r="A26" s="491" t="s">
        <v>310</v>
      </c>
      <c r="B26" s="408"/>
      <c r="C26" s="338"/>
      <c r="D26" s="493"/>
      <c r="E26" s="408">
        <v>-14.695</v>
      </c>
      <c r="F26" s="338">
        <v>-11.045999999999999</v>
      </c>
      <c r="G26" s="493">
        <f t="shared" si="18"/>
        <v>-24.8</v>
      </c>
      <c r="H26" s="408"/>
      <c r="I26" s="338"/>
      <c r="J26" s="493"/>
      <c r="K26" s="408">
        <v>0.8</v>
      </c>
      <c r="L26" s="338">
        <v>1.5629999999999999</v>
      </c>
      <c r="M26" s="493"/>
      <c r="N26" s="408"/>
      <c r="O26" s="338"/>
      <c r="P26" s="493"/>
      <c r="Q26" s="408">
        <v>-211.605366</v>
      </c>
      <c r="R26" s="338">
        <v>-173.12967499999999</v>
      </c>
      <c r="S26" s="493">
        <f t="shared" si="20"/>
        <v>-18.2</v>
      </c>
      <c r="T26" s="408">
        <v>-0.4</v>
      </c>
      <c r="U26" s="338">
        <v>-0.4</v>
      </c>
      <c r="V26" s="493">
        <f t="shared" si="5"/>
        <v>0</v>
      </c>
      <c r="W26" s="408">
        <v>-2</v>
      </c>
      <c r="X26" s="338">
        <v>-3</v>
      </c>
      <c r="Y26" s="493">
        <f t="shared" si="21"/>
        <v>50</v>
      </c>
      <c r="Z26" s="408">
        <v>-33</v>
      </c>
      <c r="AA26" s="338">
        <v>-46</v>
      </c>
      <c r="AB26" s="493">
        <f t="shared" si="22"/>
        <v>39.4</v>
      </c>
      <c r="AC26" s="408"/>
      <c r="AD26" s="338"/>
      <c r="AE26" s="493"/>
      <c r="AF26" s="408">
        <v>-2.9689570000000001</v>
      </c>
      <c r="AG26" s="338">
        <v>-2.2124839999999999</v>
      </c>
      <c r="AH26" s="493">
        <f t="shared" si="23"/>
        <v>-25.5</v>
      </c>
      <c r="AI26" s="408">
        <v>-2</v>
      </c>
      <c r="AJ26" s="338">
        <v>-1</v>
      </c>
      <c r="AK26" s="493">
        <f t="shared" si="24"/>
        <v>-50</v>
      </c>
      <c r="AL26" s="493">
        <f t="shared" si="25"/>
        <v>-265.86932300000001</v>
      </c>
      <c r="AM26" s="493">
        <f t="shared" si="25"/>
        <v>-235.22515899999999</v>
      </c>
      <c r="AN26" s="493">
        <f t="shared" si="11"/>
        <v>-11.5</v>
      </c>
      <c r="AO26" s="493"/>
      <c r="AP26" s="493"/>
      <c r="AQ26" s="493"/>
    </row>
    <row r="27" spans="1:43" s="469" customFormat="1" ht="18.75" customHeight="1" x14ac:dyDescent="0.3">
      <c r="A27" s="491" t="s">
        <v>311</v>
      </c>
      <c r="B27" s="408">
        <v>-2.7160000000000002</v>
      </c>
      <c r="C27" s="338">
        <v>-1.1359999999999999</v>
      </c>
      <c r="D27" s="493">
        <f t="shared" si="17"/>
        <v>-58.2</v>
      </c>
      <c r="E27" s="408">
        <v>-110.001</v>
      </c>
      <c r="F27" s="338">
        <v>-179.39699999999999</v>
      </c>
      <c r="G27" s="493">
        <f t="shared" si="18"/>
        <v>63.1</v>
      </c>
      <c r="H27" s="408">
        <v>-1.859</v>
      </c>
      <c r="I27" s="338">
        <v>-2.2999999999999998</v>
      </c>
      <c r="J27" s="493">
        <f>IF(H27=0, "    ---- ", IF(ABS(ROUND(100/H27*I27-100,1))&lt;999,ROUND(100/H27*I27-100,1),IF(ROUND(100/H27*I27-100,1)&gt;999,999,-999)))</f>
        <v>23.7</v>
      </c>
      <c r="K27" s="408"/>
      <c r="L27" s="338"/>
      <c r="M27" s="493"/>
      <c r="N27" s="408"/>
      <c r="O27" s="338"/>
      <c r="P27" s="493"/>
      <c r="Q27" s="408"/>
      <c r="R27" s="338"/>
      <c r="S27" s="493"/>
      <c r="T27" s="408"/>
      <c r="U27" s="338"/>
      <c r="V27" s="493"/>
      <c r="W27" s="408">
        <v>0</v>
      </c>
      <c r="X27" s="338">
        <v>0</v>
      </c>
      <c r="Y27" s="493" t="str">
        <f t="shared" si="21"/>
        <v xml:space="preserve">    ---- </v>
      </c>
      <c r="Z27" s="408">
        <v>-10</v>
      </c>
      <c r="AA27" s="338">
        <v>-8</v>
      </c>
      <c r="AB27" s="493"/>
      <c r="AC27" s="408"/>
      <c r="AD27" s="338"/>
      <c r="AE27" s="493"/>
      <c r="AF27" s="408">
        <v>0</v>
      </c>
      <c r="AG27" s="338">
        <v>0</v>
      </c>
      <c r="AH27" s="493" t="str">
        <f t="shared" si="23"/>
        <v xml:space="preserve">    ---- </v>
      </c>
      <c r="AI27" s="408">
        <v>-9</v>
      </c>
      <c r="AJ27" s="338">
        <v>-27</v>
      </c>
      <c r="AK27" s="493">
        <f t="shared" si="24"/>
        <v>200</v>
      </c>
      <c r="AL27" s="493">
        <f t="shared" si="25"/>
        <v>-133.57599999999999</v>
      </c>
      <c r="AM27" s="493">
        <f t="shared" si="25"/>
        <v>-217.833</v>
      </c>
      <c r="AN27" s="493">
        <f t="shared" si="11"/>
        <v>63.1</v>
      </c>
      <c r="AO27" s="493"/>
      <c r="AP27" s="493"/>
      <c r="AQ27" s="493"/>
    </row>
    <row r="28" spans="1:43" s="469" customFormat="1" ht="18.75" customHeight="1" x14ac:dyDescent="0.3">
      <c r="A28" s="491" t="s">
        <v>312</v>
      </c>
      <c r="B28" s="408"/>
      <c r="C28" s="338"/>
      <c r="D28" s="493"/>
      <c r="E28" s="408">
        <v>16.327000000000002</v>
      </c>
      <c r="F28" s="338">
        <v>13.148999999999999</v>
      </c>
      <c r="G28" s="493">
        <f t="shared" si="18"/>
        <v>-19.5</v>
      </c>
      <c r="H28" s="408"/>
      <c r="I28" s="338"/>
      <c r="J28" s="493"/>
      <c r="K28" s="408"/>
      <c r="L28" s="338"/>
      <c r="M28" s="493"/>
      <c r="N28" s="408"/>
      <c r="O28" s="338"/>
      <c r="P28" s="493"/>
      <c r="Q28" s="408">
        <v>0</v>
      </c>
      <c r="R28" s="338">
        <v>0</v>
      </c>
      <c r="S28" s="493" t="str">
        <f t="shared" si="20"/>
        <v xml:space="preserve">    ---- </v>
      </c>
      <c r="T28" s="408"/>
      <c r="U28" s="338"/>
      <c r="V28" s="493"/>
      <c r="W28" s="408">
        <v>2</v>
      </c>
      <c r="X28" s="338">
        <v>2</v>
      </c>
      <c r="Y28" s="493">
        <f t="shared" si="21"/>
        <v>0</v>
      </c>
      <c r="Z28" s="408"/>
      <c r="AA28" s="338"/>
      <c r="AB28" s="493"/>
      <c r="AC28" s="408"/>
      <c r="AD28" s="338"/>
      <c r="AE28" s="493"/>
      <c r="AF28" s="408">
        <v>3.7576298100000001</v>
      </c>
      <c r="AG28" s="338">
        <v>0</v>
      </c>
      <c r="AH28" s="493">
        <f t="shared" si="23"/>
        <v>-100</v>
      </c>
      <c r="AI28" s="408">
        <v>-12</v>
      </c>
      <c r="AJ28" s="338">
        <v>-7</v>
      </c>
      <c r="AK28" s="493">
        <f t="shared" si="24"/>
        <v>-41.7</v>
      </c>
      <c r="AL28" s="493">
        <f t="shared" si="25"/>
        <v>10.084629810000003</v>
      </c>
      <c r="AM28" s="493">
        <f t="shared" si="25"/>
        <v>8.1489999999999991</v>
      </c>
      <c r="AN28" s="493">
        <f t="shared" si="11"/>
        <v>-19.2</v>
      </c>
      <c r="AO28" s="493"/>
      <c r="AP28" s="493"/>
      <c r="AQ28" s="493"/>
    </row>
    <row r="29" spans="1:43" s="469" customFormat="1" ht="18.75" customHeight="1" x14ac:dyDescent="0.3">
      <c r="A29" s="491" t="s">
        <v>313</v>
      </c>
      <c r="B29" s="408">
        <f>SUM(B23:B28)</f>
        <v>-62.737000000000002</v>
      </c>
      <c r="C29" s="338">
        <f>SUM(C23:C28)</f>
        <v>-7.3429999999999973</v>
      </c>
      <c r="D29" s="493">
        <f t="shared" si="17"/>
        <v>-88.3</v>
      </c>
      <c r="E29" s="408">
        <f>SUM(E23:E28)</f>
        <v>1135.6310000000003</v>
      </c>
      <c r="F29" s="338">
        <f>SUM(F23:F28)</f>
        <v>-1428.4350000000002</v>
      </c>
      <c r="G29" s="493">
        <f t="shared" si="18"/>
        <v>-225.8</v>
      </c>
      <c r="H29" s="408">
        <f>SUM(H23:H28)</f>
        <v>-195.32300000000001</v>
      </c>
      <c r="I29" s="338">
        <f>SUM(I23:I28)</f>
        <v>-242.20000000000002</v>
      </c>
      <c r="J29" s="493">
        <f>IF(H29=0, "    ---- ", IF(ABS(ROUND(100/H29*I29-100,1))&lt;999,ROUND(100/H29*I29-100,1),IF(ROUND(100/H29*I29-100,1)&gt;999,999,-999)))</f>
        <v>24</v>
      </c>
      <c r="K29" s="408">
        <f>SUM(K23:K28)</f>
        <v>-311.89999999999998</v>
      </c>
      <c r="L29" s="338">
        <f>SUM(L23:L28)</f>
        <v>-389.43900000000002</v>
      </c>
      <c r="M29" s="493">
        <f t="shared" si="19"/>
        <v>24.9</v>
      </c>
      <c r="N29" s="408">
        <f>SUM(N23:N28)</f>
        <v>7</v>
      </c>
      <c r="O29" s="338">
        <f>SUM(O23:O28)</f>
        <v>-5.3086270000000004</v>
      </c>
      <c r="P29" s="493"/>
      <c r="Q29" s="408">
        <f>SUM(Q23:Q28)</f>
        <v>-23397.542941919997</v>
      </c>
      <c r="R29" s="338">
        <v>-44144.961733949996</v>
      </c>
      <c r="S29" s="493">
        <f t="shared" si="20"/>
        <v>88.7</v>
      </c>
      <c r="T29" s="408">
        <f>SUM(T23:T28)</f>
        <v>-24.9</v>
      </c>
      <c r="U29" s="338">
        <f>SUM(U23:U28)</f>
        <v>-48.099999999999994</v>
      </c>
      <c r="V29" s="493">
        <f t="shared" si="5"/>
        <v>93.2</v>
      </c>
      <c r="W29" s="408">
        <f>SUM(W23:W28)</f>
        <v>-400.2</v>
      </c>
      <c r="X29" s="338">
        <f>SUM(X23:X28)</f>
        <v>-1073</v>
      </c>
      <c r="Y29" s="493">
        <f t="shared" si="21"/>
        <v>168.1</v>
      </c>
      <c r="Z29" s="408">
        <f>SUM(Z23:Z28)</f>
        <v>-3423</v>
      </c>
      <c r="AA29" s="338">
        <f>SUM(AA23:AA28)</f>
        <v>-7911</v>
      </c>
      <c r="AB29" s="493">
        <f t="shared" si="22"/>
        <v>131.1</v>
      </c>
      <c r="AC29" s="408">
        <f>SUM(AC23:AC28)</f>
        <v>0</v>
      </c>
      <c r="AD29" s="338">
        <f>SUM(AD23:AD28)</f>
        <v>0</v>
      </c>
      <c r="AE29" s="493"/>
      <c r="AF29" s="408">
        <f>SUM(AF23:AF28)</f>
        <v>-563.91517038999996</v>
      </c>
      <c r="AG29" s="338">
        <f>SUM(AG23:AG28)</f>
        <v>-1323.3264958100001</v>
      </c>
      <c r="AH29" s="493">
        <f t="shared" si="23"/>
        <v>134.69999999999999</v>
      </c>
      <c r="AI29" s="408">
        <f>SUM(AI23:AI28)</f>
        <v>635</v>
      </c>
      <c r="AJ29" s="338">
        <f>SUM(AJ23:AJ28)</f>
        <v>-3539</v>
      </c>
      <c r="AK29" s="493">
        <f t="shared" si="24"/>
        <v>-657.3</v>
      </c>
      <c r="AL29" s="493">
        <f t="shared" si="25"/>
        <v>-26608.88711231</v>
      </c>
      <c r="AM29" s="493">
        <f t="shared" si="25"/>
        <v>-60106.805229759993</v>
      </c>
      <c r="AN29" s="493">
        <f t="shared" si="11"/>
        <v>125.9</v>
      </c>
      <c r="AO29" s="493"/>
      <c r="AP29" s="493"/>
      <c r="AQ29" s="493"/>
    </row>
    <row r="30" spans="1:43" s="469" customFormat="1" ht="18.75" customHeight="1" x14ac:dyDescent="0.3">
      <c r="A30" s="491" t="s">
        <v>314</v>
      </c>
      <c r="B30" s="408">
        <v>-1028.395</v>
      </c>
      <c r="C30" s="338">
        <v>-2860.7150000000001</v>
      </c>
      <c r="D30" s="493">
        <f>IF(B30=0, "    ---- ", IF(ABS(ROUND(100/B30*C30-100,1))&lt;999,ROUND(100/B30*C30-100,1),IF(ROUND(100/B30*C30-100,1)&gt;999,999,-999)))</f>
        <v>178.2</v>
      </c>
      <c r="E30" s="408">
        <v>-7168.7160000000003</v>
      </c>
      <c r="F30" s="338">
        <v>-15414.288</v>
      </c>
      <c r="G30" s="493">
        <f>IF(E30=0, "    ---- ", IF(ABS(ROUND(100/E30*F30-100,1))&lt;999,ROUND(100/E30*F30-100,1),IF(ROUND(100/E30*F30-100,1)&gt;999,999,-999)))</f>
        <v>115</v>
      </c>
      <c r="H30" s="408">
        <v>-220.44200000000001</v>
      </c>
      <c r="I30" s="338">
        <v>-639.70000000000005</v>
      </c>
      <c r="J30" s="493"/>
      <c r="K30" s="408">
        <v>-2557.9</v>
      </c>
      <c r="L30" s="338">
        <v>-4188.8739999999998</v>
      </c>
      <c r="M30" s="493">
        <f t="shared" si="19"/>
        <v>63.8</v>
      </c>
      <c r="N30" s="408"/>
      <c r="O30" s="338"/>
      <c r="P30" s="493"/>
      <c r="Q30" s="408">
        <v>-71.904767000000007</v>
      </c>
      <c r="R30" s="338">
        <v>-82.352744000000001</v>
      </c>
      <c r="S30" s="493">
        <f t="shared" si="20"/>
        <v>14.5</v>
      </c>
      <c r="T30" s="408">
        <v>-717.1</v>
      </c>
      <c r="U30" s="338">
        <v>-1135.0999999999999</v>
      </c>
      <c r="V30" s="493">
        <f t="shared" si="5"/>
        <v>58.3</v>
      </c>
      <c r="W30" s="408">
        <v>-3488</v>
      </c>
      <c r="X30" s="338">
        <v>-13225</v>
      </c>
      <c r="Y30" s="493">
        <f>IF(W30=0, "    ---- ", IF(ABS(ROUND(100/W30*X30-100,1))&lt;999,ROUND(100/W30*X30-100,1),IF(ROUND(100/W30*X30-100,1)&gt;999,999,-999)))</f>
        <v>279.2</v>
      </c>
      <c r="Z30" s="408"/>
      <c r="AA30" s="338"/>
      <c r="AB30" s="493"/>
      <c r="AC30" s="408">
        <v>-166</v>
      </c>
      <c r="AD30" s="338">
        <v>-301.10040894999997</v>
      </c>
      <c r="AE30" s="493">
        <f>IF(AC30=0, "    ---- ", IF(ABS(ROUND(100/AC30*AD30-100,1))&lt;999,ROUND(100/AC30*AD30-100,1),IF(ROUND(100/AC30*AD30-100,1)&gt;999,999,-999)))</f>
        <v>81.400000000000006</v>
      </c>
      <c r="AF30" s="408">
        <v>-4600.5658247399997</v>
      </c>
      <c r="AG30" s="338">
        <v>-5832.408907670002</v>
      </c>
      <c r="AH30" s="493">
        <f>IF(AF30=0, "    ---- ", IF(ABS(ROUND(100/AF30*AG30-100,1))&lt;999,ROUND(100/AF30*AG30-100,1),IF(ROUND(100/AF30*AG30-100,1)&gt;999,999,-999)))</f>
        <v>26.8</v>
      </c>
      <c r="AI30" s="408">
        <v>-9562.7000000000007</v>
      </c>
      <c r="AJ30" s="338">
        <v>-14323</v>
      </c>
      <c r="AK30" s="493">
        <f>IF(AI30=0, "    ---- ", IF(ABS(ROUND(100/AI30*AJ30-100,1))&lt;999,ROUND(100/AI30*AJ30-100,1),IF(ROUND(100/AI30*AJ30-100,1)&gt;999,999,-999)))</f>
        <v>49.8</v>
      </c>
      <c r="AL30" s="493">
        <f t="shared" si="25"/>
        <v>-29415.723591739999</v>
      </c>
      <c r="AM30" s="493">
        <f t="shared" si="25"/>
        <v>-57701.438651670003</v>
      </c>
      <c r="AN30" s="493">
        <f t="shared" si="11"/>
        <v>96.2</v>
      </c>
      <c r="AO30" s="493"/>
      <c r="AP30" s="493"/>
      <c r="AQ30" s="493"/>
    </row>
    <row r="31" spans="1:43" s="469" customFormat="1" ht="18.75" customHeight="1" x14ac:dyDescent="0.3">
      <c r="A31" s="491" t="s">
        <v>315</v>
      </c>
      <c r="B31" s="408">
        <v>-1.206</v>
      </c>
      <c r="C31" s="338">
        <v>-0.36599999999999999</v>
      </c>
      <c r="D31" s="493">
        <f>IF(B31=0, "    ---- ", IF(ABS(ROUND(100/B31*C31-100,1))&lt;999,ROUND(100/B31*C31-100,1),IF(ROUND(100/B31*C31-100,1)&gt;999,999,-999)))</f>
        <v>-69.7</v>
      </c>
      <c r="E31" s="408">
        <v>-605.71900000000005</v>
      </c>
      <c r="F31" s="338">
        <v>-1156.1020000000001</v>
      </c>
      <c r="G31" s="493">
        <f>IF(E31=0, "    ---- ", IF(ABS(ROUND(100/E31*F31-100,1))&lt;999,ROUND(100/E31*F31-100,1),IF(ROUND(100/E31*F31-100,1)&gt;999,999,-999)))</f>
        <v>90.9</v>
      </c>
      <c r="H31" s="408"/>
      <c r="I31" s="338"/>
      <c r="J31" s="493"/>
      <c r="K31" s="408">
        <v>-95.3</v>
      </c>
      <c r="L31" s="338">
        <v>-49.488</v>
      </c>
      <c r="M31" s="493">
        <f t="shared" si="19"/>
        <v>-48.1</v>
      </c>
      <c r="N31" s="408"/>
      <c r="O31" s="338"/>
      <c r="P31" s="493"/>
      <c r="Q31" s="408">
        <v>-6244.9553900000001</v>
      </c>
      <c r="R31" s="338">
        <v>-5065.7742870000002</v>
      </c>
      <c r="S31" s="493">
        <f>IF(Q31=0, "    ---- ", IF(ABS(ROUND(100/Q31*R31-100,1))&lt;999,ROUND(100/Q31*R31-100,1),IF(ROUND(100/Q31*R31-100,1)&gt;999,999,-999)))</f>
        <v>-18.899999999999999</v>
      </c>
      <c r="T31" s="408">
        <v>-24.9</v>
      </c>
      <c r="U31" s="338">
        <v>-9.5</v>
      </c>
      <c r="V31" s="493"/>
      <c r="W31" s="408">
        <v>-263</v>
      </c>
      <c r="X31" s="338">
        <v>-175</v>
      </c>
      <c r="Y31" s="493">
        <f>IF(W31=0, "    ---- ", IF(ABS(ROUND(100/W31*X31-100,1))&lt;999,ROUND(100/W31*X31-100,1),IF(ROUND(100/W31*X31-100,1)&gt;999,999,-999)))</f>
        <v>-33.5</v>
      </c>
      <c r="Z31" s="408">
        <v>-1655</v>
      </c>
      <c r="AA31" s="338">
        <v>-191</v>
      </c>
      <c r="AB31" s="493">
        <f>IF(Z31=0, "    ---- ", IF(ABS(ROUND(100/Z31*AA31-100,1))&lt;999,ROUND(100/Z31*AA31-100,1),IF(ROUND(100/Z31*AA31-100,1)&gt;999,999,-999)))</f>
        <v>-88.5</v>
      </c>
      <c r="AC31" s="408"/>
      <c r="AD31" s="338"/>
      <c r="AE31" s="493"/>
      <c r="AF31" s="408">
        <v>-169.01974100000001</v>
      </c>
      <c r="AG31" s="338">
        <v>-773.56097799999998</v>
      </c>
      <c r="AH31" s="493">
        <f>IF(AF31=0, "    ---- ", IF(ABS(ROUND(100/AF31*AG31-100,1))&lt;999,ROUND(100/AF31*AG31-100,1),IF(ROUND(100/AF31*AG31-100,1)&gt;999,999,-999)))</f>
        <v>357.7</v>
      </c>
      <c r="AI31" s="408">
        <v>-722</v>
      </c>
      <c r="AJ31" s="338">
        <v>-647</v>
      </c>
      <c r="AK31" s="493">
        <f>IF(AI31=0, "    ---- ", IF(ABS(ROUND(100/AI31*AJ31-100,1))&lt;999,ROUND(100/AI31*AJ31-100,1),IF(ROUND(100/AI31*AJ31-100,1)&gt;999,999,-999)))</f>
        <v>-10.4</v>
      </c>
      <c r="AL31" s="493">
        <f t="shared" si="25"/>
        <v>-9781.1001309999992</v>
      </c>
      <c r="AM31" s="493">
        <f t="shared" si="25"/>
        <v>-8067.7912649999998</v>
      </c>
      <c r="AN31" s="493">
        <f t="shared" si="11"/>
        <v>-17.5</v>
      </c>
      <c r="AO31" s="493"/>
      <c r="AP31" s="493"/>
      <c r="AQ31" s="493"/>
    </row>
    <row r="32" spans="1:43" s="469" customFormat="1" ht="18.75" customHeight="1" x14ac:dyDescent="0.3">
      <c r="A32" s="491" t="s">
        <v>316</v>
      </c>
      <c r="B32" s="408">
        <v>-149.197</v>
      </c>
      <c r="C32" s="338">
        <v>-153.571</v>
      </c>
      <c r="D32" s="493">
        <f>IF(B32=0, "    ---- ", IF(ABS(ROUND(100/B32*C32-100,1))&lt;999,ROUND(100/B32*C32-100,1),IF(ROUND(100/B32*C32-100,1)&gt;999,999,-999)))</f>
        <v>2.9</v>
      </c>
      <c r="E32" s="408">
        <v>-920.83299999999997</v>
      </c>
      <c r="F32" s="338">
        <v>-923.60199999999998</v>
      </c>
      <c r="G32" s="493">
        <f>IF(E32=0, "    ---- ", IF(ABS(ROUND(100/E32*F32-100,1))&lt;999,ROUND(100/E32*F32-100,1),IF(ROUND(100/E32*F32-100,1)&gt;999,999,-999)))</f>
        <v>0.3</v>
      </c>
      <c r="H32" s="408">
        <v>-183.59299999999999</v>
      </c>
      <c r="I32" s="338">
        <v>-202.4</v>
      </c>
      <c r="J32" s="493">
        <f>IF(H32=0, "    ---- ", IF(ABS(ROUND(100/H32*I32-100,1))&lt;999,ROUND(100/H32*I32-100,1),IF(ROUND(100/H32*I32-100,1)&gt;999,999,-999)))</f>
        <v>10.199999999999999</v>
      </c>
      <c r="K32" s="408">
        <v>-181.4</v>
      </c>
      <c r="L32" s="338">
        <v>-194.05</v>
      </c>
      <c r="M32" s="493">
        <f>IF(K32=0, "    ---- ", IF(ABS(ROUND(100/K32*L32-100,1))&lt;999,ROUND(100/K32*L32-100,1),IF(ROUND(100/K32*L32-100,1)&gt;999,999,-999)))</f>
        <v>7</v>
      </c>
      <c r="N32" s="408">
        <v>-7</v>
      </c>
      <c r="O32" s="338">
        <v>-8.0240973100000001</v>
      </c>
      <c r="P32" s="493">
        <f>IF(N32=0, "    ---- ", IF(ABS(ROUND(100/N32*O32-100,1))&lt;999,ROUND(100/N32*O32-100,1),IF(ROUND(100/N32*O32-100,1)&gt;999,999,-999)))</f>
        <v>14.6</v>
      </c>
      <c r="Q32" s="408">
        <v>-767.88454753999997</v>
      </c>
      <c r="R32" s="338">
        <v>-783.43012757000008</v>
      </c>
      <c r="S32" s="493">
        <f>IF(Q32=0, "    ---- ", IF(ABS(ROUND(100/Q32*R32-100,1))&lt;999,ROUND(100/Q32*R32-100,1),IF(ROUND(100/Q32*R32-100,1)&gt;999,999,-999)))</f>
        <v>2</v>
      </c>
      <c r="T32" s="408">
        <v>-49.3</v>
      </c>
      <c r="U32" s="338">
        <v>-50.5</v>
      </c>
      <c r="V32" s="493">
        <f>IF(T32=0, "    ---- ", IF(ABS(ROUND(100/T32*U32-100,1))&lt;999,ROUND(100/T32*U32-100,1),IF(ROUND(100/T32*U32-100,1)&gt;999,999,-999)))</f>
        <v>2.4</v>
      </c>
      <c r="W32" s="408">
        <v>-444.4</v>
      </c>
      <c r="X32" s="338">
        <v>-492</v>
      </c>
      <c r="Y32" s="493">
        <f>IF(W32=0, "    ---- ", IF(ABS(ROUND(100/W32*X32-100,1))&lt;999,ROUND(100/W32*X32-100,1),IF(ROUND(100/W32*X32-100,1)&gt;999,999,-999)))</f>
        <v>10.7</v>
      </c>
      <c r="Z32" s="408">
        <v>-117</v>
      </c>
      <c r="AA32" s="338">
        <v>-73</v>
      </c>
      <c r="AB32" s="493">
        <f>IF(Z32=0, "    ---- ", IF(ABS(ROUND(100/Z32*AA32-100,1))&lt;999,ROUND(100/Z32*AA32-100,1),IF(ROUND(100/Z32*AA32-100,1)&gt;999,999,-999)))</f>
        <v>-37.6</v>
      </c>
      <c r="AC32" s="408">
        <v>-1</v>
      </c>
      <c r="AD32" s="338">
        <v>2.8716573099999998</v>
      </c>
      <c r="AE32" s="493">
        <f>IF(AC32=0, "    ---- ", IF(ABS(ROUND(100/AC32*AD32-100,1))&lt;999,ROUND(100/AC32*AD32-100,1),IF(ROUND(100/AC32*AD32-100,1)&gt;999,999,-999)))</f>
        <v>-387.2</v>
      </c>
      <c r="AF32" s="408">
        <v>-823.42558108879985</v>
      </c>
      <c r="AG32" s="338">
        <v>-827.07876560160003</v>
      </c>
      <c r="AH32" s="493">
        <f>IF(AF32=0, "    ---- ", IF(ABS(ROUND(100/AF32*AG32-100,1))&lt;999,ROUND(100/AF32*AG32-100,1),IF(ROUND(100/AF32*AG32-100,1)&gt;999,999,-999)))</f>
        <v>0.4</v>
      </c>
      <c r="AI32" s="408">
        <v>-1049</v>
      </c>
      <c r="AJ32" s="338">
        <v>-1089</v>
      </c>
      <c r="AK32" s="493">
        <f>IF(AI32=0, "    ---- ", IF(ABS(ROUND(100/AI32*AJ32-100,1))&lt;999,ROUND(100/AI32*AJ32-100,1),IF(ROUND(100/AI32*AJ32-100,1)&gt;999,999,-999)))</f>
        <v>3.8</v>
      </c>
      <c r="AL32" s="493">
        <f t="shared" si="25"/>
        <v>-4686.0331286288001</v>
      </c>
      <c r="AM32" s="493">
        <f t="shared" si="25"/>
        <v>-4788.6318931715996</v>
      </c>
      <c r="AN32" s="493">
        <f t="shared" si="11"/>
        <v>2.2000000000000002</v>
      </c>
      <c r="AO32" s="493"/>
      <c r="AP32" s="493"/>
      <c r="AQ32" s="493"/>
    </row>
    <row r="33" spans="1:43" s="509" customFormat="1" ht="18.75" customHeight="1" x14ac:dyDescent="0.3">
      <c r="A33" s="491" t="s">
        <v>317</v>
      </c>
      <c r="B33" s="399"/>
      <c r="C33" s="397"/>
      <c r="D33" s="497"/>
      <c r="E33" s="399">
        <v>0.96099999999999997</v>
      </c>
      <c r="F33" s="397">
        <v>-60.83</v>
      </c>
      <c r="G33" s="497">
        <f>IF(E33=0, "    ---- ", IF(ABS(ROUND(100/E33*F33-100,1))&lt;999,ROUND(100/E33*F33-100,1),IF(ROUND(100/E33*F33-100,1)&gt;999,999,-999)))</f>
        <v>-999</v>
      </c>
      <c r="H33" s="399"/>
      <c r="I33" s="397"/>
      <c r="J33" s="497"/>
      <c r="K33" s="399"/>
      <c r="L33" s="397"/>
      <c r="M33" s="497"/>
      <c r="N33" s="399"/>
      <c r="O33" s="397"/>
      <c r="P33" s="497"/>
      <c r="Q33" s="399">
        <v>-785.03264899999999</v>
      </c>
      <c r="R33" s="397">
        <v>-828.40273300000001</v>
      </c>
      <c r="S33" s="497">
        <f>IF(Q33=0, "    ---- ", IF(ABS(ROUND(100/Q33*R33-100,1))&lt;999,ROUND(100/Q33*R33-100,1),IF(ROUND(100/Q33*R33-100,1)&gt;999,999,-999)))</f>
        <v>5.5</v>
      </c>
      <c r="T33" s="399">
        <v>-2.8</v>
      </c>
      <c r="U33" s="397">
        <v>-5.9</v>
      </c>
      <c r="V33" s="497">
        <f>IF(T33=0, "    ---- ", IF(ABS(ROUND(100/T33*U33-100,1))&lt;999,ROUND(100/T33*U33-100,1),IF(ROUND(100/T33*U33-100,1)&gt;999,999,-999)))</f>
        <v>110.7</v>
      </c>
      <c r="W33" s="399">
        <v>-11.4</v>
      </c>
      <c r="X33" s="397">
        <v>-22.83266094</v>
      </c>
      <c r="Y33" s="497">
        <f>IF(W33=0, "    ---- ", IF(ABS(ROUND(100/W33*X33-100,1))&lt;999,ROUND(100/W33*X33-100,1),IF(ROUND(100/W33*X33-100,1)&gt;999,999,-999)))</f>
        <v>100.3</v>
      </c>
      <c r="Z33" s="399"/>
      <c r="AA33" s="397"/>
      <c r="AB33" s="497"/>
      <c r="AC33" s="399"/>
      <c r="AD33" s="397"/>
      <c r="AE33" s="497"/>
      <c r="AF33" s="399">
        <v>-5.3051609499999994</v>
      </c>
      <c r="AG33" s="397">
        <v>-6.2001916199999991</v>
      </c>
      <c r="AH33" s="497">
        <f>IF(AF33=0, "    ---- ", IF(ABS(ROUND(100/AF33*AG33-100,1))&lt;999,ROUND(100/AF33*AG33-100,1),IF(ROUND(100/AF33*AG33-100,1)&gt;999,999,-999)))</f>
        <v>16.899999999999999</v>
      </c>
      <c r="AI33" s="399">
        <v>-35.6</v>
      </c>
      <c r="AJ33" s="397">
        <v>-352</v>
      </c>
      <c r="AK33" s="497">
        <f>IF(AI33=0, "    ---- ", IF(ABS(ROUND(100/AI33*AJ33-100,1))&lt;999,ROUND(100/AI33*AJ33-100,1),IF(ROUND(100/AI33*AJ33-100,1)&gt;999,999,-999)))</f>
        <v>888.8</v>
      </c>
      <c r="AL33" s="493">
        <f t="shared" si="25"/>
        <v>-839.17680994999989</v>
      </c>
      <c r="AM33" s="493">
        <f t="shared" si="25"/>
        <v>-1276.1655855600002</v>
      </c>
      <c r="AN33" s="497">
        <f t="shared" si="11"/>
        <v>52.1</v>
      </c>
      <c r="AO33" s="497"/>
      <c r="AP33" s="497"/>
      <c r="AQ33" s="497"/>
    </row>
    <row r="34" spans="1:43" s="512" customFormat="1" ht="18.75" customHeight="1" x14ac:dyDescent="0.3">
      <c r="A34" s="510" t="s">
        <v>318</v>
      </c>
      <c r="B34" s="585">
        <f>SUM(B14+B15+B16+B17+B21+B29+B30+B31+B32+B33)</f>
        <v>48.504000000000161</v>
      </c>
      <c r="C34" s="570">
        <f>SUM(C14+C15+C16+C17+C21+C29+C30+C31+C32+C33)</f>
        <v>150.48700000000045</v>
      </c>
      <c r="D34" s="511">
        <f>IF(B34=0, "    ---- ", IF(ABS(ROUND(100/B34*C34-100,1))&lt;999,ROUND(100/B34*C34-100,1),IF(ROUND(100/B34*C34-100,1)&gt;999,999,-999)))</f>
        <v>210.3</v>
      </c>
      <c r="E34" s="585">
        <f>SUM(E14+E15+E16+E17+E21+E29+E30+E31+E32+E33)</f>
        <v>840.56299999999862</v>
      </c>
      <c r="F34" s="570">
        <f>SUM(F14+F15+F16+F17+F21+F29+F30+F31+F32+F33)</f>
        <v>881.97500000000173</v>
      </c>
      <c r="G34" s="511">
        <f>IF(E34=0, "    ---- ", IF(ABS(ROUND(100/E34*F34-100,1))&lt;999,ROUND(100/E34*F34-100,1),IF(ROUND(100/E34*F34-100,1)&gt;999,999,-999)))</f>
        <v>4.9000000000000004</v>
      </c>
      <c r="H34" s="585">
        <f>SUM(H14+H15+H16+H17+H21+H29+H30+H31+H32+H33)</f>
        <v>87.475999999999857</v>
      </c>
      <c r="I34" s="570">
        <f>SUM(I14+I15+I16+I17+I21+I29+I30+I31+I32+I33)</f>
        <v>105.1999999999999</v>
      </c>
      <c r="J34" s="511">
        <f>IF(H34=0, "    ---- ", IF(ABS(ROUND(100/H34*I34-100,1))&lt;999,ROUND(100/H34*I34-100,1),IF(ROUND(100/H34*I34-100,1)&gt;999,999,-999)))</f>
        <v>20.3</v>
      </c>
      <c r="K34" s="585">
        <f>SUM(K14+K15+K16+K17+K21+K29+K30+K31+K32+K33)</f>
        <v>110.19999999999962</v>
      </c>
      <c r="L34" s="570">
        <f>SUM(L14+L15+L16+L17+L21+L29+L30+L31+L32+L33)</f>
        <v>133.10699999999952</v>
      </c>
      <c r="M34" s="511">
        <f>IF(K34=0, "    ---- ", IF(ABS(ROUND(100/K34*L34-100,1))&lt;999,ROUND(100/K34*L34-100,1),IF(ROUND(100/K34*L34-100,1)&gt;999,999,-999)))</f>
        <v>20.8</v>
      </c>
      <c r="N34" s="585">
        <f>SUM(N14+N15+N16+N17+N21+N29+N30+N31+N32+N33)</f>
        <v>14</v>
      </c>
      <c r="O34" s="570">
        <f>SUM(O14+O15+O16+O17+O21+O29+O30+O31+O32+O33)</f>
        <v>5.0161099999998626E-2</v>
      </c>
      <c r="P34" s="511">
        <f>IF(N34=0, "    ---- ", IF(ABS(ROUND(100/N34*O34-100,1))&lt;999,ROUND(100/N34*O34-100,1),IF(ROUND(100/N34*O34-100,1)&gt;999,999,-999)))</f>
        <v>-99.6</v>
      </c>
      <c r="Q34" s="585">
        <f>SUM(Q14+Q15+Q16+Q17+Q21+Q29+Q30+Q31+Q32+Q33)</f>
        <v>1098.3290758100059</v>
      </c>
      <c r="R34" s="570">
        <v>1145.8549896899976</v>
      </c>
      <c r="S34" s="511">
        <f>IF(Q34=0, "    ---- ", IF(ABS(ROUND(100/Q34*R34-100,1))&lt;999,ROUND(100/Q34*R34-100,1),IF(ROUND(100/Q34*R34-100,1)&gt;999,999,-999)))</f>
        <v>4.3</v>
      </c>
      <c r="T34" s="585">
        <f>SUM(T14+T15+T16+T17+T21+T29+T30+T31+T32+T33)</f>
        <v>-30.899999999999974</v>
      </c>
      <c r="U34" s="570">
        <f>SUM(U14+U15+U16+U17+U21+U29+U30+U31+U32+U33)</f>
        <v>-23.299999999999862</v>
      </c>
      <c r="V34" s="511">
        <f>IF(T34=0, "    ---- ", IF(ABS(ROUND(100/T34*U34-100,1))&lt;999,ROUND(100/T34*U34-100,1),IF(ROUND(100/T34*U34-100,1)&gt;999,999,-999)))</f>
        <v>-24.6</v>
      </c>
      <c r="W34" s="585">
        <f>SUM(W14+W15+W16+W17+W21+W29+W30+W31+W32+W33)</f>
        <v>410.10000000000059</v>
      </c>
      <c r="X34" s="570">
        <f>SUM(X14+X15+X16+X17+X21+X29+X30+X31+X32+X33)</f>
        <v>459.16733906000002</v>
      </c>
      <c r="Y34" s="511">
        <f>IF(W34=0, "    ---- ", IF(ABS(ROUND(100/W34*X34-100,1))&lt;999,ROUND(100/W34*X34-100,1),IF(ROUND(100/W34*X34-100,1)&gt;999,999,-999)))</f>
        <v>12</v>
      </c>
      <c r="Z34" s="585">
        <f>SUM(Z14+Z15+Z16+Z17+Z21+Z29+Z30+Z31+Z32+Z33)</f>
        <v>418</v>
      </c>
      <c r="AA34" s="570">
        <f>SUM(AA14+AA15+AA16+AA17+AA21+AA29+AA30+AA31+AA32+AA33)</f>
        <v>41</v>
      </c>
      <c r="AB34" s="511">
        <f>IF(Z34=0, "    ---- ", IF(ABS(ROUND(100/Z34*AA34-100,1))&lt;999,ROUND(100/Z34*AA34-100,1),IF(ROUND(100/Z34*AA34-100,1)&gt;999,999,-999)))</f>
        <v>-90.2</v>
      </c>
      <c r="AC34" s="585">
        <f>SUM(AC14+AC15+AC16+AC17+AC21+AC29+AC30+AC31+AC32+AC33)</f>
        <v>10</v>
      </c>
      <c r="AD34" s="570">
        <f>SUM(AD14+AD15+AD16+AD17+AD21+AD29+AD30+AD31+AD32+AD33)</f>
        <v>10.286518040000043</v>
      </c>
      <c r="AE34" s="511">
        <f>IF(AC34=0, "    ---- ", IF(ABS(ROUND(100/AC34*AD34-100,1))&lt;999,ROUND(100/AC34*AD34-100,1),IF(ROUND(100/AC34*AD34-100,1)&gt;999,999,-999)))</f>
        <v>2.9</v>
      </c>
      <c r="AF34" s="585">
        <f>SUM(AF14+AF15+AF16+AF17+AF21+AF29+AF30+AF31+AF32+AF33)</f>
        <v>409.30720792119865</v>
      </c>
      <c r="AG34" s="570">
        <f>SUM(AG14+AG15+AG16+AG17+AG21+AG29+AG30+AG31+AG32+AG33)</f>
        <v>477.45050843839743</v>
      </c>
      <c r="AH34" s="511">
        <f>IF(AF34=0, "    ---- ", IF(ABS(ROUND(100/AF34*AG34-100,1))&lt;999,ROUND(100/AF34*AG34-100,1),IF(ROUND(100/AF34*AG34-100,1)&gt;999,999,-999)))</f>
        <v>16.600000000000001</v>
      </c>
      <c r="AI34" s="585">
        <f>SUM(AI14+AI15+AI16+AI17+AI21+AI29+AI30+AI31+AI32+AI33)</f>
        <v>1207.7999999999997</v>
      </c>
      <c r="AJ34" s="570">
        <f>SUM(AJ14+AJ15+AJ16+AJ17+AJ21+AJ29+AJ30+AJ31+AJ32+AJ33)</f>
        <v>760</v>
      </c>
      <c r="AK34" s="511">
        <f>IF(AI34=0, "    ---- ", IF(ABS(ROUND(100/AI34*AJ34-100,1))&lt;999,ROUND(100/AI34*AJ34-100,1),IF(ROUND(100/AI34*AJ34-100,1)&gt;999,999,-999)))</f>
        <v>-37.1</v>
      </c>
      <c r="AL34" s="511">
        <f>B34+E34+H34+K34+Q34+T34+W34+Z34+AF34+AI34</f>
        <v>4599.379283731203</v>
      </c>
      <c r="AM34" s="511">
        <f>C34+F34+I34+L34+R34+U34+X34+AA34+AG34+AJ34</f>
        <v>4130.9418371883967</v>
      </c>
      <c r="AN34" s="511">
        <f t="shared" si="11"/>
        <v>-10.199999999999999</v>
      </c>
      <c r="AO34" s="511"/>
      <c r="AP34" s="511"/>
      <c r="AQ34" s="511"/>
    </row>
    <row r="35" spans="1:43" s="512" customFormat="1" ht="18.75" customHeight="1" x14ac:dyDescent="0.3">
      <c r="A35" s="513"/>
      <c r="B35" s="514"/>
      <c r="C35" s="515"/>
      <c r="D35" s="516"/>
      <c r="E35" s="514"/>
      <c r="F35" s="515"/>
      <c r="G35" s="516"/>
      <c r="H35" s="514"/>
      <c r="I35" s="515"/>
      <c r="J35" s="516"/>
      <c r="K35" s="514"/>
      <c r="L35" s="515"/>
      <c r="M35" s="516"/>
      <c r="N35" s="514"/>
      <c r="O35" s="515"/>
      <c r="P35" s="516"/>
      <c r="Q35" s="514"/>
      <c r="R35" s="515"/>
      <c r="S35" s="516"/>
      <c r="T35" s="514"/>
      <c r="U35" s="515"/>
      <c r="V35" s="516"/>
      <c r="W35" s="514"/>
      <c r="X35" s="515"/>
      <c r="Y35" s="516"/>
      <c r="Z35" s="514"/>
      <c r="AA35" s="515"/>
      <c r="AB35" s="516"/>
      <c r="AC35" s="514"/>
      <c r="AD35" s="515"/>
      <c r="AE35" s="516"/>
      <c r="AF35" s="514"/>
      <c r="AG35" s="515"/>
      <c r="AH35" s="517"/>
      <c r="AI35" s="514"/>
      <c r="AJ35" s="515"/>
      <c r="AK35" s="517"/>
      <c r="AL35" s="517"/>
      <c r="AM35" s="517"/>
      <c r="AN35" s="517"/>
      <c r="AO35" s="518"/>
      <c r="AP35" s="519"/>
      <c r="AQ35" s="520"/>
    </row>
    <row r="36" spans="1:43" s="512" customFormat="1" ht="18.75" customHeight="1" x14ac:dyDescent="0.3">
      <c r="A36" s="483" t="s">
        <v>319</v>
      </c>
      <c r="B36" s="514"/>
      <c r="C36" s="515"/>
      <c r="D36" s="516"/>
      <c r="E36" s="514"/>
      <c r="F36" s="515"/>
      <c r="G36" s="516"/>
      <c r="H36" s="514"/>
      <c r="I36" s="515"/>
      <c r="J36" s="516"/>
      <c r="K36" s="514"/>
      <c r="L36" s="515"/>
      <c r="M36" s="516"/>
      <c r="N36" s="514"/>
      <c r="O36" s="515"/>
      <c r="P36" s="516"/>
      <c r="Q36" s="514"/>
      <c r="R36" s="515"/>
      <c r="S36" s="516"/>
      <c r="T36" s="514"/>
      <c r="U36" s="515"/>
      <c r="V36" s="516"/>
      <c r="W36" s="514"/>
      <c r="X36" s="515"/>
      <c r="Y36" s="516"/>
      <c r="Z36" s="514"/>
      <c r="AA36" s="515"/>
      <c r="AB36" s="516"/>
      <c r="AC36" s="514"/>
      <c r="AD36" s="515"/>
      <c r="AE36" s="516"/>
      <c r="AF36" s="514"/>
      <c r="AG36" s="515"/>
      <c r="AH36" s="516"/>
      <c r="AI36" s="514"/>
      <c r="AJ36" s="515"/>
      <c r="AK36" s="516"/>
      <c r="AL36" s="516"/>
      <c r="AM36" s="516"/>
      <c r="AN36" s="516"/>
      <c r="AO36" s="521"/>
      <c r="AP36" s="522"/>
      <c r="AQ36" s="523"/>
    </row>
    <row r="37" spans="1:43" s="525" customFormat="1" ht="18.75" customHeight="1" x14ac:dyDescent="0.3">
      <c r="A37" s="491" t="s">
        <v>320</v>
      </c>
      <c r="B37" s="494">
        <v>2.5750000000000002</v>
      </c>
      <c r="C37" s="495">
        <v>7.375</v>
      </c>
      <c r="D37" s="493">
        <f t="shared" ref="D37:D43" si="26">IF(B37=0, "    ---- ", IF(ABS(ROUND(100/B37*C37-100,1))&lt;999,ROUND(100/B37*C37-100,1),IF(ROUND(100/B37*C37-100,1)&gt;999,999,-999)))</f>
        <v>186.4</v>
      </c>
      <c r="E37" s="494">
        <v>400.57799999999997</v>
      </c>
      <c r="F37" s="495">
        <v>727.57299999999998</v>
      </c>
      <c r="G37" s="493">
        <f t="shared" ref="G37:G44" si="27">IF(E37=0, "    ---- ", IF(ABS(ROUND(100/E37*F37-100,1))&lt;999,ROUND(100/E37*F37-100,1),IF(ROUND(100/E37*F37-100,1)&gt;999,999,-999)))</f>
        <v>81.599999999999994</v>
      </c>
      <c r="H37" s="494">
        <v>3.6280000000000001</v>
      </c>
      <c r="I37" s="495">
        <v>11</v>
      </c>
      <c r="J37" s="493">
        <f t="shared" ref="J37:J43" si="28">IF(H37=0, "    ---- ", IF(ABS(ROUND(100/H37*I37-100,1))&lt;999,ROUND(100/H37*I37-100,1),IF(ROUND(100/H37*I37-100,1)&gt;999,999,-999)))</f>
        <v>203.2</v>
      </c>
      <c r="K37" s="494">
        <v>9.1</v>
      </c>
      <c r="L37" s="495">
        <v>12.61</v>
      </c>
      <c r="M37" s="493">
        <f t="shared" ref="M37:M44" si="29">IF(K37=0, "    ---- ", IF(ABS(ROUND(100/K37*L37-100,1))&lt;999,ROUND(100/K37*L37-100,1),IF(ROUND(100/K37*L37-100,1)&gt;999,999,-999)))</f>
        <v>38.6</v>
      </c>
      <c r="N37" s="494">
        <v>1</v>
      </c>
      <c r="O37" s="495">
        <v>1.6278376000000001</v>
      </c>
      <c r="P37" s="493">
        <f t="shared" ref="P37:P43" si="30">IF(N37=0, "    ---- ", IF(ABS(ROUND(100/N37*O37-100,1))&lt;999,ROUND(100/N37*O37-100,1),IF(ROUND(100/N37*O37-100,1)&gt;999,999,-999)))</f>
        <v>62.8</v>
      </c>
      <c r="Q37" s="494">
        <v>1027.8799921900002</v>
      </c>
      <c r="R37" s="495">
        <v>1269.9302698900001</v>
      </c>
      <c r="S37" s="493">
        <f t="shared" ref="S37:S44" si="31">IF(Q37=0, "    ---- ", IF(ABS(ROUND(100/Q37*R37-100,1))&lt;999,ROUND(100/Q37*R37-100,1),IF(ROUND(100/Q37*R37-100,1)&gt;999,999,-999)))</f>
        <v>23.5</v>
      </c>
      <c r="T37" s="494">
        <v>4.9000000000000004</v>
      </c>
      <c r="U37" s="495">
        <v>12.1</v>
      </c>
      <c r="V37" s="493">
        <f t="shared" ref="V37:V44" si="32">IF(T37=0, "    ---- ", IF(ABS(ROUND(100/T37*U37-100,1))&lt;999,ROUND(100/T37*U37-100,1),IF(ROUND(100/T37*U37-100,1)&gt;999,999,-999)))</f>
        <v>146.9</v>
      </c>
      <c r="W37" s="494">
        <v>47.3</v>
      </c>
      <c r="X37" s="495">
        <v>96.4</v>
      </c>
      <c r="Y37" s="493">
        <f t="shared" ref="Y37:Y44" si="33">IF(W37=0, "    ---- ", IF(ABS(ROUND(100/W37*X37-100,1))&lt;999,ROUND(100/W37*X37-100,1),IF(ROUND(100/W37*X37-100,1)&gt;999,999,-999)))</f>
        <v>103.8</v>
      </c>
      <c r="Z37" s="494">
        <v>257</v>
      </c>
      <c r="AA37" s="495">
        <v>456</v>
      </c>
      <c r="AB37" s="493">
        <f t="shared" ref="AB37:AB43" si="34">IF(Z37=0, "    ---- ", IF(ABS(ROUND(100/Z37*AA37-100,1))&lt;999,ROUND(100/Z37*AA37-100,1),IF(ROUND(100/Z37*AA37-100,1)&gt;999,999,-999)))</f>
        <v>77.400000000000006</v>
      </c>
      <c r="AC37" s="494"/>
      <c r="AD37" s="495">
        <v>0.74885729000000001</v>
      </c>
      <c r="AE37" s="493"/>
      <c r="AF37" s="494"/>
      <c r="AG37" s="495">
        <v>672.27400307000005</v>
      </c>
      <c r="AH37" s="493" t="str">
        <f t="shared" ref="AH37:AH44" si="35">IF(AF37=0, "    ---- ", IF(ABS(ROUND(100/AF37*AG37-100,1))&lt;999,ROUND(100/AF37*AG37-100,1),IF(ROUND(100/AF37*AG37-100,1)&gt;999,999,-999)))</f>
        <v xml:space="preserve">    ---- </v>
      </c>
      <c r="AI37" s="494">
        <v>1267</v>
      </c>
      <c r="AJ37" s="495">
        <v>1236</v>
      </c>
      <c r="AK37" s="493">
        <f t="shared" ref="AK37:AK44" si="36">IF(AI37=0, "    ---- ", IF(ABS(ROUND(100/AI37*AJ37-100,1))&lt;999,ROUND(100/AI37*AJ37-100,1),IF(ROUND(100/AI37*AJ37-100,1)&gt;999,999,-999)))</f>
        <v>-2.4</v>
      </c>
      <c r="AL37" s="493">
        <f t="shared" ref="AL37:AM44" si="37">B37+E37+H37+K37+Q37+T37+W37+Z37+AF37+AI37</f>
        <v>3019.9609921900001</v>
      </c>
      <c r="AM37" s="493">
        <f t="shared" si="37"/>
        <v>4501.2622729600007</v>
      </c>
      <c r="AN37" s="493">
        <f t="shared" si="11"/>
        <v>49.1</v>
      </c>
      <c r="AO37" s="496"/>
      <c r="AP37" s="524"/>
      <c r="AQ37" s="498"/>
    </row>
    <row r="38" spans="1:43" s="525" customFormat="1" ht="18.75" customHeight="1" x14ac:dyDescent="0.3">
      <c r="A38" s="491" t="s">
        <v>321</v>
      </c>
      <c r="B38" s="494"/>
      <c r="C38" s="495"/>
      <c r="D38" s="493"/>
      <c r="E38" s="494">
        <v>9.8420000000000005</v>
      </c>
      <c r="F38" s="495">
        <v>8.8059999999999992</v>
      </c>
      <c r="G38" s="493">
        <f t="shared" si="27"/>
        <v>-10.5</v>
      </c>
      <c r="H38" s="494">
        <v>3.5999999999999997E-2</v>
      </c>
      <c r="I38" s="495">
        <v>4.1000000000000002E-2</v>
      </c>
      <c r="J38" s="493">
        <f t="shared" si="28"/>
        <v>13.9</v>
      </c>
      <c r="K38" s="494"/>
      <c r="L38" s="495"/>
      <c r="M38" s="493" t="str">
        <f t="shared" si="29"/>
        <v xml:space="preserve">    ---- </v>
      </c>
      <c r="N38" s="494"/>
      <c r="O38" s="495"/>
      <c r="P38" s="493"/>
      <c r="Q38" s="494">
        <v>3.9781162000000001</v>
      </c>
      <c r="R38" s="495">
        <v>10.381905789999999</v>
      </c>
      <c r="S38" s="493">
        <f t="shared" si="31"/>
        <v>161</v>
      </c>
      <c r="T38" s="494">
        <v>1.2</v>
      </c>
      <c r="U38" s="495">
        <v>3.8</v>
      </c>
      <c r="V38" s="493">
        <f t="shared" si="32"/>
        <v>216.7</v>
      </c>
      <c r="W38" s="494">
        <v>7</v>
      </c>
      <c r="X38" s="495">
        <v>4</v>
      </c>
      <c r="Y38" s="493">
        <f t="shared" si="33"/>
        <v>-42.9</v>
      </c>
      <c r="Z38" s="494">
        <v>6</v>
      </c>
      <c r="AA38" s="495">
        <v>7</v>
      </c>
      <c r="AB38" s="493">
        <f t="shared" si="34"/>
        <v>16.7</v>
      </c>
      <c r="AC38" s="494"/>
      <c r="AD38" s="495"/>
      <c r="AE38" s="493"/>
      <c r="AF38" s="494"/>
      <c r="AG38" s="495">
        <v>187.73514544000003</v>
      </c>
      <c r="AH38" s="493" t="str">
        <f t="shared" si="35"/>
        <v xml:space="preserve">    ---- </v>
      </c>
      <c r="AI38" s="494">
        <v>195.8</v>
      </c>
      <c r="AJ38" s="495">
        <v>17</v>
      </c>
      <c r="AK38" s="493">
        <f t="shared" si="36"/>
        <v>-91.3</v>
      </c>
      <c r="AL38" s="493">
        <f t="shared" si="37"/>
        <v>223.8561162</v>
      </c>
      <c r="AM38" s="493">
        <f t="shared" si="37"/>
        <v>238.76405123000001</v>
      </c>
      <c r="AN38" s="493">
        <f t="shared" si="11"/>
        <v>6.7</v>
      </c>
      <c r="AO38" s="493"/>
      <c r="AP38" s="526"/>
      <c r="AQ38" s="493"/>
    </row>
    <row r="39" spans="1:43" s="525" customFormat="1" ht="18.75" customHeight="1" x14ac:dyDescent="0.3">
      <c r="A39" s="491" t="s">
        <v>322</v>
      </c>
      <c r="B39" s="494"/>
      <c r="C39" s="495"/>
      <c r="D39" s="493"/>
      <c r="E39" s="494">
        <v>-151.911</v>
      </c>
      <c r="F39" s="495">
        <v>-240.87700000000001</v>
      </c>
      <c r="G39" s="493">
        <f t="shared" si="27"/>
        <v>58.6</v>
      </c>
      <c r="H39" s="494"/>
      <c r="I39" s="495"/>
      <c r="J39" s="493" t="str">
        <f t="shared" si="28"/>
        <v xml:space="preserve">    ---- </v>
      </c>
      <c r="K39" s="494">
        <v>-8.9</v>
      </c>
      <c r="L39" s="495">
        <v>-9.9440000000000008</v>
      </c>
      <c r="M39" s="493">
        <f t="shared" si="29"/>
        <v>11.7</v>
      </c>
      <c r="N39" s="494"/>
      <c r="O39" s="495"/>
      <c r="P39" s="493"/>
      <c r="Q39" s="494">
        <v>-254.34419500000001</v>
      </c>
      <c r="R39" s="495">
        <v>-277.42798442000003</v>
      </c>
      <c r="S39" s="493">
        <f t="shared" si="31"/>
        <v>9.1</v>
      </c>
      <c r="T39" s="494">
        <v>-0.3</v>
      </c>
      <c r="U39" s="495">
        <v>-0.4</v>
      </c>
      <c r="V39" s="493">
        <f t="shared" si="32"/>
        <v>33.299999999999997</v>
      </c>
      <c r="W39" s="494">
        <v>-66.8</v>
      </c>
      <c r="X39" s="495">
        <v>-78</v>
      </c>
      <c r="Y39" s="493">
        <f t="shared" si="33"/>
        <v>16.8</v>
      </c>
      <c r="Z39" s="494">
        <v>-67</v>
      </c>
      <c r="AA39" s="495">
        <v>-65</v>
      </c>
      <c r="AB39" s="493">
        <f t="shared" si="34"/>
        <v>-3</v>
      </c>
      <c r="AC39" s="494"/>
      <c r="AD39" s="495"/>
      <c r="AE39" s="493"/>
      <c r="AF39" s="494"/>
      <c r="AG39" s="495">
        <v>-216.7684747484</v>
      </c>
      <c r="AH39" s="493" t="str">
        <f t="shared" si="35"/>
        <v xml:space="preserve">    ---- </v>
      </c>
      <c r="AI39" s="494">
        <v>-327.60000000000002</v>
      </c>
      <c r="AJ39" s="495">
        <v>-316</v>
      </c>
      <c r="AK39" s="493">
        <f t="shared" si="36"/>
        <v>-3.5</v>
      </c>
      <c r="AL39" s="493">
        <f t="shared" si="37"/>
        <v>-876.85519500000009</v>
      </c>
      <c r="AM39" s="493">
        <f t="shared" si="37"/>
        <v>-1204.4174591684</v>
      </c>
      <c r="AN39" s="493">
        <f t="shared" si="11"/>
        <v>37.4</v>
      </c>
      <c r="AO39" s="493"/>
      <c r="AP39" s="526"/>
      <c r="AQ39" s="493"/>
    </row>
    <row r="40" spans="1:43" s="528" customFormat="1" ht="18.75" customHeight="1" x14ac:dyDescent="0.3">
      <c r="A40" s="513" t="s">
        <v>323</v>
      </c>
      <c r="B40" s="514">
        <f>SUM(B37:B39)</f>
        <v>2.5750000000000002</v>
      </c>
      <c r="C40" s="515">
        <f>SUM(C37:C39)</f>
        <v>7.375</v>
      </c>
      <c r="D40" s="516">
        <f t="shared" si="26"/>
        <v>186.4</v>
      </c>
      <c r="E40" s="514">
        <f>SUM(E37:E39)</f>
        <v>258.50899999999996</v>
      </c>
      <c r="F40" s="515">
        <f>SUM(F37:F39)</f>
        <v>495.50200000000001</v>
      </c>
      <c r="G40" s="516">
        <f t="shared" si="27"/>
        <v>91.7</v>
      </c>
      <c r="H40" s="514">
        <f>SUM(H37:H39)</f>
        <v>3.6640000000000001</v>
      </c>
      <c r="I40" s="515">
        <f>SUM(I37:I39)</f>
        <v>11.041</v>
      </c>
      <c r="J40" s="516">
        <f t="shared" si="28"/>
        <v>201.3</v>
      </c>
      <c r="K40" s="514">
        <f>SUM(K37:K39)</f>
        <v>0.19999999999999929</v>
      </c>
      <c r="L40" s="515">
        <f>SUM(L37:L39)</f>
        <v>2.6659999999999986</v>
      </c>
      <c r="M40" s="516">
        <f t="shared" si="29"/>
        <v>999</v>
      </c>
      <c r="N40" s="514">
        <f>SUM(N37:N39)</f>
        <v>1</v>
      </c>
      <c r="O40" s="515">
        <f>SUM(O37:O39)</f>
        <v>1.6278376000000001</v>
      </c>
      <c r="P40" s="516">
        <f t="shared" si="30"/>
        <v>62.8</v>
      </c>
      <c r="Q40" s="514">
        <f>SUM(Q37:Q39)</f>
        <v>777.51391339000008</v>
      </c>
      <c r="R40" s="515">
        <v>1002.8841912600001</v>
      </c>
      <c r="S40" s="516">
        <f t="shared" si="31"/>
        <v>29</v>
      </c>
      <c r="T40" s="514">
        <f>SUM(T37:T39)</f>
        <v>5.8000000000000007</v>
      </c>
      <c r="U40" s="515">
        <f>SUM(U37:U39)</f>
        <v>15.499999999999998</v>
      </c>
      <c r="V40" s="516">
        <f t="shared" si="32"/>
        <v>167.2</v>
      </c>
      <c r="W40" s="514">
        <f>SUM(W37:W39)</f>
        <v>-12.5</v>
      </c>
      <c r="X40" s="515">
        <f>SUM(X37:X39)</f>
        <v>22.400000000000006</v>
      </c>
      <c r="Y40" s="516">
        <f t="shared" si="33"/>
        <v>-279.2</v>
      </c>
      <c r="Z40" s="514">
        <f>SUM(Z37:Z39)</f>
        <v>196</v>
      </c>
      <c r="AA40" s="515">
        <f>SUM(AA37:AA39)</f>
        <v>398</v>
      </c>
      <c r="AB40" s="516">
        <f t="shared" si="34"/>
        <v>103.1</v>
      </c>
      <c r="AC40" s="514">
        <f>SUM(AC37:AC39)</f>
        <v>0</v>
      </c>
      <c r="AD40" s="515">
        <f>SUM(AD37:AD39)</f>
        <v>0.74885729000000001</v>
      </c>
      <c r="AE40" s="516"/>
      <c r="AF40" s="514">
        <f>SUM(AF37:AF39)</f>
        <v>0</v>
      </c>
      <c r="AG40" s="515">
        <f>SUM(AG37:AG39)</f>
        <v>643.24067376160008</v>
      </c>
      <c r="AH40" s="516" t="str">
        <f t="shared" si="35"/>
        <v xml:space="preserve">    ---- </v>
      </c>
      <c r="AI40" s="514">
        <f>SUM(AI37:AI39)</f>
        <v>1135.1999999999998</v>
      </c>
      <c r="AJ40" s="515">
        <f>SUM(AJ37:AJ39)</f>
        <v>937</v>
      </c>
      <c r="AK40" s="516">
        <f t="shared" si="36"/>
        <v>-17.5</v>
      </c>
      <c r="AL40" s="516">
        <f t="shared" si="37"/>
        <v>2366.9619133899996</v>
      </c>
      <c r="AM40" s="516">
        <f t="shared" si="37"/>
        <v>3535.6088650216002</v>
      </c>
      <c r="AN40" s="516">
        <f t="shared" si="11"/>
        <v>49.4</v>
      </c>
      <c r="AO40" s="516"/>
      <c r="AP40" s="527"/>
      <c r="AQ40" s="516"/>
    </row>
    <row r="41" spans="1:43" s="528" customFormat="1" ht="18.75" customHeight="1" x14ac:dyDescent="0.3">
      <c r="A41" s="513" t="s">
        <v>324</v>
      </c>
      <c r="B41" s="514">
        <f>B34+B40</f>
        <v>51.079000000000164</v>
      </c>
      <c r="C41" s="515">
        <f>C34+C40</f>
        <v>157.86200000000045</v>
      </c>
      <c r="D41" s="516">
        <f t="shared" si="26"/>
        <v>209.1</v>
      </c>
      <c r="E41" s="514">
        <f>E34+E40</f>
        <v>1099.0719999999985</v>
      </c>
      <c r="F41" s="515">
        <f>F34+F40</f>
        <v>1377.4770000000017</v>
      </c>
      <c r="G41" s="516">
        <f t="shared" si="27"/>
        <v>25.3</v>
      </c>
      <c r="H41" s="514">
        <f>H34+H40</f>
        <v>91.139999999999858</v>
      </c>
      <c r="I41" s="515">
        <f>I34+I40</f>
        <v>116.2409999999999</v>
      </c>
      <c r="J41" s="516">
        <f t="shared" si="28"/>
        <v>27.5</v>
      </c>
      <c r="K41" s="514">
        <f>K34+K40</f>
        <v>110.39999999999962</v>
      </c>
      <c r="L41" s="515">
        <f>L34+L40</f>
        <v>135.77299999999951</v>
      </c>
      <c r="M41" s="516">
        <f t="shared" si="29"/>
        <v>23</v>
      </c>
      <c r="N41" s="514">
        <f>N34+N40</f>
        <v>15</v>
      </c>
      <c r="O41" s="515">
        <f>O34+O40</f>
        <v>1.6779986999999987</v>
      </c>
      <c r="P41" s="516">
        <f t="shared" si="30"/>
        <v>-88.8</v>
      </c>
      <c r="Q41" s="514">
        <f>Q34+Q40</f>
        <v>1875.8429892000058</v>
      </c>
      <c r="R41" s="515">
        <v>2148.7391809499977</v>
      </c>
      <c r="S41" s="516">
        <f t="shared" si="31"/>
        <v>14.5</v>
      </c>
      <c r="T41" s="514">
        <f>T34+T40</f>
        <v>-25.099999999999973</v>
      </c>
      <c r="U41" s="515">
        <f>U34+U40</f>
        <v>-7.7999999999998639</v>
      </c>
      <c r="V41" s="516">
        <f t="shared" si="32"/>
        <v>-68.900000000000006</v>
      </c>
      <c r="W41" s="514">
        <f>W34+W40</f>
        <v>397.60000000000059</v>
      </c>
      <c r="X41" s="515">
        <f>X34+X40</f>
        <v>481.56733905999999</v>
      </c>
      <c r="Y41" s="516">
        <f t="shared" si="33"/>
        <v>21.1</v>
      </c>
      <c r="Z41" s="514">
        <f>Z34+Z40</f>
        <v>614</v>
      </c>
      <c r="AA41" s="515">
        <f>AA34+AA40</f>
        <v>439</v>
      </c>
      <c r="AB41" s="516">
        <f t="shared" si="34"/>
        <v>-28.5</v>
      </c>
      <c r="AC41" s="514">
        <f>AC34+AC40</f>
        <v>10</v>
      </c>
      <c r="AD41" s="515">
        <f>AD34+AD40</f>
        <v>11.035375330000043</v>
      </c>
      <c r="AE41" s="516">
        <f>IF(AC41=0, "    ---- ", IF(ABS(ROUND(100/AC41*AD41-100,1))&lt;999,ROUND(100/AC41*AD41-100,1),IF(ROUND(100/AC41*AD41-100,1)&gt;999,999,-999)))</f>
        <v>10.4</v>
      </c>
      <c r="AF41" s="514">
        <f>AF34+AF40</f>
        <v>409.30720792119865</v>
      </c>
      <c r="AG41" s="515">
        <f>AG34+AG40</f>
        <v>1120.6911821999975</v>
      </c>
      <c r="AH41" s="516">
        <f t="shared" si="35"/>
        <v>173.8</v>
      </c>
      <c r="AI41" s="514">
        <f>AI34+AI40</f>
        <v>2342.9999999999995</v>
      </c>
      <c r="AJ41" s="515">
        <f>AJ34+AJ40</f>
        <v>1697</v>
      </c>
      <c r="AK41" s="516">
        <f t="shared" si="36"/>
        <v>-27.6</v>
      </c>
      <c r="AL41" s="516">
        <f t="shared" si="37"/>
        <v>6966.3411971212026</v>
      </c>
      <c r="AM41" s="516">
        <f t="shared" si="37"/>
        <v>7666.5507022099973</v>
      </c>
      <c r="AN41" s="516">
        <f t="shared" si="11"/>
        <v>10.1</v>
      </c>
      <c r="AO41" s="516"/>
      <c r="AP41" s="527"/>
      <c r="AQ41" s="516"/>
    </row>
    <row r="42" spans="1:43" s="525" customFormat="1" ht="18.75" customHeight="1" x14ac:dyDescent="0.3">
      <c r="A42" s="491" t="s">
        <v>325</v>
      </c>
      <c r="B42" s="494">
        <v>-12.77</v>
      </c>
      <c r="C42" s="495">
        <v>-39.466000000000001</v>
      </c>
      <c r="D42" s="493">
        <f t="shared" si="26"/>
        <v>209.1</v>
      </c>
      <c r="E42" s="494">
        <v>-199.37100000000001</v>
      </c>
      <c r="F42" s="495">
        <v>-245.21700000000001</v>
      </c>
      <c r="G42" s="493">
        <f t="shared" si="27"/>
        <v>23</v>
      </c>
      <c r="H42" s="494">
        <v>-22.49</v>
      </c>
      <c r="I42" s="495">
        <v>-25.1</v>
      </c>
      <c r="J42" s="493">
        <f t="shared" si="28"/>
        <v>11.6</v>
      </c>
      <c r="K42" s="494"/>
      <c r="L42" s="495">
        <v>-33.944000000000003</v>
      </c>
      <c r="M42" s="493" t="str">
        <f t="shared" si="29"/>
        <v xml:space="preserve">    ---- </v>
      </c>
      <c r="N42" s="494">
        <v>-4</v>
      </c>
      <c r="O42" s="495">
        <v>-0.50770899999999997</v>
      </c>
      <c r="P42" s="493">
        <f t="shared" si="30"/>
        <v>-87.3</v>
      </c>
      <c r="Q42" s="494">
        <v>-437.68167199999999</v>
      </c>
      <c r="R42" s="495">
        <v>-409.16190799999998</v>
      </c>
      <c r="S42" s="493"/>
      <c r="T42" s="494"/>
      <c r="U42" s="495"/>
      <c r="V42" s="493"/>
      <c r="W42" s="494">
        <v>-99.4</v>
      </c>
      <c r="X42" s="495">
        <v>-239</v>
      </c>
      <c r="Y42" s="493">
        <f t="shared" si="33"/>
        <v>140.4</v>
      </c>
      <c r="Z42" s="494">
        <v>-139</v>
      </c>
      <c r="AA42" s="495">
        <v>-49</v>
      </c>
      <c r="AB42" s="493">
        <f t="shared" si="34"/>
        <v>-64.7</v>
      </c>
      <c r="AC42" s="494">
        <v>-1</v>
      </c>
      <c r="AD42" s="495">
        <v>-2.4246690000000002</v>
      </c>
      <c r="AE42" s="493"/>
      <c r="AF42" s="494"/>
      <c r="AG42" s="495">
        <v>-123.370636</v>
      </c>
      <c r="AH42" s="493" t="str">
        <f t="shared" si="35"/>
        <v xml:space="preserve">    ---- </v>
      </c>
      <c r="AI42" s="494">
        <v>-354.5</v>
      </c>
      <c r="AJ42" s="495">
        <v>-137</v>
      </c>
      <c r="AK42" s="493">
        <f t="shared" si="36"/>
        <v>-61.4</v>
      </c>
      <c r="AL42" s="493">
        <f t="shared" si="37"/>
        <v>-1265.2126720000001</v>
      </c>
      <c r="AM42" s="493">
        <f t="shared" si="37"/>
        <v>-1301.259544</v>
      </c>
      <c r="AN42" s="493">
        <f t="shared" si="11"/>
        <v>2.8</v>
      </c>
      <c r="AO42" s="493"/>
      <c r="AP42" s="526"/>
      <c r="AQ42" s="493"/>
    </row>
    <row r="43" spans="1:43" s="528" customFormat="1" ht="18.75" customHeight="1" x14ac:dyDescent="0.3">
      <c r="A43" s="513" t="s">
        <v>326</v>
      </c>
      <c r="B43" s="514">
        <f>B41+B42</f>
        <v>38.309000000000168</v>
      </c>
      <c r="C43" s="515">
        <f>C41+C42</f>
        <v>118.39600000000044</v>
      </c>
      <c r="D43" s="516">
        <f t="shared" si="26"/>
        <v>209.1</v>
      </c>
      <c r="E43" s="514">
        <f>E41+E42</f>
        <v>899.70099999999854</v>
      </c>
      <c r="F43" s="515">
        <f>F41+F42</f>
        <v>1132.2600000000016</v>
      </c>
      <c r="G43" s="516">
        <f t="shared" si="27"/>
        <v>25.8</v>
      </c>
      <c r="H43" s="514">
        <f>H41+H42</f>
        <v>68.649999999999864</v>
      </c>
      <c r="I43" s="515">
        <f>I41+I42</f>
        <v>91.140999999999906</v>
      </c>
      <c r="J43" s="516">
        <f t="shared" si="28"/>
        <v>32.799999999999997</v>
      </c>
      <c r="K43" s="514">
        <f>K41+K42</f>
        <v>110.39999999999962</v>
      </c>
      <c r="L43" s="515">
        <f>L41+L42</f>
        <v>101.82899999999951</v>
      </c>
      <c r="M43" s="516">
        <f t="shared" si="29"/>
        <v>-7.8</v>
      </c>
      <c r="N43" s="514">
        <f>N41+N42</f>
        <v>11</v>
      </c>
      <c r="O43" s="515">
        <f>O41+O42</f>
        <v>1.1702896999999988</v>
      </c>
      <c r="P43" s="516">
        <f t="shared" si="30"/>
        <v>-89.4</v>
      </c>
      <c r="Q43" s="514">
        <f>Q41+Q42</f>
        <v>1438.1613172000059</v>
      </c>
      <c r="R43" s="515">
        <v>1739.5772729499977</v>
      </c>
      <c r="S43" s="516">
        <f t="shared" si="31"/>
        <v>21</v>
      </c>
      <c r="T43" s="514">
        <f>T41+T42</f>
        <v>-25.099999999999973</v>
      </c>
      <c r="U43" s="515">
        <f>U41+U42</f>
        <v>-7.7999999999998639</v>
      </c>
      <c r="V43" s="516">
        <f t="shared" si="32"/>
        <v>-68.900000000000006</v>
      </c>
      <c r="W43" s="514">
        <f>W41+W42</f>
        <v>298.20000000000061</v>
      </c>
      <c r="X43" s="515">
        <f>X41+X42</f>
        <v>242.56733905999999</v>
      </c>
      <c r="Y43" s="516">
        <f t="shared" si="33"/>
        <v>-18.7</v>
      </c>
      <c r="Z43" s="514">
        <f>Z41+Z42</f>
        <v>475</v>
      </c>
      <c r="AA43" s="515">
        <f>AA41+AA42</f>
        <v>390</v>
      </c>
      <c r="AB43" s="516">
        <f t="shared" si="34"/>
        <v>-17.899999999999999</v>
      </c>
      <c r="AC43" s="514">
        <f>AC41+AC42</f>
        <v>9</v>
      </c>
      <c r="AD43" s="515">
        <f>AD41+AD42</f>
        <v>8.6107063300000437</v>
      </c>
      <c r="AE43" s="516">
        <f>IF(AC43=0, "    ---- ", IF(ABS(ROUND(100/AC43*AD43-100,1))&lt;999,ROUND(100/AC43*AD43-100,1),IF(ROUND(100/AC43*AD43-100,1)&gt;999,999,-999)))</f>
        <v>-4.3</v>
      </c>
      <c r="AF43" s="514">
        <f>AF41+AF42</f>
        <v>409.30720792119865</v>
      </c>
      <c r="AG43" s="515">
        <f>AG41+AG42</f>
        <v>997.32054619999747</v>
      </c>
      <c r="AH43" s="516">
        <f t="shared" si="35"/>
        <v>143.69999999999999</v>
      </c>
      <c r="AI43" s="514">
        <f>AI41+AI42</f>
        <v>1988.4999999999995</v>
      </c>
      <c r="AJ43" s="515">
        <f>AJ41+AJ42</f>
        <v>1560</v>
      </c>
      <c r="AK43" s="516">
        <f t="shared" si="36"/>
        <v>-21.5</v>
      </c>
      <c r="AL43" s="516">
        <f t="shared" si="37"/>
        <v>5701.128525121203</v>
      </c>
      <c r="AM43" s="516">
        <f t="shared" si="37"/>
        <v>6365.2911582099969</v>
      </c>
      <c r="AN43" s="516">
        <f t="shared" si="11"/>
        <v>11.6</v>
      </c>
      <c r="AO43" s="516"/>
      <c r="AP43" s="527"/>
      <c r="AQ43" s="516"/>
    </row>
    <row r="44" spans="1:43" s="525" customFormat="1" ht="18.75" customHeight="1" x14ac:dyDescent="0.3">
      <c r="A44" s="491" t="s">
        <v>327</v>
      </c>
      <c r="B44" s="494"/>
      <c r="C44" s="495"/>
      <c r="D44" s="493"/>
      <c r="E44" s="494"/>
      <c r="F44" s="495">
        <v>-7.6420000000000003</v>
      </c>
      <c r="G44" s="493" t="str">
        <f t="shared" si="27"/>
        <v xml:space="preserve">    ---- </v>
      </c>
      <c r="H44" s="494"/>
      <c r="I44" s="495"/>
      <c r="J44" s="493"/>
      <c r="K44" s="494"/>
      <c r="L44" s="495"/>
      <c r="M44" s="493" t="str">
        <f t="shared" si="29"/>
        <v xml:space="preserve">    ---- </v>
      </c>
      <c r="N44" s="494"/>
      <c r="O44" s="495"/>
      <c r="P44" s="493"/>
      <c r="Q44" s="494">
        <v>0</v>
      </c>
      <c r="R44" s="495">
        <v>-44.824277899999998</v>
      </c>
      <c r="S44" s="493" t="str">
        <f t="shared" si="31"/>
        <v xml:space="preserve">    ---- </v>
      </c>
      <c r="T44" s="494"/>
      <c r="U44" s="495"/>
      <c r="V44" s="493" t="str">
        <f t="shared" si="32"/>
        <v xml:space="preserve">    ---- </v>
      </c>
      <c r="W44" s="494">
        <v>25</v>
      </c>
      <c r="X44" s="495">
        <v>-20</v>
      </c>
      <c r="Y44" s="493">
        <f t="shared" si="33"/>
        <v>-180</v>
      </c>
      <c r="Z44" s="494"/>
      <c r="AA44" s="495"/>
      <c r="AB44" s="493"/>
      <c r="AC44" s="494"/>
      <c r="AD44" s="495"/>
      <c r="AE44" s="493"/>
      <c r="AF44" s="494"/>
      <c r="AG44" s="495"/>
      <c r="AH44" s="493" t="str">
        <f t="shared" si="35"/>
        <v xml:space="preserve">    ---- </v>
      </c>
      <c r="AI44" s="494">
        <v>-52.8</v>
      </c>
      <c r="AJ44" s="495">
        <v>-17</v>
      </c>
      <c r="AK44" s="493">
        <f t="shared" si="36"/>
        <v>-67.8</v>
      </c>
      <c r="AL44" s="493">
        <f t="shared" si="37"/>
        <v>-27.799999999999997</v>
      </c>
      <c r="AM44" s="493">
        <f t="shared" si="37"/>
        <v>-89.466277899999994</v>
      </c>
      <c r="AN44" s="493">
        <f t="shared" si="11"/>
        <v>221.8</v>
      </c>
      <c r="AO44" s="493"/>
      <c r="AP44" s="526"/>
      <c r="AQ44" s="493"/>
    </row>
    <row r="45" spans="1:43" s="528" customFormat="1" ht="18.75" customHeight="1" x14ac:dyDescent="0.3">
      <c r="A45" s="510" t="s">
        <v>328</v>
      </c>
      <c r="B45" s="529">
        <f>B43+B44</f>
        <v>38.309000000000168</v>
      </c>
      <c r="C45" s="530">
        <f>C43+C44</f>
        <v>118.39600000000044</v>
      </c>
      <c r="D45" s="511">
        <f>IF(B45=0, "    ---- ", IF(ABS(ROUND(100/B45*C45-100,1))&lt;999,ROUND(100/B45*C45-100,1),IF(ROUND(100/B45*C45-100,1)&gt;999,999,-999)))</f>
        <v>209.1</v>
      </c>
      <c r="E45" s="529">
        <f>E43+E44</f>
        <v>899.70099999999854</v>
      </c>
      <c r="F45" s="530">
        <f>F43+F44</f>
        <v>1124.6180000000015</v>
      </c>
      <c r="G45" s="511">
        <f>IF(E45=0, "    ---- ", IF(ABS(ROUND(100/E45*F45-100,1))&lt;999,ROUND(100/E45*F45-100,1),IF(ROUND(100/E45*F45-100,1)&gt;999,999,-999)))</f>
        <v>25</v>
      </c>
      <c r="H45" s="529">
        <f>H43+H44</f>
        <v>68.649999999999864</v>
      </c>
      <c r="I45" s="530">
        <f>I43+I44</f>
        <v>91.140999999999906</v>
      </c>
      <c r="J45" s="511">
        <f>IF(H45=0, "    ---- ", IF(ABS(ROUND(100/H45*I45-100,1))&lt;999,ROUND(100/H45*I45-100,1),IF(ROUND(100/H45*I45-100,1)&gt;999,999,-999)))</f>
        <v>32.799999999999997</v>
      </c>
      <c r="K45" s="529">
        <f>K43+K44</f>
        <v>110.39999999999962</v>
      </c>
      <c r="L45" s="530">
        <f>L43+L44</f>
        <v>101.82899999999951</v>
      </c>
      <c r="M45" s="511">
        <f>IF(K45=0, "    ---- ", IF(ABS(ROUND(100/K45*L45-100,1))&lt;999,ROUND(100/K45*L45-100,1),IF(ROUND(100/K45*L45-100,1)&gt;999,999,-999)))</f>
        <v>-7.8</v>
      </c>
      <c r="N45" s="529">
        <f>N43+N44</f>
        <v>11</v>
      </c>
      <c r="O45" s="530">
        <f>O43+O44</f>
        <v>1.1702896999999988</v>
      </c>
      <c r="P45" s="511">
        <f>IF(N45=0, "    ---- ", IF(ABS(ROUND(100/N45*O45-100,1))&lt;999,ROUND(100/N45*O45-100,1),IF(ROUND(100/N45*O45-100,1)&gt;999,999,-999)))</f>
        <v>-89.4</v>
      </c>
      <c r="Q45" s="529">
        <f>Q43+Q44</f>
        <v>1438.1613172000059</v>
      </c>
      <c r="R45" s="530">
        <v>1694.7529950499977</v>
      </c>
      <c r="S45" s="511">
        <f>IF(Q45=0, "    ---- ", IF(ABS(ROUND(100/Q45*R45-100,1))&lt;999,ROUND(100/Q45*R45-100,1),IF(ROUND(100/Q45*R45-100,1)&gt;999,999,-999)))</f>
        <v>17.8</v>
      </c>
      <c r="T45" s="529">
        <f>T43+T44</f>
        <v>-25.099999999999973</v>
      </c>
      <c r="U45" s="530">
        <f>U43+U44</f>
        <v>-7.7999999999998639</v>
      </c>
      <c r="V45" s="511">
        <f>IF(T45=0, "    ---- ", IF(ABS(ROUND(100/T45*U45-100,1))&lt;999,ROUND(100/T45*U45-100,1),IF(ROUND(100/T45*U45-100,1)&gt;999,999,-999)))</f>
        <v>-68.900000000000006</v>
      </c>
      <c r="W45" s="529">
        <f>W43+W44</f>
        <v>323.20000000000061</v>
      </c>
      <c r="X45" s="530">
        <f>X43+X44</f>
        <v>222.56733905999999</v>
      </c>
      <c r="Y45" s="511">
        <f>IF(W45=0, "    ---- ", IF(ABS(ROUND(100/W45*X45-100,1))&lt;999,ROUND(100/W45*X45-100,1),IF(ROUND(100/W45*X45-100,1)&gt;999,999,-999)))</f>
        <v>-31.1</v>
      </c>
      <c r="Z45" s="529">
        <f>Z43+Z44</f>
        <v>475</v>
      </c>
      <c r="AA45" s="530">
        <f>AA43+AA44</f>
        <v>390</v>
      </c>
      <c r="AB45" s="511">
        <f>IF(Z45=0, "    ---- ", IF(ABS(ROUND(100/Z45*AA45-100,1))&lt;999,ROUND(100/Z45*AA45-100,1),IF(ROUND(100/Z45*AA45-100,1)&gt;999,999,-999)))</f>
        <v>-17.899999999999999</v>
      </c>
      <c r="AC45" s="529">
        <f>AC43+AC44</f>
        <v>9</v>
      </c>
      <c r="AD45" s="530">
        <f>AD43+AD44</f>
        <v>8.6107063300000437</v>
      </c>
      <c r="AE45" s="511">
        <f>IF(AC45=0, "    ---- ", IF(ABS(ROUND(100/AC45*AD45-100,1))&lt;999,ROUND(100/AC45*AD45-100,1),IF(ROUND(100/AC45*AD45-100,1)&gt;999,999,-999)))</f>
        <v>-4.3</v>
      </c>
      <c r="AF45" s="529">
        <f>AF43+AF44</f>
        <v>409.30720792119865</v>
      </c>
      <c r="AG45" s="530">
        <f>AG43+AG44</f>
        <v>997.32054619999747</v>
      </c>
      <c r="AH45" s="511">
        <f>IF(AF45=0, "    ---- ", IF(ABS(ROUND(100/AF45*AG45-100,1))&lt;999,ROUND(100/AF45*AG45-100,1),IF(ROUND(100/AF45*AG45-100,1)&gt;999,999,-999)))</f>
        <v>143.69999999999999</v>
      </c>
      <c r="AI45" s="529">
        <f>AI43+AI44</f>
        <v>1935.6999999999996</v>
      </c>
      <c r="AJ45" s="530">
        <f>AJ43+AJ44</f>
        <v>1543</v>
      </c>
      <c r="AK45" s="511">
        <f>IF(AI45=0, "    ---- ", IF(ABS(ROUND(100/AI45*AJ45-100,1))&lt;999,ROUND(100/AI45*AJ45-100,1),IF(ROUND(100/AI45*AJ45-100,1)&gt;999,999,-999)))</f>
        <v>-20.3</v>
      </c>
      <c r="AL45" s="511">
        <f>B45+E45+H45+K45+Q45+T45+W45+Z45+AF45+AI45</f>
        <v>5673.3285251212028</v>
      </c>
      <c r="AM45" s="511">
        <f>C45+F45+I45+L45+R45+U45+X45+AA45+AG45+AJ45</f>
        <v>6275.8248803099968</v>
      </c>
      <c r="AN45" s="511">
        <f t="shared" si="11"/>
        <v>10.6</v>
      </c>
      <c r="AO45" s="531"/>
      <c r="AP45" s="532"/>
      <c r="AQ45" s="533"/>
    </row>
    <row r="46" spans="1:43" s="528" customFormat="1" ht="18.75" customHeight="1" x14ac:dyDescent="0.3">
      <c r="A46" s="534"/>
      <c r="B46" s="535"/>
      <c r="C46" s="535"/>
      <c r="D46" s="536"/>
      <c r="E46" s="535"/>
      <c r="F46" s="535"/>
      <c r="G46" s="517"/>
      <c r="H46" s="535"/>
      <c r="I46" s="535"/>
      <c r="J46" s="517"/>
      <c r="K46" s="535"/>
      <c r="L46" s="535"/>
      <c r="M46" s="536"/>
      <c r="N46" s="535"/>
      <c r="O46" s="535"/>
      <c r="P46" s="517"/>
      <c r="Q46" s="535"/>
      <c r="R46" s="535"/>
      <c r="S46" s="517"/>
      <c r="T46" s="535"/>
      <c r="U46" s="535"/>
      <c r="V46" s="517"/>
      <c r="W46" s="535"/>
      <c r="X46" s="535"/>
      <c r="Y46" s="517"/>
      <c r="Z46" s="535"/>
      <c r="AA46" s="535"/>
      <c r="AB46" s="517"/>
      <c r="AC46" s="535"/>
      <c r="AD46" s="535"/>
      <c r="AE46" s="517"/>
      <c r="AF46" s="535"/>
      <c r="AG46" s="535"/>
      <c r="AH46" s="517"/>
      <c r="AI46" s="535"/>
      <c r="AJ46" s="535"/>
      <c r="AK46" s="517"/>
      <c r="AL46" s="536"/>
      <c r="AM46" s="536"/>
      <c r="AN46" s="517"/>
      <c r="AO46" s="537"/>
      <c r="AP46" s="537"/>
      <c r="AQ46" s="538"/>
    </row>
    <row r="47" spans="1:43" s="539" customFormat="1" ht="18.75" customHeight="1" x14ac:dyDescent="0.3">
      <c r="A47" s="567" t="s">
        <v>329</v>
      </c>
      <c r="B47" s="586"/>
      <c r="C47" s="586"/>
      <c r="D47" s="567"/>
      <c r="E47" s="586"/>
      <c r="F47" s="586"/>
      <c r="G47" s="567"/>
      <c r="H47" s="586"/>
      <c r="I47" s="586"/>
      <c r="J47" s="567"/>
      <c r="K47" s="586"/>
      <c r="L47" s="586"/>
      <c r="M47" s="567"/>
      <c r="N47" s="586"/>
      <c r="O47" s="586"/>
      <c r="P47" s="567"/>
      <c r="Q47" s="586"/>
      <c r="R47" s="586"/>
      <c r="S47" s="567"/>
      <c r="T47" s="586"/>
      <c r="U47" s="586"/>
      <c r="V47" s="567"/>
      <c r="W47" s="586"/>
      <c r="X47" s="586"/>
      <c r="Y47" s="567"/>
      <c r="Z47" s="586"/>
      <c r="AA47" s="586"/>
      <c r="AB47" s="567"/>
      <c r="AC47" s="586"/>
      <c r="AD47" s="586"/>
      <c r="AE47" s="567"/>
      <c r="AF47" s="586"/>
      <c r="AG47" s="586"/>
      <c r="AH47" s="567"/>
      <c r="AI47" s="586"/>
      <c r="AJ47" s="586"/>
      <c r="AK47" s="567"/>
      <c r="AL47" s="567"/>
      <c r="AM47" s="567"/>
      <c r="AN47" s="567"/>
      <c r="AO47" s="567"/>
      <c r="AP47" s="567"/>
      <c r="AQ47" s="567"/>
    </row>
    <row r="48" spans="1:43" s="540" customFormat="1" ht="18.75" customHeight="1" x14ac:dyDescent="0.3">
      <c r="A48" s="567" t="s">
        <v>330</v>
      </c>
      <c r="B48" s="586"/>
      <c r="C48" s="586"/>
      <c r="D48" s="567"/>
      <c r="E48" s="586"/>
      <c r="F48" s="586"/>
      <c r="G48" s="567"/>
      <c r="H48" s="586"/>
      <c r="I48" s="586"/>
      <c r="J48" s="567"/>
      <c r="K48" s="586"/>
      <c r="L48" s="586"/>
      <c r="M48" s="567"/>
      <c r="N48" s="586"/>
      <c r="O48" s="586"/>
      <c r="P48" s="567"/>
      <c r="Q48" s="586"/>
      <c r="R48" s="586"/>
      <c r="S48" s="567"/>
      <c r="T48" s="586"/>
      <c r="U48" s="586"/>
      <c r="V48" s="567"/>
      <c r="W48" s="586"/>
      <c r="X48" s="586"/>
      <c r="Y48" s="567"/>
      <c r="Z48" s="586"/>
      <c r="AA48" s="586"/>
      <c r="AB48" s="567"/>
      <c r="AC48" s="586"/>
      <c r="AD48" s="586"/>
      <c r="AE48" s="567"/>
      <c r="AF48" s="586"/>
      <c r="AG48" s="586"/>
      <c r="AH48" s="567"/>
      <c r="AI48" s="586"/>
      <c r="AJ48" s="586"/>
      <c r="AK48" s="567"/>
      <c r="AL48" s="567"/>
      <c r="AM48" s="567"/>
      <c r="AN48" s="567"/>
      <c r="AO48" s="567"/>
      <c r="AP48" s="567"/>
      <c r="AQ48" s="567"/>
    </row>
    <row r="49" spans="1:43" s="540" customFormat="1" ht="18.75" customHeight="1" x14ac:dyDescent="0.3">
      <c r="A49" s="567" t="s">
        <v>331</v>
      </c>
      <c r="B49" s="586"/>
      <c r="C49" s="586"/>
      <c r="D49" s="567"/>
      <c r="E49" s="586"/>
      <c r="F49" s="586"/>
      <c r="G49" s="567"/>
      <c r="H49" s="586"/>
      <c r="I49" s="586"/>
      <c r="J49" s="567"/>
      <c r="K49" s="586"/>
      <c r="L49" s="586"/>
      <c r="M49" s="567"/>
      <c r="N49" s="586"/>
      <c r="O49" s="586"/>
      <c r="P49" s="567"/>
      <c r="Q49" s="586"/>
      <c r="R49" s="586"/>
      <c r="S49" s="567"/>
      <c r="T49" s="586"/>
      <c r="U49" s="586"/>
      <c r="V49" s="567"/>
      <c r="W49" s="586"/>
      <c r="X49" s="586"/>
      <c r="Y49" s="567"/>
      <c r="Z49" s="586"/>
      <c r="AA49" s="586"/>
      <c r="AB49" s="567"/>
      <c r="AC49" s="586"/>
      <c r="AD49" s="586"/>
      <c r="AE49" s="567"/>
      <c r="AF49" s="586"/>
      <c r="AG49" s="586"/>
      <c r="AH49" s="567"/>
      <c r="AI49" s="586"/>
      <c r="AJ49" s="586"/>
      <c r="AK49" s="567"/>
      <c r="AL49" s="567"/>
      <c r="AM49" s="567"/>
      <c r="AN49" s="567"/>
      <c r="AO49" s="567"/>
      <c r="AP49" s="567"/>
      <c r="AQ49" s="567"/>
    </row>
    <row r="50" spans="1:43" s="540" customFormat="1" ht="18.75" customHeight="1" x14ac:dyDescent="0.3">
      <c r="A50" s="567" t="s">
        <v>332</v>
      </c>
      <c r="B50" s="586"/>
      <c r="C50" s="586"/>
      <c r="D50" s="567"/>
      <c r="E50" s="586"/>
      <c r="F50" s="586"/>
      <c r="G50" s="567"/>
      <c r="H50" s="586"/>
      <c r="I50" s="586"/>
      <c r="J50" s="567"/>
      <c r="K50" s="586"/>
      <c r="L50" s="586"/>
      <c r="M50" s="567"/>
      <c r="N50" s="586"/>
      <c r="O50" s="586"/>
      <c r="P50" s="567"/>
      <c r="Q50" s="586"/>
      <c r="R50" s="586"/>
      <c r="S50" s="567"/>
      <c r="T50" s="586"/>
      <c r="U50" s="586"/>
      <c r="V50" s="567"/>
      <c r="W50" s="586"/>
      <c r="X50" s="586"/>
      <c r="Y50" s="567"/>
      <c r="Z50" s="586"/>
      <c r="AA50" s="586"/>
      <c r="AB50" s="567"/>
      <c r="AC50" s="586"/>
      <c r="AD50" s="586"/>
      <c r="AE50" s="567"/>
      <c r="AF50" s="586"/>
      <c r="AG50" s="586"/>
      <c r="AH50" s="567"/>
      <c r="AI50" s="586"/>
      <c r="AJ50" s="586"/>
      <c r="AK50" s="567"/>
      <c r="AL50" s="567"/>
      <c r="AM50" s="567"/>
      <c r="AN50" s="567"/>
      <c r="AO50" s="567"/>
      <c r="AP50" s="567"/>
      <c r="AQ50" s="567"/>
    </row>
    <row r="51" spans="1:43" s="540" customFormat="1" ht="18.75" customHeight="1" x14ac:dyDescent="0.3">
      <c r="A51" s="567" t="s">
        <v>333</v>
      </c>
      <c r="B51" s="586"/>
      <c r="C51" s="586"/>
      <c r="D51" s="567"/>
      <c r="E51" s="586"/>
      <c r="F51" s="586"/>
      <c r="G51" s="567"/>
      <c r="H51" s="586"/>
      <c r="I51" s="586"/>
      <c r="J51" s="567"/>
      <c r="K51" s="586"/>
      <c r="L51" s="586"/>
      <c r="M51" s="567"/>
      <c r="N51" s="586"/>
      <c r="O51" s="586"/>
      <c r="P51" s="567"/>
      <c r="Q51" s="586"/>
      <c r="R51" s="586"/>
      <c r="S51" s="567"/>
      <c r="T51" s="586"/>
      <c r="U51" s="586"/>
      <c r="V51" s="567"/>
      <c r="W51" s="586"/>
      <c r="X51" s="586"/>
      <c r="Y51" s="567"/>
      <c r="Z51" s="586"/>
      <c r="AA51" s="586"/>
      <c r="AB51" s="567"/>
      <c r="AC51" s="586"/>
      <c r="AD51" s="586"/>
      <c r="AE51" s="567"/>
      <c r="AF51" s="586"/>
      <c r="AG51" s="586"/>
      <c r="AH51" s="567"/>
      <c r="AI51" s="586"/>
      <c r="AJ51" s="586"/>
      <c r="AK51" s="567"/>
      <c r="AL51" s="567"/>
      <c r="AM51" s="567"/>
      <c r="AN51" s="567"/>
      <c r="AO51" s="567"/>
      <c r="AP51" s="567"/>
      <c r="AQ51" s="567"/>
    </row>
    <row r="52" spans="1:43" s="540" customFormat="1" ht="18.75" customHeight="1" x14ac:dyDescent="0.3">
      <c r="A52" s="567" t="s">
        <v>334</v>
      </c>
      <c r="B52" s="586"/>
      <c r="C52" s="586"/>
      <c r="D52" s="567"/>
      <c r="E52" s="586"/>
      <c r="F52" s="586"/>
      <c r="G52" s="567"/>
      <c r="H52" s="586"/>
      <c r="I52" s="586"/>
      <c r="J52" s="567"/>
      <c r="K52" s="586"/>
      <c r="L52" s="586"/>
      <c r="M52" s="567"/>
      <c r="N52" s="586"/>
      <c r="O52" s="586"/>
      <c r="P52" s="567"/>
      <c r="Q52" s="586"/>
      <c r="R52" s="586"/>
      <c r="S52" s="567"/>
      <c r="T52" s="586"/>
      <c r="U52" s="586"/>
      <c r="V52" s="567"/>
      <c r="W52" s="586"/>
      <c r="X52" s="586"/>
      <c r="Y52" s="567"/>
      <c r="Z52" s="586"/>
      <c r="AA52" s="586"/>
      <c r="AB52" s="567"/>
      <c r="AC52" s="586"/>
      <c r="AD52" s="586"/>
      <c r="AE52" s="567"/>
      <c r="AF52" s="586"/>
      <c r="AG52" s="586"/>
      <c r="AH52" s="567"/>
      <c r="AI52" s="586"/>
      <c r="AJ52" s="586"/>
      <c r="AK52" s="567"/>
      <c r="AL52" s="567"/>
      <c r="AM52" s="567"/>
      <c r="AN52" s="567"/>
      <c r="AO52" s="567"/>
      <c r="AP52" s="567"/>
      <c r="AQ52" s="567"/>
    </row>
    <row r="53" spans="1:43" s="540" customFormat="1" ht="18.75" customHeight="1" x14ac:dyDescent="0.3">
      <c r="A53" s="567" t="s">
        <v>335</v>
      </c>
      <c r="B53" s="586"/>
      <c r="C53" s="586"/>
      <c r="D53" s="567"/>
      <c r="E53" s="586"/>
      <c r="F53" s="586"/>
      <c r="G53" s="567"/>
      <c r="H53" s="586"/>
      <c r="I53" s="586"/>
      <c r="J53" s="567"/>
      <c r="K53" s="586"/>
      <c r="L53" s="586"/>
      <c r="M53" s="567"/>
      <c r="N53" s="586"/>
      <c r="O53" s="586"/>
      <c r="P53" s="567"/>
      <c r="Q53" s="586"/>
      <c r="R53" s="586"/>
      <c r="S53" s="567"/>
      <c r="T53" s="586"/>
      <c r="U53" s="586"/>
      <c r="V53" s="567"/>
      <c r="W53" s="586"/>
      <c r="X53" s="586"/>
      <c r="Y53" s="567"/>
      <c r="Z53" s="586"/>
      <c r="AA53" s="586"/>
      <c r="AB53" s="567"/>
      <c r="AC53" s="586"/>
      <c r="AD53" s="586"/>
      <c r="AE53" s="567"/>
      <c r="AF53" s="586"/>
      <c r="AG53" s="586"/>
      <c r="AH53" s="567"/>
      <c r="AI53" s="586"/>
      <c r="AJ53" s="586"/>
      <c r="AK53" s="567"/>
      <c r="AL53" s="567"/>
      <c r="AM53" s="567"/>
      <c r="AN53" s="567"/>
      <c r="AO53" s="567"/>
      <c r="AP53" s="567"/>
      <c r="AQ53" s="567"/>
    </row>
    <row r="54" spans="1:43" s="540" customFormat="1" ht="18.75" customHeight="1" x14ac:dyDescent="0.3">
      <c r="A54" s="567" t="s">
        <v>336</v>
      </c>
      <c r="B54" s="586"/>
      <c r="C54" s="586"/>
      <c r="D54" s="567"/>
      <c r="E54" s="586"/>
      <c r="F54" s="586"/>
      <c r="G54" s="567"/>
      <c r="H54" s="586"/>
      <c r="I54" s="586"/>
      <c r="J54" s="567"/>
      <c r="K54" s="586"/>
      <c r="L54" s="586"/>
      <c r="M54" s="567"/>
      <c r="N54" s="586"/>
      <c r="O54" s="586"/>
      <c r="P54" s="567"/>
      <c r="Q54" s="586"/>
      <c r="R54" s="586"/>
      <c r="S54" s="567"/>
      <c r="T54" s="586"/>
      <c r="U54" s="586"/>
      <c r="V54" s="567"/>
      <c r="W54" s="586"/>
      <c r="X54" s="586"/>
      <c r="Y54" s="567"/>
      <c r="Z54" s="586"/>
      <c r="AA54" s="586"/>
      <c r="AB54" s="567"/>
      <c r="AC54" s="586"/>
      <c r="AD54" s="586"/>
      <c r="AE54" s="567"/>
      <c r="AF54" s="586"/>
      <c r="AG54" s="586"/>
      <c r="AH54" s="567"/>
      <c r="AI54" s="586"/>
      <c r="AJ54" s="586"/>
      <c r="AK54" s="567"/>
      <c r="AL54" s="567"/>
      <c r="AM54" s="567"/>
      <c r="AN54" s="567"/>
      <c r="AO54" s="567"/>
      <c r="AP54" s="567"/>
      <c r="AQ54" s="567"/>
    </row>
    <row r="55" spans="1:43" s="540" customFormat="1" ht="18.75" customHeight="1" x14ac:dyDescent="0.3">
      <c r="A55" s="567" t="s">
        <v>337</v>
      </c>
      <c r="B55" s="586"/>
      <c r="C55" s="586"/>
      <c r="D55" s="567"/>
      <c r="E55" s="586"/>
      <c r="F55" s="586"/>
      <c r="G55" s="567"/>
      <c r="H55" s="586"/>
      <c r="I55" s="586"/>
      <c r="J55" s="567"/>
      <c r="K55" s="586"/>
      <c r="L55" s="586"/>
      <c r="M55" s="567"/>
      <c r="N55" s="586"/>
      <c r="O55" s="586"/>
      <c r="P55" s="567"/>
      <c r="Q55" s="586"/>
      <c r="R55" s="586"/>
      <c r="S55" s="567"/>
      <c r="T55" s="586"/>
      <c r="U55" s="586"/>
      <c r="V55" s="567"/>
      <c r="W55" s="586"/>
      <c r="X55" s="586"/>
      <c r="Y55" s="567"/>
      <c r="Z55" s="586"/>
      <c r="AA55" s="586"/>
      <c r="AB55" s="567"/>
      <c r="AC55" s="586"/>
      <c r="AD55" s="586"/>
      <c r="AE55" s="567"/>
      <c r="AF55" s="586"/>
      <c r="AG55" s="586"/>
      <c r="AH55" s="567"/>
      <c r="AI55" s="586"/>
      <c r="AJ55" s="586"/>
      <c r="AK55" s="567"/>
      <c r="AL55" s="567"/>
      <c r="AM55" s="567"/>
      <c r="AN55" s="567"/>
      <c r="AO55" s="567"/>
      <c r="AP55" s="567"/>
      <c r="AQ55" s="567"/>
    </row>
    <row r="56" spans="1:43" s="540" customFormat="1" ht="18.75" customHeight="1" x14ac:dyDescent="0.3">
      <c r="A56" s="567" t="s">
        <v>338</v>
      </c>
      <c r="B56" s="586"/>
      <c r="C56" s="586"/>
      <c r="D56" s="567"/>
      <c r="E56" s="586"/>
      <c r="F56" s="586"/>
      <c r="G56" s="567"/>
      <c r="H56" s="586"/>
      <c r="I56" s="586"/>
      <c r="J56" s="567"/>
      <c r="K56" s="586"/>
      <c r="L56" s="586"/>
      <c r="M56" s="567"/>
      <c r="N56" s="586"/>
      <c r="O56" s="586"/>
      <c r="P56" s="567"/>
      <c r="Q56" s="586"/>
      <c r="R56" s="586"/>
      <c r="S56" s="567"/>
      <c r="T56" s="586"/>
      <c r="U56" s="586"/>
      <c r="V56" s="567"/>
      <c r="W56" s="586"/>
      <c r="X56" s="586"/>
      <c r="Y56" s="567"/>
      <c r="Z56" s="586"/>
      <c r="AA56" s="586"/>
      <c r="AB56" s="567"/>
      <c r="AC56" s="586"/>
      <c r="AD56" s="586"/>
      <c r="AE56" s="567"/>
      <c r="AF56" s="586"/>
      <c r="AG56" s="586"/>
      <c r="AH56" s="567"/>
      <c r="AI56" s="586"/>
      <c r="AJ56" s="586"/>
      <c r="AK56" s="567"/>
      <c r="AL56" s="567"/>
      <c r="AM56" s="567"/>
      <c r="AN56" s="567"/>
      <c r="AO56" s="567"/>
      <c r="AP56" s="567"/>
      <c r="AQ56" s="567"/>
    </row>
    <row r="57" spans="1:43" s="539" customFormat="1" ht="18.75" customHeight="1" x14ac:dyDescent="0.3">
      <c r="A57" s="568" t="s">
        <v>339</v>
      </c>
      <c r="B57" s="587"/>
      <c r="C57" s="587"/>
      <c r="D57" s="568"/>
      <c r="E57" s="587"/>
      <c r="F57" s="587"/>
      <c r="G57" s="568"/>
      <c r="H57" s="587"/>
      <c r="I57" s="587"/>
      <c r="J57" s="568"/>
      <c r="K57" s="587"/>
      <c r="L57" s="587"/>
      <c r="M57" s="568"/>
      <c r="N57" s="587"/>
      <c r="O57" s="587"/>
      <c r="P57" s="568"/>
      <c r="Q57" s="587"/>
      <c r="R57" s="587"/>
      <c r="S57" s="568"/>
      <c r="T57" s="587"/>
      <c r="U57" s="587"/>
      <c r="V57" s="568"/>
      <c r="W57" s="587"/>
      <c r="X57" s="587"/>
      <c r="Y57" s="568"/>
      <c r="Z57" s="587"/>
      <c r="AA57" s="587"/>
      <c r="AB57" s="568"/>
      <c r="AC57" s="587"/>
      <c r="AD57" s="587"/>
      <c r="AE57" s="568"/>
      <c r="AF57" s="587"/>
      <c r="AG57" s="587"/>
      <c r="AH57" s="568"/>
      <c r="AI57" s="587"/>
      <c r="AJ57" s="587"/>
      <c r="AK57" s="568"/>
      <c r="AL57" s="568"/>
      <c r="AM57" s="568"/>
      <c r="AN57" s="568"/>
      <c r="AO57" s="568"/>
      <c r="AP57" s="568"/>
      <c r="AQ57" s="568"/>
    </row>
    <row r="58" spans="1:43" s="542" customFormat="1" ht="18.75" customHeight="1" x14ac:dyDescent="0.3">
      <c r="A58" s="525" t="s">
        <v>255</v>
      </c>
      <c r="B58" s="525"/>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L58" s="541"/>
      <c r="AM58" s="541"/>
      <c r="AN58" s="541"/>
      <c r="AO58" s="541"/>
      <c r="AP58" s="541"/>
    </row>
    <row r="59" spans="1:43" s="542" customFormat="1" ht="18.75" customHeight="1" x14ac:dyDescent="0.3">
      <c r="A59" s="525" t="s">
        <v>256</v>
      </c>
    </row>
    <row r="60" spans="1:43" s="542" customFormat="1" ht="18.75" customHeight="1" x14ac:dyDescent="0.3">
      <c r="A60" s="525" t="s">
        <v>257</v>
      </c>
    </row>
    <row r="61" spans="1:43" s="542" customFormat="1" ht="18.75" x14ac:dyDescent="0.3"/>
  </sheetData>
  <mergeCells count="26">
    <mergeCell ref="AO5:AQ5"/>
    <mergeCell ref="AF5:AH5"/>
    <mergeCell ref="AI5:AK5"/>
    <mergeCell ref="AL5:AN5"/>
    <mergeCell ref="AF6:AH6"/>
    <mergeCell ref="AI6:AK6"/>
    <mergeCell ref="AC6:AE6"/>
    <mergeCell ref="AL6:AN6"/>
    <mergeCell ref="AO6:AQ6"/>
    <mergeCell ref="W6:Y6"/>
    <mergeCell ref="Z6:AB6"/>
    <mergeCell ref="T5:V5"/>
    <mergeCell ref="Z5:AB5"/>
    <mergeCell ref="B5:D5"/>
    <mergeCell ref="E5:G5"/>
    <mergeCell ref="H5:J5"/>
    <mergeCell ref="K5:M5"/>
    <mergeCell ref="N5:P5"/>
    <mergeCell ref="H6:J6"/>
    <mergeCell ref="K6:M6"/>
    <mergeCell ref="N6:P6"/>
    <mergeCell ref="B6:D6"/>
    <mergeCell ref="E6:G6"/>
    <mergeCell ref="Q5:S5"/>
    <mergeCell ref="Q6:S6"/>
    <mergeCell ref="T6:V6"/>
  </mergeCells>
  <conditionalFormatting sqref="K14">
    <cfRule type="expression" dxfId="220" priority="113">
      <formula>#REF! ="14≠11+12+13"</formula>
    </cfRule>
  </conditionalFormatting>
  <conditionalFormatting sqref="K21">
    <cfRule type="expression" dxfId="219" priority="114">
      <formula>#REF! ="22≠19+20+21"</formula>
    </cfRule>
  </conditionalFormatting>
  <conditionalFormatting sqref="K29">
    <cfRule type="expression" dxfId="218" priority="115">
      <formula>#REF! ="30≠24+25+26+27+28+29"</formula>
    </cfRule>
  </conditionalFormatting>
  <conditionalFormatting sqref="K34">
    <cfRule type="expression" dxfId="217" priority="116">
      <formula>#REF! ="35≠14+15+16+17+22+30+31+32+33+34"</formula>
    </cfRule>
  </conditionalFormatting>
  <conditionalFormatting sqref="K45">
    <cfRule type="expression" dxfId="216" priority="117">
      <formula>#REF! ="46≠35+38+39+40+43+45"</formula>
    </cfRule>
  </conditionalFormatting>
  <conditionalFormatting sqref="T14">
    <cfRule type="expression" dxfId="215" priority="103">
      <formula>#REF! ="14≠11+12+13"</formula>
    </cfRule>
  </conditionalFormatting>
  <conditionalFormatting sqref="T21">
    <cfRule type="expression" dxfId="214" priority="104">
      <formula>#REF! ="22≠19+20+21"</formula>
    </cfRule>
  </conditionalFormatting>
  <conditionalFormatting sqref="T29">
    <cfRule type="expression" dxfId="213" priority="105">
      <formula>#REF! ="30≠24+25+26+27+28+29"</formula>
    </cfRule>
  </conditionalFormatting>
  <conditionalFormatting sqref="T34">
    <cfRule type="expression" dxfId="212" priority="106">
      <formula>#REF! ="35≠14+15+16+17+22+30+31+32+33+34"</formula>
    </cfRule>
  </conditionalFormatting>
  <conditionalFormatting sqref="T45">
    <cfRule type="expression" dxfId="211" priority="107">
      <formula>#REF! ="46≠35+38+39+40+43+45"</formula>
    </cfRule>
  </conditionalFormatting>
  <conditionalFormatting sqref="E14">
    <cfRule type="expression" dxfId="210" priority="93">
      <formula>#REF! ="14≠11+12+13"</formula>
    </cfRule>
  </conditionalFormatting>
  <conditionalFormatting sqref="E21">
    <cfRule type="expression" dxfId="209" priority="94">
      <formula>#REF! ="22≠19+20+21"</formula>
    </cfRule>
  </conditionalFormatting>
  <conditionalFormatting sqref="E29">
    <cfRule type="expression" dxfId="208" priority="95">
      <formula>#REF! ="30≠24+25+26+27+28+29"</formula>
    </cfRule>
  </conditionalFormatting>
  <conditionalFormatting sqref="E34">
    <cfRule type="expression" dxfId="207" priority="96">
      <formula>#REF! ="35≠14+15+16+17+22+30+31+32+33+34"</formula>
    </cfRule>
  </conditionalFormatting>
  <conditionalFormatting sqref="E45">
    <cfRule type="expression" dxfId="206" priority="97">
      <formula>#REF! ="46≠35+38+39+40+43+45"</formula>
    </cfRule>
  </conditionalFormatting>
  <conditionalFormatting sqref="N14">
    <cfRule type="expression" dxfId="205" priority="83">
      <formula>#REF! ="14≠11+12+13"</formula>
    </cfRule>
  </conditionalFormatting>
  <conditionalFormatting sqref="N21">
    <cfRule type="expression" dxfId="204" priority="84">
      <formula>#REF! ="22≠19+20+21"</formula>
    </cfRule>
  </conditionalFormatting>
  <conditionalFormatting sqref="N29">
    <cfRule type="expression" dxfId="203" priority="85">
      <formula>#REF! ="30≠24+25+26+27+28+29"</formula>
    </cfRule>
  </conditionalFormatting>
  <conditionalFormatting sqref="N34">
    <cfRule type="expression" dxfId="202" priority="86">
      <formula>#REF! ="35≠14+15+16+17+22+30+31+32+33+34"</formula>
    </cfRule>
  </conditionalFormatting>
  <conditionalFormatting sqref="N45">
    <cfRule type="expression" dxfId="201" priority="87">
      <formula>#REF! ="46≠35+38+39+40+43+45"</formula>
    </cfRule>
  </conditionalFormatting>
  <conditionalFormatting sqref="AC14">
    <cfRule type="expression" dxfId="200" priority="73">
      <formula>#REF! ="14≠11+12+13"</formula>
    </cfRule>
  </conditionalFormatting>
  <conditionalFormatting sqref="AC21">
    <cfRule type="expression" dxfId="199" priority="74">
      <formula>#REF! ="22≠19+20+21"</formula>
    </cfRule>
  </conditionalFormatting>
  <conditionalFormatting sqref="AC29">
    <cfRule type="expression" dxfId="198" priority="75">
      <formula>#REF! ="30≠24+25+26+27+28+29"</formula>
    </cfRule>
  </conditionalFormatting>
  <conditionalFormatting sqref="AC34">
    <cfRule type="expression" dxfId="197" priority="76">
      <formula>#REF! ="35≠14+15+16+17+22+30+31+32+33+34"</formula>
    </cfRule>
  </conditionalFormatting>
  <conditionalFormatting sqref="AC45">
    <cfRule type="expression" dxfId="196" priority="77">
      <formula>#REF! ="46≠35+38+39+40+43+45"</formula>
    </cfRule>
  </conditionalFormatting>
  <conditionalFormatting sqref="AF14">
    <cfRule type="expression" dxfId="195" priority="63">
      <formula>#REF! ="14≠11+12+13"</formula>
    </cfRule>
  </conditionalFormatting>
  <conditionalFormatting sqref="AF21">
    <cfRule type="expression" dxfId="194" priority="64">
      <formula>#REF! ="22≠19+20+21"</formula>
    </cfRule>
  </conditionalFormatting>
  <conditionalFormatting sqref="AF29">
    <cfRule type="expression" dxfId="193" priority="65">
      <formula>#REF! ="30≠24+25+26+27+28+29"</formula>
    </cfRule>
  </conditionalFormatting>
  <conditionalFormatting sqref="AF34">
    <cfRule type="expression" dxfId="192" priority="66">
      <formula>#REF! ="35≠14+15+16+17+22+30+31+32+33+34"</formula>
    </cfRule>
  </conditionalFormatting>
  <conditionalFormatting sqref="AF45">
    <cfRule type="expression" dxfId="191" priority="67">
      <formula>#REF! ="46≠35+38+39+40+43+45"</formula>
    </cfRule>
  </conditionalFormatting>
  <conditionalFormatting sqref="W14">
    <cfRule type="expression" dxfId="190" priority="53">
      <formula>#REF! ="14≠11+12+13"</formula>
    </cfRule>
  </conditionalFormatting>
  <conditionalFormatting sqref="W21">
    <cfRule type="expression" dxfId="189" priority="54">
      <formula>#REF! ="22≠19+20+21"</formula>
    </cfRule>
  </conditionalFormatting>
  <conditionalFormatting sqref="W29">
    <cfRule type="expression" dxfId="188" priority="55">
      <formula>#REF! ="30≠24+25+26+27+28+29"</formula>
    </cfRule>
  </conditionalFormatting>
  <conditionalFormatting sqref="W34">
    <cfRule type="expression" dxfId="187" priority="56">
      <formula>#REF! ="35≠14+15+16+17+22+30+31+32+33+34"</formula>
    </cfRule>
  </conditionalFormatting>
  <conditionalFormatting sqref="W45">
    <cfRule type="expression" dxfId="186" priority="57">
      <formula>#REF! ="46≠35+38+39+40+43+45"</formula>
    </cfRule>
  </conditionalFormatting>
  <conditionalFormatting sqref="AI14">
    <cfRule type="expression" dxfId="185" priority="43">
      <formula>#REF! ="14≠11+12+13"</formula>
    </cfRule>
  </conditionalFormatting>
  <conditionalFormatting sqref="AI21">
    <cfRule type="expression" dxfId="184" priority="44">
      <formula>#REF! ="22≠19+20+21"</formula>
    </cfRule>
  </conditionalFormatting>
  <conditionalFormatting sqref="AI29">
    <cfRule type="expression" dxfId="183" priority="45">
      <formula>#REF! ="30≠24+25+26+27+28+29"</formula>
    </cfRule>
  </conditionalFormatting>
  <conditionalFormatting sqref="AI34">
    <cfRule type="expression" dxfId="182" priority="46">
      <formula>#REF! ="35≠14+15+16+17+22+30+31+32+33+34"</formula>
    </cfRule>
  </conditionalFormatting>
  <conditionalFormatting sqref="AI45">
    <cfRule type="expression" dxfId="181" priority="47">
      <formula>#REF! ="46≠35+38+39+40+43+45"</formula>
    </cfRule>
  </conditionalFormatting>
  <conditionalFormatting sqref="H14">
    <cfRule type="expression" dxfId="180" priority="33">
      <formula>#REF! ="14≠11+12+13"</formula>
    </cfRule>
  </conditionalFormatting>
  <conditionalFormatting sqref="H21">
    <cfRule type="expression" dxfId="179" priority="34">
      <formula>#REF! ="22≠19+20+21"</formula>
    </cfRule>
  </conditionalFormatting>
  <conditionalFormatting sqref="H29">
    <cfRule type="expression" dxfId="178" priority="35">
      <formula>#REF! ="30≠24+25+26+27+28+29"</formula>
    </cfRule>
  </conditionalFormatting>
  <conditionalFormatting sqref="H34">
    <cfRule type="expression" dxfId="177" priority="36">
      <formula>#REF! ="35≠14+15+16+17+22+30+31+32+33+34"</formula>
    </cfRule>
  </conditionalFormatting>
  <conditionalFormatting sqref="H45">
    <cfRule type="expression" dxfId="176" priority="37">
      <formula>#REF! ="46≠35+38+39+40+43+45"</formula>
    </cfRule>
  </conditionalFormatting>
  <conditionalFormatting sqref="Z14">
    <cfRule type="expression" dxfId="175" priority="23">
      <formula>#REF! ="14≠11+12+13"</formula>
    </cfRule>
  </conditionalFormatting>
  <conditionalFormatting sqref="Z21">
    <cfRule type="expression" dxfId="174" priority="24">
      <formula>#REF! ="22≠19+20+21"</formula>
    </cfRule>
  </conditionalFormatting>
  <conditionalFormatting sqref="Z29">
    <cfRule type="expression" dxfId="173" priority="25">
      <formula>#REF! ="30≠24+25+26+27+28+29"</formula>
    </cfRule>
  </conditionalFormatting>
  <conditionalFormatting sqref="Z34">
    <cfRule type="expression" dxfId="172" priority="26">
      <formula>#REF! ="35≠14+15+16+17+22+30+31+32+33+34"</formula>
    </cfRule>
  </conditionalFormatting>
  <conditionalFormatting sqref="Z45">
    <cfRule type="expression" dxfId="171" priority="27">
      <formula>#REF! ="46≠35+38+39+40+43+45"</formula>
    </cfRule>
  </conditionalFormatting>
  <conditionalFormatting sqref="Q14">
    <cfRule type="expression" dxfId="170" priority="13">
      <formula>#REF! ="14≠11+12+13"</formula>
    </cfRule>
  </conditionalFormatting>
  <conditionalFormatting sqref="Q21">
    <cfRule type="expression" dxfId="169" priority="14">
      <formula>#REF! ="22≠19+20+21"</formula>
    </cfRule>
  </conditionalFormatting>
  <conditionalFormatting sqref="Q29">
    <cfRule type="expression" dxfId="168" priority="15">
      <formula>#REF! ="30≠24+25+26+27+28+29"</formula>
    </cfRule>
  </conditionalFormatting>
  <conditionalFormatting sqref="Q34">
    <cfRule type="expression" dxfId="167" priority="16">
      <formula>#REF! ="35≠14+15+16+17+22+30+31+32+33+34"</formula>
    </cfRule>
  </conditionalFormatting>
  <conditionalFormatting sqref="Q45">
    <cfRule type="expression" dxfId="166" priority="17">
      <formula>#REF! ="46≠35+38+39+40+43+45"</formula>
    </cfRule>
  </conditionalFormatting>
  <conditionalFormatting sqref="B14">
    <cfRule type="expression" dxfId="165" priority="3">
      <formula>#REF! ="14≠11+12+13"</formula>
    </cfRule>
  </conditionalFormatting>
  <conditionalFormatting sqref="B21">
    <cfRule type="expression" dxfId="164" priority="4">
      <formula>#REF! ="22≠19+20+21"</formula>
    </cfRule>
  </conditionalFormatting>
  <conditionalFormatting sqref="B29">
    <cfRule type="expression" dxfId="163" priority="5">
      <formula>#REF! ="30≠24+25+26+27+28+29"</formula>
    </cfRule>
  </conditionalFormatting>
  <conditionalFormatting sqref="B34">
    <cfRule type="expression" dxfId="162" priority="6">
      <formula>#REF! ="35≠14+15+16+17+22+30+31+32+33+34"</formula>
    </cfRule>
  </conditionalFormatting>
  <conditionalFormatting sqref="B45">
    <cfRule type="expression" dxfId="161" priority="7">
      <formula>#REF! ="46≠35+38+39+40+43+45"</formula>
    </cfRule>
  </conditionalFormatting>
  <conditionalFormatting sqref="AO29:AP29 L29 U29 F29 O29 AD29 AG29 X29 AJ29 I29 AA29 R29 C29">
    <cfRule type="expression" dxfId="160" priority="1339">
      <formula>#REF! ="30≠24+25+26+27+28+29"</formula>
    </cfRule>
  </conditionalFormatting>
  <conditionalFormatting sqref="AO34:AP34 L34 U34 F34 O34 AD34 AG34 X34 AJ34 I34 AA34 R34 C34 AL34:AM34">
    <cfRule type="expression" dxfId="159" priority="1340">
      <formula>#REF! ="35≠14+15+16+17+22+30+31+32+33+34"</formula>
    </cfRule>
  </conditionalFormatting>
  <conditionalFormatting sqref="AO45:AP45 L45 U45 F45 O45 AD45 AG45 X45 AJ45 I45 AA45 R45 C45 AL45:AM45">
    <cfRule type="expression" dxfId="158" priority="1342">
      <formula>#REF! ="46≠35+38+39+40+43+45"</formula>
    </cfRule>
  </conditionalFormatting>
  <conditionalFormatting sqref="L14 U14 F14 O14 AD14 AG14 X14 AJ14 I14 AA14 R14 C14">
    <cfRule type="expression" dxfId="157" priority="1344">
      <formula>#REF! ="14≠11+12+13"</formula>
    </cfRule>
  </conditionalFormatting>
  <conditionalFormatting sqref="L21 U21 F21 O21 AD21 AG21 X21 AJ21 I21 AA21 R21 C21">
    <cfRule type="expression" dxfId="156" priority="1345">
      <formula>#REF! ="22≠19+20+21"</formula>
    </cfRule>
  </conditionalFormatting>
  <hyperlinks>
    <hyperlink ref="B1" location="Innhold!A1" display="Tilbake" xr:uid="{00000000-0004-0000-1E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32"/>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25" customWidth="1"/>
    <col min="2" max="37" width="11.7109375" style="425" customWidth="1"/>
    <col min="38" max="38" width="15.140625" style="425" customWidth="1"/>
    <col min="39" max="39" width="13" style="425" customWidth="1"/>
    <col min="40" max="40" width="11.7109375" style="425" customWidth="1"/>
    <col min="41" max="42" width="13" style="425" customWidth="1"/>
    <col min="43" max="43" width="11.7109375" style="425" customWidth="1"/>
    <col min="44" max="16384" width="11.42578125" style="425"/>
  </cols>
  <sheetData>
    <row r="1" spans="1:60" ht="20.25" customHeight="1" x14ac:dyDescent="0.3">
      <c r="A1" s="430" t="s">
        <v>174</v>
      </c>
      <c r="B1" s="431" t="s">
        <v>52</v>
      </c>
      <c r="C1" s="432"/>
      <c r="D1" s="432"/>
      <c r="E1" s="432"/>
      <c r="F1" s="432"/>
      <c r="G1" s="432"/>
      <c r="H1" s="432"/>
      <c r="I1" s="432"/>
      <c r="J1" s="432"/>
      <c r="AR1" s="433"/>
    </row>
    <row r="2" spans="1:60" ht="20.100000000000001" customHeight="1" x14ac:dyDescent="0.3">
      <c r="A2" s="430" t="s">
        <v>175</v>
      </c>
      <c r="AR2" s="433"/>
    </row>
    <row r="3" spans="1:60" ht="20.100000000000001" customHeight="1" x14ac:dyDescent="0.3">
      <c r="A3" s="434" t="s">
        <v>176</v>
      </c>
      <c r="B3" s="435"/>
      <c r="C3" s="435"/>
      <c r="D3" s="435"/>
      <c r="E3" s="435"/>
      <c r="F3" s="435"/>
      <c r="G3" s="435"/>
      <c r="H3" s="435"/>
      <c r="I3" s="435"/>
      <c r="J3" s="435"/>
      <c r="AR3" s="436"/>
    </row>
    <row r="4" spans="1:60" ht="18.75" customHeight="1" x14ac:dyDescent="0.25">
      <c r="A4" s="437" t="s">
        <v>422</v>
      </c>
      <c r="B4" s="438"/>
      <c r="C4" s="438"/>
      <c r="D4" s="439"/>
      <c r="E4" s="438"/>
      <c r="F4" s="438"/>
      <c r="G4" s="439"/>
      <c r="H4" s="440"/>
      <c r="I4" s="438"/>
      <c r="J4" s="439"/>
      <c r="K4" s="441"/>
      <c r="L4" s="441"/>
      <c r="M4" s="441"/>
      <c r="N4" s="442"/>
      <c r="O4" s="441"/>
      <c r="P4" s="443"/>
      <c r="Q4" s="442"/>
      <c r="R4" s="441"/>
      <c r="S4" s="443"/>
      <c r="T4" s="442"/>
      <c r="U4" s="441"/>
      <c r="V4" s="443"/>
      <c r="W4" s="442"/>
      <c r="X4" s="441"/>
      <c r="Y4" s="443"/>
      <c r="Z4" s="442"/>
      <c r="AA4" s="441"/>
      <c r="AB4" s="443"/>
      <c r="AC4" s="442"/>
      <c r="AD4" s="441"/>
      <c r="AE4" s="443"/>
      <c r="AF4" s="442"/>
      <c r="AG4" s="441"/>
      <c r="AH4" s="443"/>
      <c r="AI4" s="442"/>
      <c r="AJ4" s="441"/>
      <c r="AK4" s="443"/>
      <c r="AL4" s="442"/>
      <c r="AM4" s="441"/>
      <c r="AN4" s="443"/>
      <c r="AO4" s="442"/>
      <c r="AP4" s="441"/>
      <c r="AQ4" s="443"/>
      <c r="AR4" s="444"/>
      <c r="AS4" s="445"/>
      <c r="AT4" s="445"/>
      <c r="AU4" s="445"/>
      <c r="AV4" s="445"/>
      <c r="AW4" s="445"/>
      <c r="AX4" s="445"/>
      <c r="AY4" s="445"/>
      <c r="AZ4" s="445"/>
      <c r="BA4" s="445"/>
      <c r="BB4" s="445"/>
      <c r="BC4" s="445"/>
      <c r="BD4" s="445"/>
      <c r="BE4" s="445"/>
      <c r="BF4" s="445"/>
      <c r="BG4" s="445"/>
      <c r="BH4" s="445"/>
    </row>
    <row r="5" spans="1:60" ht="18.75" customHeight="1" x14ac:dyDescent="0.3">
      <c r="A5" s="446" t="s">
        <v>102</v>
      </c>
      <c r="B5" s="694" t="s">
        <v>177</v>
      </c>
      <c r="C5" s="695"/>
      <c r="D5" s="696"/>
      <c r="E5" s="694" t="s">
        <v>178</v>
      </c>
      <c r="F5" s="695"/>
      <c r="G5" s="696"/>
      <c r="H5" s="694" t="s">
        <v>179</v>
      </c>
      <c r="I5" s="695"/>
      <c r="J5" s="696"/>
      <c r="K5" s="694" t="s">
        <v>180</v>
      </c>
      <c r="L5" s="695"/>
      <c r="M5" s="696"/>
      <c r="N5" s="694" t="s">
        <v>181</v>
      </c>
      <c r="O5" s="695"/>
      <c r="P5" s="696"/>
      <c r="Q5" s="608" t="s">
        <v>181</v>
      </c>
      <c r="R5" s="609"/>
      <c r="S5" s="610"/>
      <c r="T5" s="694" t="s">
        <v>63</v>
      </c>
      <c r="U5" s="695"/>
      <c r="V5" s="696"/>
      <c r="W5" s="603"/>
      <c r="X5" s="604"/>
      <c r="Y5" s="605"/>
      <c r="Z5" s="694" t="s">
        <v>182</v>
      </c>
      <c r="AA5" s="695"/>
      <c r="AB5" s="696"/>
      <c r="AC5" s="597"/>
      <c r="AD5" s="598"/>
      <c r="AE5" s="599"/>
      <c r="AF5" s="694"/>
      <c r="AG5" s="695"/>
      <c r="AH5" s="696"/>
      <c r="AI5" s="694" t="s">
        <v>73</v>
      </c>
      <c r="AJ5" s="695"/>
      <c r="AK5" s="696"/>
      <c r="AL5" s="694" t="s">
        <v>2</v>
      </c>
      <c r="AM5" s="695"/>
      <c r="AN5" s="696"/>
      <c r="AO5" s="694" t="s">
        <v>2</v>
      </c>
      <c r="AP5" s="695"/>
      <c r="AQ5" s="696"/>
      <c r="AR5" s="447"/>
      <c r="AS5" s="448"/>
      <c r="AT5" s="690"/>
      <c r="AU5" s="690"/>
      <c r="AV5" s="690"/>
      <c r="AW5" s="690"/>
      <c r="AX5" s="690"/>
      <c r="AY5" s="690"/>
      <c r="AZ5" s="690"/>
      <c r="BA5" s="690"/>
      <c r="BB5" s="690"/>
      <c r="BC5" s="690"/>
      <c r="BD5" s="690"/>
      <c r="BE5" s="690"/>
      <c r="BF5" s="690"/>
      <c r="BG5" s="690"/>
      <c r="BH5" s="690"/>
    </row>
    <row r="6" spans="1:60" ht="21" customHeight="1" x14ac:dyDescent="0.3">
      <c r="A6" s="449"/>
      <c r="B6" s="691" t="s">
        <v>183</v>
      </c>
      <c r="C6" s="692"/>
      <c r="D6" s="693"/>
      <c r="E6" s="691" t="s">
        <v>184</v>
      </c>
      <c r="F6" s="692"/>
      <c r="G6" s="693"/>
      <c r="H6" s="691" t="s">
        <v>184</v>
      </c>
      <c r="I6" s="692"/>
      <c r="J6" s="693"/>
      <c r="K6" s="691" t="s">
        <v>185</v>
      </c>
      <c r="L6" s="692"/>
      <c r="M6" s="693"/>
      <c r="N6" s="691" t="s">
        <v>91</v>
      </c>
      <c r="O6" s="692"/>
      <c r="P6" s="693"/>
      <c r="Q6" s="691" t="s">
        <v>63</v>
      </c>
      <c r="R6" s="692"/>
      <c r="S6" s="693"/>
      <c r="T6" s="691" t="s">
        <v>186</v>
      </c>
      <c r="U6" s="692"/>
      <c r="V6" s="693"/>
      <c r="W6" s="691" t="s">
        <v>66</v>
      </c>
      <c r="X6" s="692"/>
      <c r="Y6" s="693"/>
      <c r="Z6" s="691" t="s">
        <v>183</v>
      </c>
      <c r="AA6" s="692"/>
      <c r="AB6" s="693"/>
      <c r="AC6" s="691" t="s">
        <v>72</v>
      </c>
      <c r="AD6" s="692"/>
      <c r="AE6" s="693"/>
      <c r="AF6" s="691" t="s">
        <v>68</v>
      </c>
      <c r="AG6" s="692"/>
      <c r="AH6" s="693"/>
      <c r="AI6" s="691" t="s">
        <v>184</v>
      </c>
      <c r="AJ6" s="692"/>
      <c r="AK6" s="693"/>
      <c r="AL6" s="691" t="s">
        <v>187</v>
      </c>
      <c r="AM6" s="692"/>
      <c r="AN6" s="693"/>
      <c r="AO6" s="691" t="s">
        <v>188</v>
      </c>
      <c r="AP6" s="692"/>
      <c r="AQ6" s="693"/>
      <c r="AR6" s="447"/>
      <c r="AS6" s="448"/>
      <c r="AT6" s="690"/>
      <c r="AU6" s="690"/>
      <c r="AV6" s="690"/>
      <c r="AW6" s="690"/>
      <c r="AX6" s="690"/>
      <c r="AY6" s="690"/>
      <c r="AZ6" s="690"/>
      <c r="BA6" s="690"/>
      <c r="BB6" s="690"/>
      <c r="BC6" s="690"/>
      <c r="BD6" s="690"/>
      <c r="BE6" s="690"/>
      <c r="BF6" s="690"/>
      <c r="BG6" s="690"/>
      <c r="BH6" s="690"/>
    </row>
    <row r="7" spans="1:60" ht="18.75" customHeight="1" x14ac:dyDescent="0.3">
      <c r="A7" s="449"/>
      <c r="B7" s="482"/>
      <c r="C7" s="482"/>
      <c r="D7" s="450" t="s">
        <v>81</v>
      </c>
      <c r="E7" s="482"/>
      <c r="F7" s="482"/>
      <c r="G7" s="450" t="s">
        <v>81</v>
      </c>
      <c r="H7" s="482"/>
      <c r="I7" s="482"/>
      <c r="J7" s="450" t="s">
        <v>81</v>
      </c>
      <c r="K7" s="482"/>
      <c r="L7" s="482"/>
      <c r="M7" s="450" t="s">
        <v>81</v>
      </c>
      <c r="N7" s="482"/>
      <c r="O7" s="482"/>
      <c r="P7" s="450" t="s">
        <v>81</v>
      </c>
      <c r="Q7" s="482"/>
      <c r="R7" s="482"/>
      <c r="S7" s="450" t="s">
        <v>81</v>
      </c>
      <c r="T7" s="482"/>
      <c r="U7" s="482"/>
      <c r="V7" s="450" t="s">
        <v>81</v>
      </c>
      <c r="W7" s="482"/>
      <c r="X7" s="482"/>
      <c r="Y7" s="450" t="s">
        <v>81</v>
      </c>
      <c r="Z7" s="482"/>
      <c r="AA7" s="482"/>
      <c r="AB7" s="450" t="s">
        <v>81</v>
      </c>
      <c r="AC7" s="482"/>
      <c r="AD7" s="482"/>
      <c r="AE7" s="450" t="s">
        <v>81</v>
      </c>
      <c r="AF7" s="482"/>
      <c r="AG7" s="482"/>
      <c r="AH7" s="450" t="s">
        <v>81</v>
      </c>
      <c r="AI7" s="482"/>
      <c r="AJ7" s="482"/>
      <c r="AK7" s="450" t="s">
        <v>81</v>
      </c>
      <c r="AL7" s="482"/>
      <c r="AM7" s="482"/>
      <c r="AN7" s="450" t="s">
        <v>81</v>
      </c>
      <c r="AO7" s="482"/>
      <c r="AP7" s="482"/>
      <c r="AQ7" s="450" t="s">
        <v>81</v>
      </c>
      <c r="AR7" s="447"/>
      <c r="AS7" s="448"/>
      <c r="AT7" s="448"/>
      <c r="AU7" s="448"/>
      <c r="AV7" s="448"/>
      <c r="AW7" s="448"/>
      <c r="AX7" s="448"/>
      <c r="AY7" s="448"/>
      <c r="AZ7" s="448"/>
      <c r="BA7" s="448"/>
      <c r="BB7" s="448"/>
      <c r="BC7" s="448"/>
      <c r="BD7" s="448"/>
      <c r="BE7" s="448"/>
      <c r="BF7" s="448"/>
      <c r="BG7" s="448"/>
      <c r="BH7" s="448"/>
    </row>
    <row r="8" spans="1:60" ht="18.75" customHeight="1" x14ac:dyDescent="0.25">
      <c r="A8" s="415" t="s">
        <v>189</v>
      </c>
      <c r="B8" s="591">
        <v>2018</v>
      </c>
      <c r="C8" s="591">
        <v>2019</v>
      </c>
      <c r="D8" s="416" t="s">
        <v>83</v>
      </c>
      <c r="E8" s="591">
        <v>2018</v>
      </c>
      <c r="F8" s="591">
        <v>2019</v>
      </c>
      <c r="G8" s="416" t="s">
        <v>83</v>
      </c>
      <c r="H8" s="591">
        <v>2018</v>
      </c>
      <c r="I8" s="591">
        <v>2019</v>
      </c>
      <c r="J8" s="416" t="s">
        <v>83</v>
      </c>
      <c r="K8" s="591">
        <v>2018</v>
      </c>
      <c r="L8" s="591">
        <v>2019</v>
      </c>
      <c r="M8" s="416" t="s">
        <v>83</v>
      </c>
      <c r="N8" s="591">
        <v>2018</v>
      </c>
      <c r="O8" s="591">
        <v>2019</v>
      </c>
      <c r="P8" s="416" t="s">
        <v>83</v>
      </c>
      <c r="Q8" s="591">
        <v>2018</v>
      </c>
      <c r="R8" s="591">
        <v>2019</v>
      </c>
      <c r="S8" s="416" t="s">
        <v>83</v>
      </c>
      <c r="T8" s="591">
        <v>2018</v>
      </c>
      <c r="U8" s="591">
        <v>2019</v>
      </c>
      <c r="V8" s="416" t="s">
        <v>83</v>
      </c>
      <c r="W8" s="591">
        <v>2018</v>
      </c>
      <c r="X8" s="591">
        <v>2019</v>
      </c>
      <c r="Y8" s="416" t="s">
        <v>83</v>
      </c>
      <c r="Z8" s="591">
        <v>2018</v>
      </c>
      <c r="AA8" s="591">
        <v>2019</v>
      </c>
      <c r="AB8" s="416" t="s">
        <v>83</v>
      </c>
      <c r="AC8" s="591">
        <v>2018</v>
      </c>
      <c r="AD8" s="591">
        <v>2019</v>
      </c>
      <c r="AE8" s="416" t="s">
        <v>83</v>
      </c>
      <c r="AF8" s="591">
        <v>2018</v>
      </c>
      <c r="AG8" s="591">
        <v>2019</v>
      </c>
      <c r="AH8" s="416" t="s">
        <v>83</v>
      </c>
      <c r="AI8" s="592">
        <v>2018</v>
      </c>
      <c r="AJ8" s="592">
        <v>2019</v>
      </c>
      <c r="AK8" s="416" t="s">
        <v>83</v>
      </c>
      <c r="AL8" s="592">
        <v>2018</v>
      </c>
      <c r="AM8" s="592">
        <v>2019</v>
      </c>
      <c r="AN8" s="416" t="s">
        <v>83</v>
      </c>
      <c r="AO8" s="592">
        <v>2018</v>
      </c>
      <c r="AP8" s="592">
        <v>2019</v>
      </c>
      <c r="AQ8" s="416" t="s">
        <v>83</v>
      </c>
      <c r="AR8" s="447"/>
      <c r="AS8" s="451"/>
      <c r="AT8" s="452"/>
      <c r="AU8" s="452"/>
      <c r="AV8" s="451"/>
      <c r="AW8" s="452"/>
      <c r="AX8" s="452"/>
      <c r="AY8" s="451"/>
      <c r="AZ8" s="452"/>
      <c r="BA8" s="452"/>
      <c r="BB8" s="451"/>
      <c r="BC8" s="452"/>
      <c r="BD8" s="452"/>
      <c r="BE8" s="451"/>
      <c r="BF8" s="452"/>
      <c r="BG8" s="452"/>
      <c r="BH8" s="451"/>
    </row>
    <row r="9" spans="1:60" ht="18.75" customHeight="1" x14ac:dyDescent="0.3">
      <c r="A9" s="417"/>
      <c r="B9" s="383"/>
      <c r="C9" s="384"/>
      <c r="D9" s="384"/>
      <c r="E9" s="383"/>
      <c r="F9" s="384"/>
      <c r="G9" s="384"/>
      <c r="H9" s="383"/>
      <c r="I9" s="384"/>
      <c r="J9" s="384"/>
      <c r="K9" s="387"/>
      <c r="L9" s="385"/>
      <c r="M9" s="385"/>
      <c r="N9" s="607"/>
      <c r="O9" s="386"/>
      <c r="P9" s="338"/>
      <c r="Q9" s="387"/>
      <c r="R9" s="385"/>
      <c r="S9" s="338"/>
      <c r="T9" s="387"/>
      <c r="U9" s="385"/>
      <c r="V9" s="338"/>
      <c r="W9" s="387"/>
      <c r="X9" s="385"/>
      <c r="Y9" s="338"/>
      <c r="Z9" s="387"/>
      <c r="AA9" s="385"/>
      <c r="AB9" s="338"/>
      <c r="AC9" s="387"/>
      <c r="AD9" s="385"/>
      <c r="AE9" s="338"/>
      <c r="AF9" s="387"/>
      <c r="AG9" s="385"/>
      <c r="AH9" s="338"/>
      <c r="AI9" s="387"/>
      <c r="AJ9" s="385"/>
      <c r="AK9" s="338"/>
      <c r="AL9" s="387"/>
      <c r="AM9" s="387"/>
      <c r="AN9" s="338"/>
      <c r="AO9" s="387"/>
      <c r="AP9" s="387"/>
      <c r="AQ9" s="338"/>
      <c r="AR9" s="447"/>
      <c r="AS9" s="447"/>
    </row>
    <row r="10" spans="1:60" s="426" customFormat="1" ht="18.75" customHeight="1" x14ac:dyDescent="0.3">
      <c r="A10" s="418" t="s">
        <v>190</v>
      </c>
      <c r="B10" s="388"/>
      <c r="C10" s="389"/>
      <c r="D10" s="389"/>
      <c r="E10" s="388"/>
      <c r="F10" s="389"/>
      <c r="G10" s="389"/>
      <c r="H10" s="388"/>
      <c r="I10" s="389"/>
      <c r="J10" s="389"/>
      <c r="K10" s="387"/>
      <c r="L10" s="385"/>
      <c r="M10" s="385"/>
      <c r="N10" s="607"/>
      <c r="O10" s="386"/>
      <c r="P10" s="338"/>
      <c r="Q10" s="387"/>
      <c r="R10" s="385"/>
      <c r="S10" s="338"/>
      <c r="T10" s="387"/>
      <c r="U10" s="385"/>
      <c r="V10" s="338"/>
      <c r="W10" s="387"/>
      <c r="X10" s="385"/>
      <c r="Y10" s="338"/>
      <c r="Z10" s="387"/>
      <c r="AA10" s="385"/>
      <c r="AB10" s="338"/>
      <c r="AC10" s="387"/>
      <c r="AD10" s="385"/>
      <c r="AE10" s="338"/>
      <c r="AF10" s="387"/>
      <c r="AG10" s="385"/>
      <c r="AH10" s="338"/>
      <c r="AI10" s="387"/>
      <c r="AJ10" s="385"/>
      <c r="AK10" s="338"/>
      <c r="AL10" s="387"/>
      <c r="AM10" s="387"/>
      <c r="AN10" s="338"/>
      <c r="AO10" s="387"/>
      <c r="AP10" s="387"/>
      <c r="AQ10" s="338"/>
      <c r="AR10" s="453"/>
      <c r="AS10" s="453"/>
    </row>
    <row r="11" spans="1:60" s="426" customFormat="1" ht="18.75" customHeight="1" x14ac:dyDescent="0.3">
      <c r="A11" s="419"/>
      <c r="B11" s="388"/>
      <c r="C11" s="389"/>
      <c r="D11" s="389"/>
      <c r="E11" s="388"/>
      <c r="F11" s="389"/>
      <c r="G11" s="389"/>
      <c r="H11" s="388"/>
      <c r="I11" s="389"/>
      <c r="J11" s="389"/>
      <c r="K11" s="387"/>
      <c r="L11" s="385"/>
      <c r="M11" s="385"/>
      <c r="N11" s="607"/>
      <c r="O11" s="386"/>
      <c r="P11" s="338"/>
      <c r="Q11" s="387"/>
      <c r="R11" s="385"/>
      <c r="S11" s="338"/>
      <c r="T11" s="387"/>
      <c r="U11" s="385"/>
      <c r="V11" s="338"/>
      <c r="W11" s="387"/>
      <c r="X11" s="385"/>
      <c r="Y11" s="338"/>
      <c r="Z11" s="387"/>
      <c r="AA11" s="385"/>
      <c r="AB11" s="338"/>
      <c r="AC11" s="387"/>
      <c r="AD11" s="385"/>
      <c r="AE11" s="338"/>
      <c r="AF11" s="387"/>
      <c r="AG11" s="385"/>
      <c r="AH11" s="338"/>
      <c r="AI11" s="387"/>
      <c r="AJ11" s="385"/>
      <c r="AK11" s="338"/>
      <c r="AL11" s="387"/>
      <c r="AM11" s="387"/>
      <c r="AN11" s="338"/>
      <c r="AO11" s="387"/>
      <c r="AP11" s="387"/>
      <c r="AQ11" s="338"/>
      <c r="AR11" s="453"/>
      <c r="AS11" s="453"/>
    </row>
    <row r="12" spans="1:60" s="426" customFormat="1" ht="20.100000000000001" customHeight="1" x14ac:dyDescent="0.3">
      <c r="A12" s="418" t="s">
        <v>191</v>
      </c>
      <c r="B12" s="390"/>
      <c r="C12" s="391"/>
      <c r="D12" s="391"/>
      <c r="E12" s="390"/>
      <c r="F12" s="391"/>
      <c r="G12" s="391"/>
      <c r="H12" s="390"/>
      <c r="I12" s="391"/>
      <c r="J12" s="391"/>
      <c r="K12" s="387"/>
      <c r="L12" s="385"/>
      <c r="M12" s="385"/>
      <c r="N12" s="607"/>
      <c r="O12" s="386"/>
      <c r="P12" s="338"/>
      <c r="Q12" s="387"/>
      <c r="R12" s="385"/>
      <c r="S12" s="338"/>
      <c r="T12" s="387"/>
      <c r="U12" s="385"/>
      <c r="V12" s="338"/>
      <c r="W12" s="387"/>
      <c r="X12" s="385"/>
      <c r="Y12" s="338"/>
      <c r="Z12" s="387"/>
      <c r="AA12" s="385"/>
      <c r="AB12" s="338"/>
      <c r="AC12" s="387"/>
      <c r="AD12" s="385"/>
      <c r="AE12" s="338"/>
      <c r="AF12" s="387"/>
      <c r="AG12" s="385"/>
      <c r="AH12" s="338"/>
      <c r="AI12" s="387"/>
      <c r="AJ12" s="385"/>
      <c r="AK12" s="338"/>
      <c r="AL12" s="387"/>
      <c r="AM12" s="387"/>
      <c r="AN12" s="338"/>
      <c r="AO12" s="387"/>
      <c r="AP12" s="387"/>
      <c r="AQ12" s="338"/>
      <c r="AR12" s="453"/>
      <c r="AS12" s="453"/>
    </row>
    <row r="13" spans="1:60" s="455" customFormat="1" ht="20.100000000000001" customHeight="1" x14ac:dyDescent="0.3">
      <c r="A13" s="418" t="s">
        <v>192</v>
      </c>
      <c r="B13" s="392"/>
      <c r="C13" s="393"/>
      <c r="D13" s="393"/>
      <c r="E13" s="392"/>
      <c r="F13" s="393"/>
      <c r="G13" s="393"/>
      <c r="H13" s="392"/>
      <c r="I13" s="393"/>
      <c r="J13" s="393"/>
      <c r="K13" s="398"/>
      <c r="L13" s="394"/>
      <c r="M13" s="394"/>
      <c r="N13" s="395"/>
      <c r="O13" s="396"/>
      <c r="P13" s="397"/>
      <c r="Q13" s="398"/>
      <c r="R13" s="394"/>
      <c r="S13" s="397"/>
      <c r="T13" s="398"/>
      <c r="U13" s="394"/>
      <c r="V13" s="397"/>
      <c r="W13" s="398"/>
      <c r="X13" s="394"/>
      <c r="Y13" s="397"/>
      <c r="Z13" s="398"/>
      <c r="AA13" s="394"/>
      <c r="AB13" s="397"/>
      <c r="AC13" s="398"/>
      <c r="AD13" s="394"/>
      <c r="AE13" s="397"/>
      <c r="AF13" s="398"/>
      <c r="AG13" s="394"/>
      <c r="AH13" s="397"/>
      <c r="AI13" s="398"/>
      <c r="AJ13" s="394"/>
      <c r="AK13" s="397"/>
      <c r="AL13" s="398"/>
      <c r="AM13" s="398"/>
      <c r="AN13" s="397"/>
      <c r="AO13" s="398"/>
      <c r="AP13" s="398"/>
      <c r="AQ13" s="397"/>
      <c r="AR13" s="454"/>
      <c r="AS13" s="454"/>
    </row>
    <row r="14" spans="1:60" s="455" customFormat="1" ht="20.100000000000001" customHeight="1" x14ac:dyDescent="0.3">
      <c r="A14" s="420" t="s">
        <v>193</v>
      </c>
      <c r="B14" s="399"/>
      <c r="C14" s="397"/>
      <c r="D14" s="397"/>
      <c r="E14" s="399"/>
      <c r="F14" s="397"/>
      <c r="G14" s="397"/>
      <c r="H14" s="399"/>
      <c r="I14" s="397"/>
      <c r="J14" s="397"/>
      <c r="K14" s="398"/>
      <c r="L14" s="394">
        <v>25.58</v>
      </c>
      <c r="M14" s="385" t="str">
        <f>IF(K14=0, "    ---- ", IF(ABS(ROUND(100/K14*L14-100,1))&lt;999,ROUND(100/K14*L14-100,1),IF(ROUND(100/K14*L14-100,1)&gt;999,999,-999)))</f>
        <v xml:space="preserve">    ---- </v>
      </c>
      <c r="N14" s="395"/>
      <c r="O14" s="396"/>
      <c r="P14" s="397"/>
      <c r="Q14" s="398">
        <v>854.45452875000001</v>
      </c>
      <c r="R14" s="394">
        <v>949.46313574999999</v>
      </c>
      <c r="S14" s="397">
        <f t="shared" ref="S14:S28" si="0">IF(Q14=0, "    ---- ", IF(ABS(ROUND(100/Q14*R14-100,1))&lt;999,ROUND(100/Q14*R14-100,1),IF(ROUND(100/Q14*R14-100,1)&gt;999,999,-999)))</f>
        <v>11.1</v>
      </c>
      <c r="T14" s="398"/>
      <c r="U14" s="394"/>
      <c r="V14" s="397"/>
      <c r="W14" s="398"/>
      <c r="X14" s="394"/>
      <c r="Y14" s="397"/>
      <c r="Z14" s="398"/>
      <c r="AA14" s="394"/>
      <c r="AB14" s="397"/>
      <c r="AC14" s="398"/>
      <c r="AD14" s="394"/>
      <c r="AE14" s="397"/>
      <c r="AF14" s="398">
        <v>1.599</v>
      </c>
      <c r="AG14" s="394"/>
      <c r="AH14" s="397">
        <f t="shared" ref="AH14:AH28" si="1">IF(AF14=0, "    ---- ", IF(ABS(ROUND(100/AF14*AG14-100,1))&lt;999,ROUND(100/AF14*AG14-100,1),IF(ROUND(100/AF14*AG14-100,1)&gt;999,999,-999)))</f>
        <v>-100</v>
      </c>
      <c r="AI14" s="398"/>
      <c r="AJ14" s="394"/>
      <c r="AK14" s="397"/>
      <c r="AL14" s="398">
        <f>B14+E14+H14+K14+Q14+T14+W14+Z14+AF14+AI14</f>
        <v>856.05352875000005</v>
      </c>
      <c r="AM14" s="398">
        <f>C14+F14+I14+L14+R14+U14+X14+AA14+AG14+AJ14</f>
        <v>975.04313575000003</v>
      </c>
      <c r="AN14" s="397">
        <f t="shared" ref="AN14:AN28" si="2">IF(AL14=0, "    ---- ", IF(ABS(ROUND(100/AL14*AM14-100,1))&lt;999,ROUND(100/AL14*AM14-100,1),IF(ROUND(100/AL14*AM14-100,1)&gt;999,999,-999)))</f>
        <v>13.9</v>
      </c>
      <c r="AO14" s="398">
        <f>B14+E14+H14+K14+N14+Q14+T14+W14+Z14+AC14+AF14+AI14</f>
        <v>856.05352875000005</v>
      </c>
      <c r="AP14" s="398">
        <f>C14+F14+I14+L14+O14+R14+U14+X14+AA14+AD14+AG14+AJ14</f>
        <v>975.04313575000003</v>
      </c>
      <c r="AQ14" s="397">
        <f t="shared" ref="AQ14:AQ29" si="3">IF(AO14=0, "    ---- ", IF(ABS(ROUND(100/AO14*AP14-100,1))&lt;999,ROUND(100/AO14*AP14-100,1),IF(ROUND(100/AO14*AP14-100,1)&gt;999,999,-999)))</f>
        <v>13.9</v>
      </c>
      <c r="AR14" s="454"/>
      <c r="AS14" s="454"/>
    </row>
    <row r="15" spans="1:60" s="455" customFormat="1" ht="20.100000000000001" customHeight="1" x14ac:dyDescent="0.3">
      <c r="A15" s="420" t="s">
        <v>194</v>
      </c>
      <c r="B15" s="399"/>
      <c r="C15" s="397"/>
      <c r="D15" s="397"/>
      <c r="E15" s="399">
        <v>61.459000000000003</v>
      </c>
      <c r="F15" s="397">
        <v>704.83</v>
      </c>
      <c r="G15" s="397">
        <f t="shared" ref="G15:G28" si="4">IF(E15=0, "    ---- ", IF(ABS(ROUND(100/E15*F15-100,1))&lt;999,ROUND(100/E15*F15-100,1),IF(ROUND(100/E15*F15-100,1)&gt;999,999,-999)))</f>
        <v>999</v>
      </c>
      <c r="H15" s="399"/>
      <c r="I15" s="397"/>
      <c r="J15" s="397"/>
      <c r="K15" s="398"/>
      <c r="L15" s="394"/>
      <c r="M15" s="394"/>
      <c r="N15" s="395"/>
      <c r="O15" s="396"/>
      <c r="P15" s="397"/>
      <c r="Q15" s="398">
        <v>6623.3599737200002</v>
      </c>
      <c r="R15" s="394">
        <v>7837.10247282</v>
      </c>
      <c r="S15" s="397">
        <f t="shared" si="0"/>
        <v>18.3</v>
      </c>
      <c r="T15" s="398"/>
      <c r="U15" s="394"/>
      <c r="V15" s="397"/>
      <c r="W15" s="398"/>
      <c r="X15" s="394"/>
      <c r="Y15" s="397"/>
      <c r="Z15" s="398">
        <v>1046</v>
      </c>
      <c r="AA15" s="394">
        <v>906</v>
      </c>
      <c r="AB15" s="397">
        <f t="shared" ref="AB15:AB28" si="5">IF(Z15=0, "    ---- ", IF(ABS(ROUND(100/Z15*AA15-100,1))&lt;999,ROUND(100/Z15*AA15-100,1),IF(ROUND(100/Z15*AA15-100,1)&gt;999,999,-999)))</f>
        <v>-13.4</v>
      </c>
      <c r="AC15" s="398"/>
      <c r="AD15" s="394"/>
      <c r="AE15" s="397"/>
      <c r="AF15" s="398">
        <v>1233.086</v>
      </c>
      <c r="AG15" s="394">
        <v>2597.172</v>
      </c>
      <c r="AH15" s="397">
        <f t="shared" si="1"/>
        <v>110.6</v>
      </c>
      <c r="AI15" s="398">
        <v>12657.5</v>
      </c>
      <c r="AJ15" s="394">
        <v>12692</v>
      </c>
      <c r="AK15" s="397">
        <f t="shared" ref="AK15:AK28" si="6">IF(AI15=0, "    ---- ", IF(ABS(ROUND(100/AI15*AJ15-100,1))&lt;999,ROUND(100/AI15*AJ15-100,1),IF(ROUND(100/AI15*AJ15-100,1)&gt;999,999,-999)))</f>
        <v>0.3</v>
      </c>
      <c r="AL15" s="398">
        <f t="shared" ref="AL15:AM29" si="7">B15+E15+H15+K15+Q15+T15+W15+Z15+AF15+AI15</f>
        <v>21621.40497372</v>
      </c>
      <c r="AM15" s="398">
        <f t="shared" si="7"/>
        <v>24737.10447282</v>
      </c>
      <c r="AN15" s="397">
        <f t="shared" si="2"/>
        <v>14.4</v>
      </c>
      <c r="AO15" s="398">
        <f t="shared" ref="AO15:AP29" si="8">B15+E15+H15+K15+N15+Q15+T15+W15+Z15+AC15+AF15+AI15</f>
        <v>21621.40497372</v>
      </c>
      <c r="AP15" s="398">
        <f t="shared" si="8"/>
        <v>24737.10447282</v>
      </c>
      <c r="AQ15" s="397">
        <f t="shared" si="3"/>
        <v>14.4</v>
      </c>
      <c r="AR15" s="454"/>
      <c r="AS15" s="454"/>
    </row>
    <row r="16" spans="1:60" s="455" customFormat="1" ht="20.100000000000001" customHeight="1" x14ac:dyDescent="0.3">
      <c r="A16" s="420" t="s">
        <v>195</v>
      </c>
      <c r="B16" s="399"/>
      <c r="C16" s="397"/>
      <c r="D16" s="397"/>
      <c r="E16" s="399">
        <f>SUM(E17+E19)</f>
        <v>2565.085</v>
      </c>
      <c r="F16" s="397">
        <f>SUM(F17+F19)</f>
        <v>5124.5329999999994</v>
      </c>
      <c r="G16" s="397">
        <f t="shared" si="4"/>
        <v>99.8</v>
      </c>
      <c r="H16" s="399">
        <f>SUM(H17+H19)</f>
        <v>34.524999999999999</v>
      </c>
      <c r="I16" s="397">
        <f>SUM(I17+I19)</f>
        <v>50.2</v>
      </c>
      <c r="J16" s="397">
        <f t="shared" ref="J16:J18" si="9">IF(H16=0, "    ---- ", IF(ABS(ROUND(100/H16*I16-100,1))&lt;999,ROUND(100/H16*I16-100,1),IF(ROUND(100/H16*I16-100,1)&gt;999,999,-999)))</f>
        <v>45.4</v>
      </c>
      <c r="K16" s="398"/>
      <c r="L16" s="394">
        <f>SUM(L17+L19)</f>
        <v>234.26599999999999</v>
      </c>
      <c r="M16" s="385" t="str">
        <f>IF(K16=0, "    ---- ", IF(ABS(ROUND(100/K16*L16-100,1))&lt;999,ROUND(100/K16*L16-100,1),IF(ROUND(100/K16*L16-100,1)&gt;999,999,-999)))</f>
        <v xml:space="preserve">    ---- </v>
      </c>
      <c r="N16" s="395"/>
      <c r="O16" s="396"/>
      <c r="P16" s="397"/>
      <c r="Q16" s="398">
        <f>SUM(Q17+Q19)</f>
        <v>17789.346053789999</v>
      </c>
      <c r="R16" s="394">
        <v>18273.16146503</v>
      </c>
      <c r="S16" s="397">
        <f t="shared" si="0"/>
        <v>2.7</v>
      </c>
      <c r="T16" s="398">
        <f>SUM(T17+T19)</f>
        <v>229.6</v>
      </c>
      <c r="U16" s="394">
        <f>SUM(U17+U19)</f>
        <v>246.7</v>
      </c>
      <c r="V16" s="338">
        <f t="shared" ref="V16" si="10">IF(T16=0, "    ---- ", IF(ABS(ROUND(100/T16*U16-100,1))&lt;999,ROUND(100/T16*U16-100,1),IF(ROUND(100/T16*U16-100,1)&gt;999,999,-999)))</f>
        <v>7.4</v>
      </c>
      <c r="W16" s="398"/>
      <c r="X16" s="394"/>
      <c r="Y16" s="397"/>
      <c r="Z16" s="398">
        <f>SUM(Z17+Z19)</f>
        <v>4517</v>
      </c>
      <c r="AA16" s="394">
        <f>SUM(AA17+AA19)</f>
        <v>4544</v>
      </c>
      <c r="AB16" s="397">
        <f t="shared" si="5"/>
        <v>0.6</v>
      </c>
      <c r="AC16" s="398"/>
      <c r="AD16" s="394"/>
      <c r="AE16" s="397"/>
      <c r="AF16" s="398">
        <f>SUM(AF17+AF19)</f>
        <v>1241.701</v>
      </c>
      <c r="AG16" s="394">
        <f>SUM(AG17+AG19)</f>
        <v>1177.7549999999999</v>
      </c>
      <c r="AH16" s="397">
        <f t="shared" si="1"/>
        <v>-5.0999999999999996</v>
      </c>
      <c r="AI16" s="398">
        <f>SUM(AI17+AI19)</f>
        <v>3505.5</v>
      </c>
      <c r="AJ16" s="394">
        <f>SUM(AJ17+AJ19)</f>
        <v>7932</v>
      </c>
      <c r="AK16" s="397">
        <f t="shared" si="6"/>
        <v>126.3</v>
      </c>
      <c r="AL16" s="398">
        <f t="shared" si="7"/>
        <v>29882.757053789999</v>
      </c>
      <c r="AM16" s="398">
        <f t="shared" si="7"/>
        <v>37582.615465030001</v>
      </c>
      <c r="AN16" s="397">
        <f t="shared" si="2"/>
        <v>25.8</v>
      </c>
      <c r="AO16" s="398">
        <f t="shared" si="8"/>
        <v>29882.757053789999</v>
      </c>
      <c r="AP16" s="398">
        <f t="shared" si="8"/>
        <v>37582.615465030001</v>
      </c>
      <c r="AQ16" s="397">
        <f t="shared" si="3"/>
        <v>25.8</v>
      </c>
      <c r="AR16" s="454"/>
      <c r="AS16" s="454"/>
    </row>
    <row r="17" spans="1:46" s="455" customFormat="1" ht="20.100000000000001" customHeight="1" x14ac:dyDescent="0.3">
      <c r="A17" s="420" t="s">
        <v>196</v>
      </c>
      <c r="B17" s="399"/>
      <c r="C17" s="397"/>
      <c r="D17" s="397"/>
      <c r="E17" s="399">
        <v>732.87199999999996</v>
      </c>
      <c r="F17" s="397">
        <v>2695.107</v>
      </c>
      <c r="G17" s="397">
        <f t="shared" si="4"/>
        <v>267.7</v>
      </c>
      <c r="H17" s="399">
        <v>34.524999999999999</v>
      </c>
      <c r="I17" s="397">
        <v>50.2</v>
      </c>
      <c r="J17" s="397">
        <f t="shared" si="9"/>
        <v>45.4</v>
      </c>
      <c r="K17" s="398"/>
      <c r="L17" s="394"/>
      <c r="M17" s="394"/>
      <c r="N17" s="395"/>
      <c r="O17" s="396"/>
      <c r="P17" s="397"/>
      <c r="Q17" s="398">
        <v>6799.1530381899993</v>
      </c>
      <c r="R17" s="394">
        <v>7384.1698718900006</v>
      </c>
      <c r="S17" s="397">
        <f t="shared" si="0"/>
        <v>8.6</v>
      </c>
      <c r="T17" s="398"/>
      <c r="U17" s="394"/>
      <c r="V17" s="397"/>
      <c r="W17" s="398"/>
      <c r="X17" s="394"/>
      <c r="Y17" s="397"/>
      <c r="Z17" s="398">
        <v>172</v>
      </c>
      <c r="AA17" s="394">
        <v>94</v>
      </c>
      <c r="AB17" s="397">
        <f t="shared" si="5"/>
        <v>-45.3</v>
      </c>
      <c r="AC17" s="398"/>
      <c r="AD17" s="394"/>
      <c r="AE17" s="397"/>
      <c r="AF17" s="398">
        <v>129.81</v>
      </c>
      <c r="AG17" s="394">
        <v>92.435000000000002</v>
      </c>
      <c r="AH17" s="397">
        <f t="shared" si="1"/>
        <v>-28.8</v>
      </c>
      <c r="AI17" s="398"/>
      <c r="AJ17" s="394"/>
      <c r="AK17" s="397"/>
      <c r="AL17" s="398">
        <f t="shared" si="7"/>
        <v>7868.3600381899996</v>
      </c>
      <c r="AM17" s="398">
        <f t="shared" si="7"/>
        <v>10315.911871890001</v>
      </c>
      <c r="AN17" s="397">
        <f t="shared" si="2"/>
        <v>31.1</v>
      </c>
      <c r="AO17" s="398">
        <f t="shared" si="8"/>
        <v>7868.3600381899996</v>
      </c>
      <c r="AP17" s="398">
        <f t="shared" si="8"/>
        <v>10315.911871890001</v>
      </c>
      <c r="AQ17" s="397">
        <f t="shared" si="3"/>
        <v>31.1</v>
      </c>
      <c r="AR17" s="454"/>
      <c r="AS17" s="454"/>
    </row>
    <row r="18" spans="1:46" s="455" customFormat="1" ht="20.100000000000001" customHeight="1" x14ac:dyDescent="0.3">
      <c r="A18" s="420" t="s">
        <v>197</v>
      </c>
      <c r="B18" s="399"/>
      <c r="C18" s="397"/>
      <c r="D18" s="397"/>
      <c r="E18" s="399">
        <v>732.87199999999996</v>
      </c>
      <c r="F18" s="397">
        <v>2695.107</v>
      </c>
      <c r="G18" s="397">
        <f t="shared" si="4"/>
        <v>267.7</v>
      </c>
      <c r="H18" s="399">
        <v>34.524999999999999</v>
      </c>
      <c r="I18" s="397">
        <v>50.2</v>
      </c>
      <c r="J18" s="397">
        <f t="shared" si="9"/>
        <v>45.4</v>
      </c>
      <c r="K18" s="398"/>
      <c r="L18" s="394"/>
      <c r="M18" s="394"/>
      <c r="N18" s="395"/>
      <c r="O18" s="396"/>
      <c r="P18" s="397"/>
      <c r="Q18" s="398">
        <v>6799.1530381899993</v>
      </c>
      <c r="R18" s="394">
        <v>7384.1698718900006</v>
      </c>
      <c r="S18" s="397">
        <f t="shared" si="0"/>
        <v>8.6</v>
      </c>
      <c r="T18" s="398"/>
      <c r="U18" s="394"/>
      <c r="V18" s="397"/>
      <c r="W18" s="398"/>
      <c r="X18" s="394"/>
      <c r="Y18" s="397"/>
      <c r="Z18" s="398"/>
      <c r="AA18" s="394"/>
      <c r="AB18" s="397"/>
      <c r="AC18" s="398"/>
      <c r="AD18" s="394"/>
      <c r="AE18" s="397"/>
      <c r="AF18" s="398">
        <v>27.982816620000033</v>
      </c>
      <c r="AG18" s="394">
        <v>16.490183389999672</v>
      </c>
      <c r="AH18" s="397">
        <f t="shared" si="1"/>
        <v>-41.1</v>
      </c>
      <c r="AI18" s="398"/>
      <c r="AJ18" s="394"/>
      <c r="AK18" s="397"/>
      <c r="AL18" s="398">
        <f t="shared" si="7"/>
        <v>7594.5328548099997</v>
      </c>
      <c r="AM18" s="398">
        <f t="shared" si="7"/>
        <v>10145.967055280002</v>
      </c>
      <c r="AN18" s="397">
        <f t="shared" si="2"/>
        <v>33.6</v>
      </c>
      <c r="AO18" s="398">
        <f t="shared" si="8"/>
        <v>7594.5328548099997</v>
      </c>
      <c r="AP18" s="398">
        <f t="shared" si="8"/>
        <v>10145.967055280002</v>
      </c>
      <c r="AQ18" s="397">
        <f t="shared" si="3"/>
        <v>33.6</v>
      </c>
      <c r="AR18" s="454"/>
      <c r="AS18" s="454"/>
    </row>
    <row r="19" spans="1:46" s="455" customFormat="1" ht="20.100000000000001" customHeight="1" x14ac:dyDescent="0.3">
      <c r="A19" s="420" t="s">
        <v>198</v>
      </c>
      <c r="B19" s="399"/>
      <c r="C19" s="397"/>
      <c r="D19" s="397"/>
      <c r="E19" s="399">
        <v>1832.213</v>
      </c>
      <c r="F19" s="397">
        <v>2429.4259999999999</v>
      </c>
      <c r="G19" s="397">
        <f t="shared" si="4"/>
        <v>32.6</v>
      </c>
      <c r="H19" s="399"/>
      <c r="I19" s="397"/>
      <c r="J19" s="397"/>
      <c r="K19" s="398"/>
      <c r="L19" s="394">
        <v>234.26599999999999</v>
      </c>
      <c r="M19" s="385" t="str">
        <f>IF(K19=0, "    ---- ", IF(ABS(ROUND(100/K19*L19-100,1))&lt;999,ROUND(100/K19*L19-100,1),IF(ROUND(100/K19*L19-100,1)&gt;999,999,-999)))</f>
        <v xml:space="preserve">    ---- </v>
      </c>
      <c r="N19" s="395"/>
      <c r="O19" s="396"/>
      <c r="P19" s="397"/>
      <c r="Q19" s="398">
        <v>10990.1930156</v>
      </c>
      <c r="R19" s="394">
        <v>10888.991593139999</v>
      </c>
      <c r="S19" s="397">
        <f t="shared" si="0"/>
        <v>-0.9</v>
      </c>
      <c r="T19" s="398">
        <v>229.6</v>
      </c>
      <c r="U19" s="394">
        <v>246.7</v>
      </c>
      <c r="V19" s="397"/>
      <c r="W19" s="398"/>
      <c r="X19" s="394"/>
      <c r="Y19" s="397"/>
      <c r="Z19" s="398">
        <v>4345</v>
      </c>
      <c r="AA19" s="394">
        <v>4450</v>
      </c>
      <c r="AB19" s="397">
        <f t="shared" si="5"/>
        <v>2.4</v>
      </c>
      <c r="AC19" s="398"/>
      <c r="AD19" s="394"/>
      <c r="AE19" s="397"/>
      <c r="AF19" s="398">
        <v>1111.8910000000001</v>
      </c>
      <c r="AG19" s="394">
        <v>1085.32</v>
      </c>
      <c r="AH19" s="397">
        <f t="shared" si="1"/>
        <v>-2.4</v>
      </c>
      <c r="AI19" s="398">
        <f>3243.5+1+261</f>
        <v>3505.5</v>
      </c>
      <c r="AJ19" s="394">
        <f>1+7592+339</f>
        <v>7932</v>
      </c>
      <c r="AK19" s="397">
        <f t="shared" si="6"/>
        <v>126.3</v>
      </c>
      <c r="AL19" s="398">
        <f t="shared" si="7"/>
        <v>22014.3970156</v>
      </c>
      <c r="AM19" s="398">
        <f t="shared" si="7"/>
        <v>27266.703593139999</v>
      </c>
      <c r="AN19" s="397">
        <f t="shared" si="2"/>
        <v>23.9</v>
      </c>
      <c r="AO19" s="398">
        <f t="shared" si="8"/>
        <v>22014.3970156</v>
      </c>
      <c r="AP19" s="398">
        <f t="shared" si="8"/>
        <v>27266.703593139999</v>
      </c>
      <c r="AQ19" s="397">
        <f t="shared" si="3"/>
        <v>23.9</v>
      </c>
      <c r="AR19" s="454"/>
      <c r="AS19" s="454"/>
    </row>
    <row r="20" spans="1:46" s="455" customFormat="1" ht="20.100000000000001" customHeight="1" x14ac:dyDescent="0.3">
      <c r="A20" s="420" t="s">
        <v>199</v>
      </c>
      <c r="B20" s="399">
        <f>SUM(B21:B25)</f>
        <v>236.56299999999999</v>
      </c>
      <c r="C20" s="397">
        <f>SUM(C21:C25)</f>
        <v>250.92400000000001</v>
      </c>
      <c r="D20" s="397">
        <f>IF(B20=0, "    ---- ", IF(ABS(ROUND(100/B20*C20-100,1))&lt;999,ROUND(100/B20*C20-100,1),IF(ROUND(100/B20*C20-100,1)&gt;999,999,-999)))</f>
        <v>6.1</v>
      </c>
      <c r="E20" s="399">
        <f>SUM(E21:E25)</f>
        <v>28336.289000000001</v>
      </c>
      <c r="F20" s="397">
        <f>SUM(F21:F25)</f>
        <v>25715.652000000002</v>
      </c>
      <c r="G20" s="397">
        <f t="shared" si="4"/>
        <v>-9.1999999999999993</v>
      </c>
      <c r="H20" s="399">
        <f>SUM(H21:H25)</f>
        <v>152.524</v>
      </c>
      <c r="I20" s="397">
        <f>SUM(I21:I25)</f>
        <v>209</v>
      </c>
      <c r="J20" s="397">
        <f t="shared" ref="J20:J28" si="11">IF(H20=0, "    ---- ", IF(ABS(ROUND(100/H20*I20-100,1))&lt;999,ROUND(100/H20*I20-100,1),IF(ROUND(100/H20*I20-100,1)&gt;999,999,-999)))</f>
        <v>37</v>
      </c>
      <c r="K20" s="398">
        <f>SUM(K21:K25)</f>
        <v>995.4</v>
      </c>
      <c r="L20" s="394">
        <f>SUM(L21:L25)</f>
        <v>736.67700000000002</v>
      </c>
      <c r="M20" s="394">
        <f t="shared" ref="M20:M28" si="12">IF(K20=0, "    ---- ", IF(ABS(ROUND(100/K20*L20-100,1))&lt;999,ROUND(100/K20*L20-100,1),IF(ROUND(100/K20*L20-100,1)&gt;999,999,-999)))</f>
        <v>-26</v>
      </c>
      <c r="N20" s="395"/>
      <c r="O20" s="396"/>
      <c r="P20" s="397" t="str">
        <f t="shared" ref="P20" si="13">IF(N20=0, "    ---- ", IF(ABS(ROUND(100/N20*O20-100,1))&lt;999,ROUND(100/N20*O20-100,1),IF(ROUND(100/N20*O20-100,1)&gt;999,999,-999)))</f>
        <v xml:space="preserve">    ---- </v>
      </c>
      <c r="Q20" s="398">
        <f>SUM(Q21:Q25)</f>
        <v>12123.15647726</v>
      </c>
      <c r="R20" s="394">
        <v>14555.415112459999</v>
      </c>
      <c r="S20" s="397">
        <f t="shared" si="0"/>
        <v>20.100000000000001</v>
      </c>
      <c r="T20" s="398">
        <f>SUM(T21:T25)</f>
        <v>268.89999999999998</v>
      </c>
      <c r="U20" s="394">
        <f>SUM(U21:U25)</f>
        <v>240.2</v>
      </c>
      <c r="V20" s="397">
        <f t="shared" ref="V20:V28" si="14">IF(T20=0, "    ---- ", IF(ABS(ROUND(100/T20*U20-100,1))&lt;999,ROUND(100/T20*U20-100,1),IF(ROUND(100/T20*U20-100,1)&gt;999,999,-999)))</f>
        <v>-10.7</v>
      </c>
      <c r="W20" s="398">
        <f>SUM(W21:W25)</f>
        <v>9865.92</v>
      </c>
      <c r="X20" s="394">
        <f>SUM(X21:X25)</f>
        <v>10626.09</v>
      </c>
      <c r="Y20" s="397">
        <f t="shared" ref="Y20:Y28" si="15">IF(W20=0, "    ---- ", IF(ABS(ROUND(100/W20*X20-100,1))&lt;999,ROUND(100/W20*X20-100,1),IF(ROUND(100/W20*X20-100,1)&gt;999,999,-999)))</f>
        <v>7.7</v>
      </c>
      <c r="Z20" s="398">
        <f>SUM(Z21:Z25)</f>
        <v>3349</v>
      </c>
      <c r="AA20" s="394">
        <f>SUM(AA21:AA25)</f>
        <v>3734</v>
      </c>
      <c r="AB20" s="397">
        <f t="shared" si="5"/>
        <v>11.5</v>
      </c>
      <c r="AC20" s="398"/>
      <c r="AD20" s="394"/>
      <c r="AE20" s="338"/>
      <c r="AF20" s="398">
        <f>SUM(AF21:AF25)</f>
        <v>3528.5520000000001</v>
      </c>
      <c r="AG20" s="394">
        <f>SUM(AG21:AG25)</f>
        <v>3501.8</v>
      </c>
      <c r="AH20" s="397">
        <f t="shared" si="1"/>
        <v>-0.8</v>
      </c>
      <c r="AI20" s="398">
        <f>SUM(AI21:AI25)</f>
        <v>16494.400000000001</v>
      </c>
      <c r="AJ20" s="394">
        <f>SUM(AJ21:AJ25)</f>
        <v>12283</v>
      </c>
      <c r="AK20" s="397">
        <f t="shared" si="6"/>
        <v>-25.5</v>
      </c>
      <c r="AL20" s="398">
        <f t="shared" si="7"/>
        <v>75350.704477260006</v>
      </c>
      <c r="AM20" s="398">
        <f t="shared" si="7"/>
        <v>71852.758112459996</v>
      </c>
      <c r="AN20" s="397">
        <f t="shared" si="2"/>
        <v>-4.5999999999999996</v>
      </c>
      <c r="AO20" s="398">
        <f t="shared" si="8"/>
        <v>75350.704477260006</v>
      </c>
      <c r="AP20" s="398">
        <f t="shared" si="8"/>
        <v>71852.758112459996</v>
      </c>
      <c r="AQ20" s="397">
        <f t="shared" si="3"/>
        <v>-4.5999999999999996</v>
      </c>
      <c r="AR20" s="454"/>
      <c r="AS20" s="454"/>
    </row>
    <row r="21" spans="1:46" s="455" customFormat="1" ht="20.100000000000001" customHeight="1" x14ac:dyDescent="0.3">
      <c r="A21" s="420" t="s">
        <v>200</v>
      </c>
      <c r="B21" s="399">
        <v>5.78</v>
      </c>
      <c r="C21" s="397">
        <v>5.8570000000000002</v>
      </c>
      <c r="D21" s="397">
        <f>IF(B21=0, "    ---- ", IF(ABS(ROUND(100/B21*C21-100,1))&lt;999,ROUND(100/B21*C21-100,1),IF(ROUND(100/B21*C21-100,1)&gt;999,999,-999)))</f>
        <v>1.3</v>
      </c>
      <c r="E21" s="399">
        <v>1091.1489999999999</v>
      </c>
      <c r="F21" s="397">
        <v>134.523</v>
      </c>
      <c r="G21" s="397">
        <f t="shared" si="4"/>
        <v>-87.7</v>
      </c>
      <c r="H21" s="399">
        <v>21.603000000000002</v>
      </c>
      <c r="I21" s="397">
        <v>23.9</v>
      </c>
      <c r="J21" s="397">
        <f t="shared" si="11"/>
        <v>10.6</v>
      </c>
      <c r="K21" s="398">
        <v>53.7</v>
      </c>
      <c r="L21" s="394">
        <v>18.550999999999998</v>
      </c>
      <c r="M21" s="394">
        <f t="shared" si="12"/>
        <v>-65.5</v>
      </c>
      <c r="N21" s="395"/>
      <c r="O21" s="396"/>
      <c r="P21" s="397"/>
      <c r="Q21" s="398">
        <v>472.73110844999997</v>
      </c>
      <c r="R21" s="394">
        <v>5.2555584500000005</v>
      </c>
      <c r="S21" s="397">
        <f t="shared" si="0"/>
        <v>-98.9</v>
      </c>
      <c r="T21" s="398">
        <v>266.2</v>
      </c>
      <c r="U21" s="394">
        <v>217.1</v>
      </c>
      <c r="V21" s="397">
        <f t="shared" si="14"/>
        <v>-18.399999999999999</v>
      </c>
      <c r="W21" s="398">
        <v>0</v>
      </c>
      <c r="X21" s="394">
        <v>0</v>
      </c>
      <c r="Y21" s="397" t="str">
        <f t="shared" si="15"/>
        <v xml:space="preserve">    ---- </v>
      </c>
      <c r="Z21" s="398">
        <v>1572</v>
      </c>
      <c r="AA21" s="394">
        <v>1982</v>
      </c>
      <c r="AB21" s="338">
        <f>IF(Z21=0, "    ---- ", IF(ABS(ROUND(100/Z21*AA21-100,1))&lt;999,ROUND(100/Z21*AA21-100,1),IF(ROUND(100/Z21*AA21-100,1)&gt;999,999,-999)))</f>
        <v>26.1</v>
      </c>
      <c r="AC21" s="398"/>
      <c r="AD21" s="394"/>
      <c r="AE21" s="397"/>
      <c r="AF21" s="398">
        <v>0.52700000000000002</v>
      </c>
      <c r="AG21" s="394">
        <v>0.48899999999999999</v>
      </c>
      <c r="AH21" s="397">
        <f t="shared" si="1"/>
        <v>-7.2</v>
      </c>
      <c r="AI21" s="398">
        <v>19.7</v>
      </c>
      <c r="AJ21" s="394">
        <v>15</v>
      </c>
      <c r="AK21" s="397">
        <f t="shared" si="6"/>
        <v>-23.9</v>
      </c>
      <c r="AL21" s="398">
        <f t="shared" si="7"/>
        <v>3503.3901084499998</v>
      </c>
      <c r="AM21" s="398">
        <f t="shared" si="7"/>
        <v>2402.6755584500002</v>
      </c>
      <c r="AN21" s="397">
        <f t="shared" si="2"/>
        <v>-31.4</v>
      </c>
      <c r="AO21" s="398">
        <f t="shared" si="8"/>
        <v>3503.3901084499998</v>
      </c>
      <c r="AP21" s="398">
        <f t="shared" si="8"/>
        <v>2402.6755584500002</v>
      </c>
      <c r="AQ21" s="397">
        <f t="shared" si="3"/>
        <v>-31.4</v>
      </c>
      <c r="AR21" s="454"/>
      <c r="AS21" s="454"/>
    </row>
    <row r="22" spans="1:46" s="455" customFormat="1" ht="20.100000000000001" customHeight="1" x14ac:dyDescent="0.3">
      <c r="A22" s="420" t="s">
        <v>201</v>
      </c>
      <c r="B22" s="399">
        <v>230.78299999999999</v>
      </c>
      <c r="C22" s="397">
        <v>245.06700000000001</v>
      </c>
      <c r="D22" s="397">
        <f>IF(B22=0, "    ---- ", IF(ABS(ROUND(100/B22*C22-100,1))&lt;999,ROUND(100/B22*C22-100,1),IF(ROUND(100/B22*C22-100,1)&gt;999,999,-999)))</f>
        <v>6.2</v>
      </c>
      <c r="E22" s="399">
        <v>27199.439999999999</v>
      </c>
      <c r="F22" s="397">
        <v>25551.031999999999</v>
      </c>
      <c r="G22" s="397">
        <f t="shared" si="4"/>
        <v>-6.1</v>
      </c>
      <c r="H22" s="399">
        <v>106.68600000000001</v>
      </c>
      <c r="I22" s="397">
        <v>153</v>
      </c>
      <c r="J22" s="397">
        <f t="shared" si="11"/>
        <v>43.4</v>
      </c>
      <c r="K22" s="398">
        <v>843.4</v>
      </c>
      <c r="L22" s="394">
        <v>718.12599999999998</v>
      </c>
      <c r="M22" s="394">
        <f t="shared" si="12"/>
        <v>-14.9</v>
      </c>
      <c r="N22" s="395"/>
      <c r="O22" s="396"/>
      <c r="P22" s="397"/>
      <c r="Q22" s="398">
        <v>9924.8726540900007</v>
      </c>
      <c r="R22" s="394">
        <v>11610.24066336</v>
      </c>
      <c r="S22" s="397">
        <f t="shared" si="0"/>
        <v>17</v>
      </c>
      <c r="T22" s="398"/>
      <c r="U22" s="394"/>
      <c r="V22" s="397"/>
      <c r="W22" s="398">
        <v>9865.6</v>
      </c>
      <c r="X22" s="394">
        <v>10625.82</v>
      </c>
      <c r="Y22" s="397">
        <f t="shared" si="15"/>
        <v>7.7</v>
      </c>
      <c r="Z22" s="398">
        <v>1769</v>
      </c>
      <c r="AA22" s="394">
        <v>1773</v>
      </c>
      <c r="AB22" s="397">
        <f t="shared" si="5"/>
        <v>0.2</v>
      </c>
      <c r="AC22" s="398"/>
      <c r="AD22" s="394"/>
      <c r="AE22" s="397"/>
      <c r="AF22" s="398">
        <v>3167.2040000000002</v>
      </c>
      <c r="AG22" s="394">
        <v>3029.0509999999999</v>
      </c>
      <c r="AH22" s="397">
        <f t="shared" si="1"/>
        <v>-4.4000000000000004</v>
      </c>
      <c r="AI22" s="398">
        <v>15567</v>
      </c>
      <c r="AJ22" s="394">
        <v>11174</v>
      </c>
      <c r="AK22" s="397">
        <f t="shared" si="6"/>
        <v>-28.2</v>
      </c>
      <c r="AL22" s="398">
        <f t="shared" si="7"/>
        <v>68673.985654090007</v>
      </c>
      <c r="AM22" s="398">
        <f t="shared" si="7"/>
        <v>64879.336663359994</v>
      </c>
      <c r="AN22" s="397">
        <f t="shared" si="2"/>
        <v>-5.5</v>
      </c>
      <c r="AO22" s="398">
        <f t="shared" si="8"/>
        <v>68673.985654090007</v>
      </c>
      <c r="AP22" s="398">
        <f t="shared" si="8"/>
        <v>64879.336663359994</v>
      </c>
      <c r="AQ22" s="397">
        <f t="shared" si="3"/>
        <v>-5.5</v>
      </c>
      <c r="AR22" s="454"/>
      <c r="AS22" s="454"/>
    </row>
    <row r="23" spans="1:46" s="455" customFormat="1" ht="20.100000000000001" customHeight="1" x14ac:dyDescent="0.3">
      <c r="A23" s="420" t="s">
        <v>202</v>
      </c>
      <c r="B23" s="399"/>
      <c r="C23" s="397"/>
      <c r="D23" s="397"/>
      <c r="E23" s="399">
        <v>25.343</v>
      </c>
      <c r="F23" s="397">
        <v>9.8940000000000001</v>
      </c>
      <c r="G23" s="397">
        <f t="shared" si="4"/>
        <v>-61</v>
      </c>
      <c r="H23" s="399"/>
      <c r="I23" s="397"/>
      <c r="J23" s="397"/>
      <c r="K23" s="398"/>
      <c r="L23" s="394"/>
      <c r="M23" s="394"/>
      <c r="N23" s="395"/>
      <c r="O23" s="396"/>
      <c r="P23" s="397"/>
      <c r="Q23" s="398">
        <v>1250.76534726</v>
      </c>
      <c r="R23" s="394">
        <v>2036.7156200899999</v>
      </c>
      <c r="S23" s="397">
        <f t="shared" si="0"/>
        <v>62.8</v>
      </c>
      <c r="T23" s="398">
        <v>2.7</v>
      </c>
      <c r="U23" s="394">
        <v>23.1</v>
      </c>
      <c r="V23" s="397">
        <f t="shared" si="14"/>
        <v>755.6</v>
      </c>
      <c r="W23" s="398">
        <v>0.32</v>
      </c>
      <c r="X23" s="394">
        <v>0.27</v>
      </c>
      <c r="Y23" s="397">
        <f t="shared" si="15"/>
        <v>-15.6</v>
      </c>
      <c r="Z23" s="398"/>
      <c r="AA23" s="394"/>
      <c r="AB23" s="397"/>
      <c r="AC23" s="398"/>
      <c r="AD23" s="394"/>
      <c r="AE23" s="397"/>
      <c r="AF23" s="398"/>
      <c r="AG23" s="394">
        <v>0</v>
      </c>
      <c r="AH23" s="397" t="str">
        <f t="shared" si="1"/>
        <v xml:space="preserve">    ---- </v>
      </c>
      <c r="AI23" s="398"/>
      <c r="AJ23" s="394"/>
      <c r="AK23" s="397"/>
      <c r="AL23" s="398">
        <f t="shared" si="7"/>
        <v>1279.1283472600001</v>
      </c>
      <c r="AM23" s="398">
        <f t="shared" si="7"/>
        <v>2069.97962009</v>
      </c>
      <c r="AN23" s="397">
        <f t="shared" si="2"/>
        <v>61.8</v>
      </c>
      <c r="AO23" s="398">
        <f t="shared" si="8"/>
        <v>1279.1283472600001</v>
      </c>
      <c r="AP23" s="398">
        <f t="shared" si="8"/>
        <v>2069.97962009</v>
      </c>
      <c r="AQ23" s="397">
        <f t="shared" si="3"/>
        <v>61.8</v>
      </c>
      <c r="AR23" s="454"/>
      <c r="AS23" s="454"/>
    </row>
    <row r="24" spans="1:46" s="455" customFormat="1" ht="20.100000000000001" customHeight="1" x14ac:dyDescent="0.3">
      <c r="A24" s="420" t="s">
        <v>203</v>
      </c>
      <c r="B24" s="399"/>
      <c r="C24" s="397"/>
      <c r="D24" s="397"/>
      <c r="E24" s="399"/>
      <c r="F24" s="397"/>
      <c r="G24" s="397"/>
      <c r="H24" s="399"/>
      <c r="I24" s="397"/>
      <c r="J24" s="397"/>
      <c r="K24" s="398"/>
      <c r="L24" s="394"/>
      <c r="M24" s="394"/>
      <c r="N24" s="395"/>
      <c r="O24" s="396"/>
      <c r="P24" s="397"/>
      <c r="Q24" s="398">
        <v>474.67505175999997</v>
      </c>
      <c r="R24" s="394">
        <v>902.94016791999991</v>
      </c>
      <c r="S24" s="397">
        <f t="shared" si="0"/>
        <v>90.2</v>
      </c>
      <c r="T24" s="398"/>
      <c r="U24" s="394"/>
      <c r="V24" s="397"/>
      <c r="W24" s="398">
        <v>0</v>
      </c>
      <c r="X24" s="394">
        <v>0</v>
      </c>
      <c r="Y24" s="397"/>
      <c r="Z24" s="398">
        <v>8</v>
      </c>
      <c r="AA24" s="394">
        <v>-21</v>
      </c>
      <c r="AB24" s="397">
        <f t="shared" si="5"/>
        <v>-362.5</v>
      </c>
      <c r="AC24" s="398"/>
      <c r="AD24" s="394"/>
      <c r="AE24" s="397"/>
      <c r="AF24" s="398">
        <v>7.6609999999999996</v>
      </c>
      <c r="AG24" s="394">
        <v>0</v>
      </c>
      <c r="AH24" s="397">
        <f t="shared" si="1"/>
        <v>-100</v>
      </c>
      <c r="AI24" s="398">
        <v>907.7</v>
      </c>
      <c r="AJ24" s="394">
        <v>1094</v>
      </c>
      <c r="AK24" s="397">
        <f t="shared" si="6"/>
        <v>20.5</v>
      </c>
      <c r="AL24" s="398">
        <f t="shared" si="7"/>
        <v>1398.03605176</v>
      </c>
      <c r="AM24" s="398">
        <f t="shared" si="7"/>
        <v>1975.94016792</v>
      </c>
      <c r="AN24" s="397">
        <f t="shared" si="2"/>
        <v>41.3</v>
      </c>
      <c r="AO24" s="398">
        <f t="shared" si="8"/>
        <v>1398.03605176</v>
      </c>
      <c r="AP24" s="398">
        <f t="shared" si="8"/>
        <v>1975.94016792</v>
      </c>
      <c r="AQ24" s="397">
        <f t="shared" si="3"/>
        <v>41.3</v>
      </c>
      <c r="AR24" s="454"/>
      <c r="AS24" s="454"/>
    </row>
    <row r="25" spans="1:46" s="455" customFormat="1" ht="20.100000000000001" customHeight="1" x14ac:dyDescent="0.3">
      <c r="A25" s="420" t="s">
        <v>204</v>
      </c>
      <c r="B25" s="399"/>
      <c r="C25" s="397"/>
      <c r="D25" s="397"/>
      <c r="E25" s="399">
        <v>20.356999999999999</v>
      </c>
      <c r="F25" s="397">
        <v>20.202999999999999</v>
      </c>
      <c r="G25" s="397">
        <f t="shared" si="4"/>
        <v>-0.8</v>
      </c>
      <c r="H25" s="399">
        <v>24.234999999999999</v>
      </c>
      <c r="I25" s="397">
        <v>32.1</v>
      </c>
      <c r="J25" s="397">
        <f t="shared" si="11"/>
        <v>32.5</v>
      </c>
      <c r="K25" s="398">
        <v>98.3</v>
      </c>
      <c r="L25" s="394"/>
      <c r="M25" s="394"/>
      <c r="N25" s="395"/>
      <c r="O25" s="396"/>
      <c r="P25" s="397"/>
      <c r="Q25" s="398">
        <v>0.11231569999999999</v>
      </c>
      <c r="R25" s="394">
        <v>0.26310264</v>
      </c>
      <c r="S25" s="397">
        <f t="shared" si="0"/>
        <v>134.30000000000001</v>
      </c>
      <c r="T25" s="398"/>
      <c r="U25" s="394"/>
      <c r="V25" s="397"/>
      <c r="W25" s="398">
        <v>0</v>
      </c>
      <c r="X25" s="394">
        <v>0</v>
      </c>
      <c r="Y25" s="397"/>
      <c r="Z25" s="398"/>
      <c r="AA25" s="394"/>
      <c r="AB25" s="397"/>
      <c r="AC25" s="398"/>
      <c r="AD25" s="394"/>
      <c r="AE25" s="338"/>
      <c r="AF25" s="398">
        <v>353.16</v>
      </c>
      <c r="AG25" s="394">
        <v>472.26</v>
      </c>
      <c r="AH25" s="397">
        <f t="shared" si="1"/>
        <v>33.700000000000003</v>
      </c>
      <c r="AI25" s="398"/>
      <c r="AJ25" s="394"/>
      <c r="AK25" s="397"/>
      <c r="AL25" s="398">
        <f t="shared" si="7"/>
        <v>496.16431570000003</v>
      </c>
      <c r="AM25" s="398">
        <f t="shared" si="7"/>
        <v>524.82610264000004</v>
      </c>
      <c r="AN25" s="397">
        <f t="shared" si="2"/>
        <v>5.8</v>
      </c>
      <c r="AO25" s="398">
        <f t="shared" si="8"/>
        <v>496.16431570000003</v>
      </c>
      <c r="AP25" s="398">
        <f t="shared" si="8"/>
        <v>524.82610264000004</v>
      </c>
      <c r="AQ25" s="397">
        <f t="shared" si="3"/>
        <v>5.8</v>
      </c>
      <c r="AR25" s="454"/>
      <c r="AS25" s="454"/>
    </row>
    <row r="26" spans="1:46" s="455" customFormat="1" ht="20.100000000000001" customHeight="1" x14ac:dyDescent="0.3">
      <c r="A26" s="420" t="s">
        <v>205</v>
      </c>
      <c r="B26" s="399"/>
      <c r="C26" s="397"/>
      <c r="D26" s="397"/>
      <c r="E26" s="399"/>
      <c r="F26" s="397"/>
      <c r="G26" s="397"/>
      <c r="H26" s="399"/>
      <c r="I26" s="397"/>
      <c r="J26" s="397"/>
      <c r="K26" s="398"/>
      <c r="L26" s="394"/>
      <c r="M26" s="394"/>
      <c r="N26" s="395"/>
      <c r="O26" s="396"/>
      <c r="P26" s="397"/>
      <c r="Q26" s="398"/>
      <c r="R26" s="394"/>
      <c r="S26" s="397"/>
      <c r="T26" s="398"/>
      <c r="U26" s="394"/>
      <c r="V26" s="397"/>
      <c r="W26" s="398">
        <v>0</v>
      </c>
      <c r="X26" s="394">
        <v>0</v>
      </c>
      <c r="Y26" s="397"/>
      <c r="Z26" s="398"/>
      <c r="AA26" s="394"/>
      <c r="AB26" s="397"/>
      <c r="AC26" s="398"/>
      <c r="AD26" s="394"/>
      <c r="AE26" s="397"/>
      <c r="AF26" s="398"/>
      <c r="AG26" s="394"/>
      <c r="AH26" s="397"/>
      <c r="AI26" s="398"/>
      <c r="AJ26" s="394"/>
      <c r="AK26" s="397"/>
      <c r="AL26" s="398">
        <f t="shared" si="7"/>
        <v>0</v>
      </c>
      <c r="AM26" s="398">
        <f t="shared" si="7"/>
        <v>0</v>
      </c>
      <c r="AN26" s="397" t="str">
        <f t="shared" si="2"/>
        <v xml:space="preserve">    ---- </v>
      </c>
      <c r="AO26" s="398">
        <f t="shared" si="8"/>
        <v>0</v>
      </c>
      <c r="AP26" s="398">
        <f t="shared" si="8"/>
        <v>0</v>
      </c>
      <c r="AQ26" s="397" t="str">
        <f t="shared" si="3"/>
        <v xml:space="preserve">    ---- </v>
      </c>
      <c r="AR26" s="454"/>
      <c r="AS26" s="454"/>
    </row>
    <row r="27" spans="1:46" s="455" customFormat="1" ht="20.100000000000001" customHeight="1" x14ac:dyDescent="0.3">
      <c r="A27" s="421" t="s">
        <v>206</v>
      </c>
      <c r="B27" s="399">
        <f>SUM(B14+B15+B16+B20+B26)</f>
        <v>236.56299999999999</v>
      </c>
      <c r="C27" s="397">
        <f>SUM(C14+C15+C16+C20+C26)</f>
        <v>250.92400000000001</v>
      </c>
      <c r="D27" s="397">
        <f>IF(B27=0, "    ---- ", IF(ABS(ROUND(100/B27*C27-100,1))&lt;999,ROUND(100/B27*C27-100,1),IF(ROUND(100/B27*C27-100,1)&gt;999,999,-999)))</f>
        <v>6.1</v>
      </c>
      <c r="E27" s="399">
        <f>SUM(E14+E15+E16+E20+E26)</f>
        <v>30962.832999999999</v>
      </c>
      <c r="F27" s="397">
        <f>SUM(F14+F15+F16+F20+F26)</f>
        <v>31545.014999999999</v>
      </c>
      <c r="G27" s="397">
        <f t="shared" si="4"/>
        <v>1.9</v>
      </c>
      <c r="H27" s="399">
        <f>SUM(H14+H15+H16+H20+H26)</f>
        <v>187.04900000000001</v>
      </c>
      <c r="I27" s="397">
        <f>SUM(I14+I15+I16+I20+I26)</f>
        <v>259.2</v>
      </c>
      <c r="J27" s="397">
        <f t="shared" si="11"/>
        <v>38.6</v>
      </c>
      <c r="K27" s="398">
        <f>SUM(K14+K15+K16+K20+K26)</f>
        <v>995.4</v>
      </c>
      <c r="L27" s="394">
        <f>SUM(L14+L15+L16+L20+L26)</f>
        <v>996.52300000000002</v>
      </c>
      <c r="M27" s="394">
        <f t="shared" si="12"/>
        <v>0.1</v>
      </c>
      <c r="N27" s="395"/>
      <c r="O27" s="396"/>
      <c r="P27" s="397"/>
      <c r="Q27" s="398">
        <f>SUM(Q14+Q15+Q16+Q20+Q26)</f>
        <v>37390.317033519997</v>
      </c>
      <c r="R27" s="394">
        <v>41615.142186059995</v>
      </c>
      <c r="S27" s="397">
        <f t="shared" si="0"/>
        <v>11.3</v>
      </c>
      <c r="T27" s="398">
        <f>SUM(T14+T15+T16+T20+T26)</f>
        <v>498.5</v>
      </c>
      <c r="U27" s="394">
        <f>SUM(U14+U15+U16+U20+U26)</f>
        <v>486.9</v>
      </c>
      <c r="V27" s="397">
        <f t="shared" si="14"/>
        <v>-2.2999999999999998</v>
      </c>
      <c r="W27" s="398">
        <f>SUM(W14+W15+W16+W20+W26)</f>
        <v>9865.92</v>
      </c>
      <c r="X27" s="394">
        <f>SUM(X14+X15+X16+X20+X26)</f>
        <v>10626.09</v>
      </c>
      <c r="Y27" s="397">
        <f t="shared" si="15"/>
        <v>7.7</v>
      </c>
      <c r="Z27" s="398">
        <f>SUM(Z14+Z15+Z16+Z20+Z26)</f>
        <v>8912</v>
      </c>
      <c r="AA27" s="394">
        <f>SUM(AA14+AA15+AA16+AA20+AA26)</f>
        <v>9184</v>
      </c>
      <c r="AB27" s="397">
        <f t="shared" si="5"/>
        <v>3.1</v>
      </c>
      <c r="AC27" s="398"/>
      <c r="AD27" s="394"/>
      <c r="AE27" s="338"/>
      <c r="AF27" s="398">
        <f>SUM(AF14+AF15+AF16+AF20+AF26)</f>
        <v>6004.9380000000001</v>
      </c>
      <c r="AG27" s="394">
        <f>SUM(AG14+AG15+AG16+AG20+AG26)</f>
        <v>7276.7269999999999</v>
      </c>
      <c r="AH27" s="397">
        <f t="shared" si="1"/>
        <v>21.2</v>
      </c>
      <c r="AI27" s="398">
        <f>SUM(AI14+AI15+AI16+AI20+AI26)</f>
        <v>32657.4</v>
      </c>
      <c r="AJ27" s="394">
        <f>SUM(AJ14+AJ15+AJ16+AJ20+AJ26)</f>
        <v>32907</v>
      </c>
      <c r="AK27" s="397">
        <f t="shared" si="6"/>
        <v>0.8</v>
      </c>
      <c r="AL27" s="398">
        <f t="shared" si="7"/>
        <v>127710.92003352</v>
      </c>
      <c r="AM27" s="398">
        <f t="shared" si="7"/>
        <v>135147.52118605998</v>
      </c>
      <c r="AN27" s="397">
        <f t="shared" si="2"/>
        <v>5.8</v>
      </c>
      <c r="AO27" s="398">
        <f t="shared" si="8"/>
        <v>127710.92003352</v>
      </c>
      <c r="AP27" s="398">
        <f t="shared" si="8"/>
        <v>135147.52118605998</v>
      </c>
      <c r="AQ27" s="397">
        <f t="shared" si="3"/>
        <v>5.8</v>
      </c>
      <c r="AR27" s="454"/>
      <c r="AS27" s="454"/>
    </row>
    <row r="28" spans="1:46" s="455" customFormat="1" ht="20.100000000000001" customHeight="1" x14ac:dyDescent="0.3">
      <c r="A28" s="420" t="s">
        <v>207</v>
      </c>
      <c r="B28" s="399">
        <f>46.749+209.012+1.38</f>
        <v>257.14100000000002</v>
      </c>
      <c r="C28" s="397">
        <f>46.174+334.966+3.554</f>
        <v>384.69399999999996</v>
      </c>
      <c r="D28" s="397">
        <f>IF(B28=0, "    ---- ", IF(ABS(ROUND(100/B28*C28-100,1))&lt;999,ROUND(100/B28*C28-100,1),IF(ROUND(100/B28*C28-100,1)&gt;999,999,-999)))</f>
        <v>49.6</v>
      </c>
      <c r="E28" s="399">
        <v>954.44799999999998</v>
      </c>
      <c r="F28" s="397">
        <v>1019.573</v>
      </c>
      <c r="G28" s="397">
        <f t="shared" si="4"/>
        <v>6.8</v>
      </c>
      <c r="H28" s="399">
        <v>258.18200000000002</v>
      </c>
      <c r="I28" s="397">
        <v>263.10000000000002</v>
      </c>
      <c r="J28" s="397">
        <f t="shared" si="11"/>
        <v>1.9</v>
      </c>
      <c r="K28" s="398">
        <v>245.6</v>
      </c>
      <c r="L28" s="394">
        <f>63.6+100+177.8+7.9</f>
        <v>349.29999999999995</v>
      </c>
      <c r="M28" s="394">
        <f t="shared" si="12"/>
        <v>42.2</v>
      </c>
      <c r="N28" s="395">
        <v>147</v>
      </c>
      <c r="O28" s="396">
        <v>146.71234183000001</v>
      </c>
      <c r="P28" s="338">
        <f t="shared" ref="P28" si="16">IF(N28=0, "    ---- ", IF(ABS(ROUND(100/N28*O28-100,1))&lt;999,ROUND(100/N28*O28-100,1),IF(ROUND(100/N28*O28-100,1)&gt;999,999,-999)))</f>
        <v>-0.2</v>
      </c>
      <c r="Q28" s="398">
        <v>14617.838298470002</v>
      </c>
      <c r="R28" s="394">
        <v>14670.784805430001</v>
      </c>
      <c r="S28" s="397">
        <f t="shared" si="0"/>
        <v>0.4</v>
      </c>
      <c r="T28" s="398">
        <v>32.299999999999997</v>
      </c>
      <c r="U28" s="394">
        <v>21.2</v>
      </c>
      <c r="V28" s="397">
        <f t="shared" si="14"/>
        <v>-34.4</v>
      </c>
      <c r="W28" s="398">
        <v>547</v>
      </c>
      <c r="X28" s="394">
        <v>645</v>
      </c>
      <c r="Y28" s="397">
        <f t="shared" si="15"/>
        <v>17.899999999999999</v>
      </c>
      <c r="Z28" s="398">
        <f>62+1280+37+6</f>
        <v>1385</v>
      </c>
      <c r="AA28" s="394">
        <f>27+987+220+13+1</f>
        <v>1248</v>
      </c>
      <c r="AB28" s="397">
        <f t="shared" si="5"/>
        <v>-9.9</v>
      </c>
      <c r="AC28" s="398">
        <v>57</v>
      </c>
      <c r="AD28" s="394">
        <v>74.284536689999996</v>
      </c>
      <c r="AE28" s="397"/>
      <c r="AF28" s="398">
        <v>513.38</v>
      </c>
      <c r="AG28" s="394">
        <v>669.41099999999994</v>
      </c>
      <c r="AH28" s="397">
        <f t="shared" si="1"/>
        <v>30.4</v>
      </c>
      <c r="AI28" s="398">
        <f>350+1030.1+1110.75+44</f>
        <v>2534.85</v>
      </c>
      <c r="AJ28" s="394">
        <f>337+1194+2450+71</f>
        <v>4052</v>
      </c>
      <c r="AK28" s="397">
        <f t="shared" si="6"/>
        <v>59.9</v>
      </c>
      <c r="AL28" s="398">
        <f t="shared" si="7"/>
        <v>21345.739298470002</v>
      </c>
      <c r="AM28" s="398">
        <f t="shared" si="7"/>
        <v>23323.062805430003</v>
      </c>
      <c r="AN28" s="397">
        <f t="shared" si="2"/>
        <v>9.3000000000000007</v>
      </c>
      <c r="AO28" s="398">
        <f t="shared" si="8"/>
        <v>21549.739298470002</v>
      </c>
      <c r="AP28" s="398">
        <f t="shared" si="8"/>
        <v>23544.059683950003</v>
      </c>
      <c r="AQ28" s="397">
        <f t="shared" si="3"/>
        <v>9.3000000000000007</v>
      </c>
      <c r="AR28" s="454"/>
      <c r="AS28" s="454"/>
    </row>
    <row r="29" spans="1:46" s="455" customFormat="1" ht="20.100000000000001" customHeight="1" x14ac:dyDescent="0.3">
      <c r="A29" s="420" t="s">
        <v>208</v>
      </c>
      <c r="B29" s="399">
        <f>SUM(B27+B28)</f>
        <v>493.70400000000001</v>
      </c>
      <c r="C29" s="397">
        <f>SUM(C27+C28)</f>
        <v>635.61799999999994</v>
      </c>
      <c r="D29" s="397">
        <f>IF(B29=0, "    ---- ", IF(ABS(ROUND(100/B29*C29-100,1))&lt;999,ROUND(100/B29*C29-100,1),IF(ROUND(100/B29*C29-100,1)&gt;999,999,-999)))</f>
        <v>28.7</v>
      </c>
      <c r="E29" s="399">
        <f>SUM(E27+E28)</f>
        <v>31917.280999999999</v>
      </c>
      <c r="F29" s="397">
        <f>SUM(F27+F28)</f>
        <v>32564.588</v>
      </c>
      <c r="G29" s="397">
        <f>IF(E29=0, "    ---- ", IF(ABS(ROUND(100/E29*F29-100,1))&lt;999,ROUND(100/E29*F29-100,1),IF(ROUND(100/E29*F29-100,1)&gt;999,999,-999)))</f>
        <v>2</v>
      </c>
      <c r="H29" s="399">
        <f>SUM(H27+H28)</f>
        <v>445.23099999999999</v>
      </c>
      <c r="I29" s="397">
        <f>SUM(I27+I28)</f>
        <v>522.29999999999995</v>
      </c>
      <c r="J29" s="397">
        <f>IF(H29=0, "    ---- ", IF(ABS(ROUND(100/H29*I29-100,1))&lt;999,ROUND(100/H29*I29-100,1),IF(ROUND(100/H29*I29-100,1)&gt;999,999,-999)))</f>
        <v>17.3</v>
      </c>
      <c r="K29" s="399">
        <f>SUM(K27+K28)</f>
        <v>1241</v>
      </c>
      <c r="L29" s="397">
        <f>SUM(L27+L28)</f>
        <v>1345.8229999999999</v>
      </c>
      <c r="M29" s="397">
        <f>IF(K29=0, "    ---- ", IF(ABS(ROUND(100/K29*L29-100,1))&lt;999,ROUND(100/K29*L29-100,1),IF(ROUND(100/K29*L29-100,1)&gt;999,999,-999)))</f>
        <v>8.4</v>
      </c>
      <c r="N29" s="399">
        <f>SUM(N27+N28)</f>
        <v>147</v>
      </c>
      <c r="O29" s="397">
        <f>SUM(O27+O28)</f>
        <v>146.71234183000001</v>
      </c>
      <c r="P29" s="397">
        <f>IF(N29=0, "    ---- ", IF(ABS(ROUND(100/N29*O29-100,1))&lt;999,ROUND(100/N29*O29-100,1),IF(ROUND(100/N29*O29-100,1)&gt;999,999,-999)))</f>
        <v>-0.2</v>
      </c>
      <c r="Q29" s="399">
        <f>SUM(Q27+Q28)</f>
        <v>52008.155331989998</v>
      </c>
      <c r="R29" s="397">
        <v>56285.926991489992</v>
      </c>
      <c r="S29" s="397">
        <f>IF(Q29=0, "    ---- ", IF(ABS(ROUND(100/Q29*R29-100,1))&lt;999,ROUND(100/Q29*R29-100,1),IF(ROUND(100/Q29*R29-100,1)&gt;999,999,-999)))</f>
        <v>8.1999999999999993</v>
      </c>
      <c r="T29" s="399">
        <f>SUM(T27+T28)</f>
        <v>530.79999999999995</v>
      </c>
      <c r="U29" s="397">
        <f>SUM(U27+U28)</f>
        <v>508.09999999999997</v>
      </c>
      <c r="V29" s="397">
        <f>IF(T29=0, "    ---- ", IF(ABS(ROUND(100/T29*U29-100,1))&lt;999,ROUND(100/T29*U29-100,1),IF(ROUND(100/T29*U29-100,1)&gt;999,999,-999)))</f>
        <v>-4.3</v>
      </c>
      <c r="W29" s="399">
        <f>SUM(W27+W28)</f>
        <v>10412.92</v>
      </c>
      <c r="X29" s="397">
        <f>SUM(X27+X28)</f>
        <v>11271.09</v>
      </c>
      <c r="Y29" s="397">
        <f>IF(W29=0, "    ---- ", IF(ABS(ROUND(100/W29*X29-100,1))&lt;999,ROUND(100/W29*X29-100,1),IF(ROUND(100/W29*X29-100,1)&gt;999,999,-999)))</f>
        <v>8.1999999999999993</v>
      </c>
      <c r="Z29" s="399">
        <f>SUM(Z27+Z28)</f>
        <v>10297</v>
      </c>
      <c r="AA29" s="397">
        <f>SUM(AA27+AA28)</f>
        <v>10432</v>
      </c>
      <c r="AB29" s="397">
        <f>IF(Z29=0, "    ---- ", IF(ABS(ROUND(100/Z29*AA29-100,1))&lt;999,ROUND(100/Z29*AA29-100,1),IF(ROUND(100/Z29*AA29-100,1)&gt;999,999,-999)))</f>
        <v>1.3</v>
      </c>
      <c r="AC29" s="399">
        <f>SUM(AC27+AC28)</f>
        <v>57</v>
      </c>
      <c r="AD29" s="397">
        <f>SUM(AD27+AD28)</f>
        <v>74.284536689999996</v>
      </c>
      <c r="AE29" s="397">
        <f>IF(AC29=0, "    ---- ", IF(ABS(ROUND(100/AC29*AD29-100,1))&lt;999,ROUND(100/AC29*AD29-100,1),IF(ROUND(100/AC29*AD29-100,1)&gt;999,999,-999)))</f>
        <v>30.3</v>
      </c>
      <c r="AF29" s="399">
        <f>SUM(AF27+AF28)</f>
        <v>6518.3180000000002</v>
      </c>
      <c r="AG29" s="397">
        <f>SUM(AG27+AG28)</f>
        <v>7946.1379999999999</v>
      </c>
      <c r="AH29" s="397">
        <f>IF(AF29=0, "    ---- ", IF(ABS(ROUND(100/AF29*AG29-100,1))&lt;999,ROUND(100/AF29*AG29-100,1),IF(ROUND(100/AF29*AG29-100,1)&gt;999,999,-999)))</f>
        <v>21.9</v>
      </c>
      <c r="AI29" s="399">
        <f>SUM(AI27+AI28)</f>
        <v>35192.25</v>
      </c>
      <c r="AJ29" s="397">
        <f>SUM(AJ27+AJ28)</f>
        <v>36959</v>
      </c>
      <c r="AK29" s="397">
        <f>IF(AI29=0, "    ---- ", IF(ABS(ROUND(100/AI29*AJ29-100,1))&lt;999,ROUND(100/AI29*AJ29-100,1),IF(ROUND(100/AI29*AJ29-100,1)&gt;999,999,-999)))</f>
        <v>5</v>
      </c>
      <c r="AL29" s="398">
        <f t="shared" si="7"/>
        <v>149056.65933199</v>
      </c>
      <c r="AM29" s="398">
        <f t="shared" si="7"/>
        <v>158470.58399149001</v>
      </c>
      <c r="AN29" s="397">
        <f>IF(AL29=0, "    ---- ", IF(ABS(ROUND(100/AL29*AM29-100,1))&lt;999,ROUND(100/AL29*AM29-100,1),IF(ROUND(100/AL29*AM29-100,1)&gt;999,999,-999)))</f>
        <v>6.3</v>
      </c>
      <c r="AO29" s="398">
        <f t="shared" si="8"/>
        <v>149260.65933199</v>
      </c>
      <c r="AP29" s="398">
        <f t="shared" si="8"/>
        <v>158691.58087001002</v>
      </c>
      <c r="AQ29" s="400">
        <f t="shared" si="3"/>
        <v>6.3</v>
      </c>
      <c r="AR29" s="454"/>
      <c r="AS29" s="454"/>
      <c r="AT29" s="456"/>
    </row>
    <row r="30" spans="1:46" s="426" customFormat="1" ht="20.100000000000001" customHeight="1" x14ac:dyDescent="0.3">
      <c r="A30" s="420"/>
      <c r="B30" s="387"/>
      <c r="C30" s="385"/>
      <c r="D30" s="401"/>
      <c r="E30" s="387"/>
      <c r="F30" s="385"/>
      <c r="G30" s="401"/>
      <c r="H30" s="387"/>
      <c r="I30" s="385"/>
      <c r="J30" s="401"/>
      <c r="K30" s="403"/>
      <c r="L30" s="401"/>
      <c r="M30" s="385"/>
      <c r="N30" s="387"/>
      <c r="O30" s="385"/>
      <c r="P30" s="338"/>
      <c r="Q30" s="387"/>
      <c r="R30" s="385"/>
      <c r="S30" s="338"/>
      <c r="T30" s="387"/>
      <c r="U30" s="385"/>
      <c r="V30" s="338"/>
      <c r="W30" s="387"/>
      <c r="X30" s="385"/>
      <c r="Y30" s="338"/>
      <c r="Z30" s="387"/>
      <c r="AA30" s="385"/>
      <c r="AB30" s="338"/>
      <c r="AC30" s="387"/>
      <c r="AD30" s="385"/>
      <c r="AE30" s="338"/>
      <c r="AF30" s="387"/>
      <c r="AG30" s="385"/>
      <c r="AH30" s="338"/>
      <c r="AI30" s="387"/>
      <c r="AJ30" s="385"/>
      <c r="AK30" s="338"/>
      <c r="AL30" s="387"/>
      <c r="AM30" s="387"/>
      <c r="AN30" s="338"/>
      <c r="AO30" s="387"/>
      <c r="AP30" s="387"/>
      <c r="AQ30" s="402"/>
      <c r="AR30" s="453"/>
      <c r="AS30" s="453"/>
    </row>
    <row r="31" spans="1:46" s="426" customFormat="1" ht="20.100000000000001" customHeight="1" x14ac:dyDescent="0.3">
      <c r="A31" s="418" t="s">
        <v>209</v>
      </c>
      <c r="B31" s="403"/>
      <c r="C31" s="401"/>
      <c r="D31" s="401"/>
      <c r="E31" s="403"/>
      <c r="F31" s="401"/>
      <c r="G31" s="401"/>
      <c r="H31" s="403"/>
      <c r="I31" s="401"/>
      <c r="J31" s="401"/>
      <c r="K31" s="403"/>
      <c r="L31" s="401"/>
      <c r="M31" s="385"/>
      <c r="N31" s="403"/>
      <c r="O31" s="401"/>
      <c r="P31" s="338"/>
      <c r="Q31" s="403"/>
      <c r="R31" s="401"/>
      <c r="S31" s="338"/>
      <c r="T31" s="403"/>
      <c r="U31" s="401"/>
      <c r="V31" s="338"/>
      <c r="W31" s="403"/>
      <c r="X31" s="401"/>
      <c r="Y31" s="338"/>
      <c r="Z31" s="403"/>
      <c r="AA31" s="401"/>
      <c r="AB31" s="338"/>
      <c r="AC31" s="403"/>
      <c r="AD31" s="401"/>
      <c r="AE31" s="338"/>
      <c r="AF31" s="403"/>
      <c r="AG31" s="401"/>
      <c r="AH31" s="338"/>
      <c r="AI31" s="403"/>
      <c r="AJ31" s="401"/>
      <c r="AK31" s="338"/>
      <c r="AL31" s="387"/>
      <c r="AM31" s="387"/>
      <c r="AN31" s="338"/>
      <c r="AO31" s="387"/>
      <c r="AP31" s="387"/>
      <c r="AQ31" s="402"/>
      <c r="AR31" s="453"/>
      <c r="AS31" s="453"/>
    </row>
    <row r="32" spans="1:46" s="426" customFormat="1" ht="20.100000000000001" customHeight="1" x14ac:dyDescent="0.3">
      <c r="A32" s="418" t="s">
        <v>210</v>
      </c>
      <c r="B32" s="403"/>
      <c r="C32" s="401"/>
      <c r="D32" s="338"/>
      <c r="E32" s="403"/>
      <c r="F32" s="401"/>
      <c r="G32" s="338"/>
      <c r="H32" s="403"/>
      <c r="I32" s="401"/>
      <c r="J32" s="338"/>
      <c r="K32" s="403"/>
      <c r="L32" s="401"/>
      <c r="M32" s="385"/>
      <c r="N32" s="403"/>
      <c r="O32" s="401"/>
      <c r="P32" s="338"/>
      <c r="Q32" s="403"/>
      <c r="R32" s="401"/>
      <c r="S32" s="338"/>
      <c r="T32" s="403"/>
      <c r="U32" s="401"/>
      <c r="V32" s="338"/>
      <c r="W32" s="403"/>
      <c r="X32" s="401"/>
      <c r="Y32" s="338"/>
      <c r="Z32" s="403"/>
      <c r="AA32" s="401"/>
      <c r="AB32" s="338"/>
      <c r="AC32" s="403"/>
      <c r="AD32" s="401"/>
      <c r="AE32" s="338"/>
      <c r="AF32" s="403"/>
      <c r="AG32" s="401"/>
      <c r="AH32" s="338"/>
      <c r="AI32" s="403"/>
      <c r="AJ32" s="401"/>
      <c r="AK32" s="338"/>
      <c r="AL32" s="387"/>
      <c r="AM32" s="387"/>
      <c r="AN32" s="338"/>
      <c r="AO32" s="387"/>
      <c r="AP32" s="387"/>
      <c r="AQ32" s="402"/>
      <c r="AR32" s="453"/>
      <c r="AS32" s="453"/>
    </row>
    <row r="33" spans="1:46" s="426" customFormat="1" ht="20.100000000000001" customHeight="1" x14ac:dyDescent="0.3">
      <c r="A33" s="420" t="s">
        <v>211</v>
      </c>
      <c r="B33" s="403"/>
      <c r="C33" s="401"/>
      <c r="D33" s="401"/>
      <c r="E33" s="403">
        <v>33.491</v>
      </c>
      <c r="F33" s="401">
        <v>26.206</v>
      </c>
      <c r="G33" s="401">
        <f t="shared" ref="G33:G91" si="17">IF(E33=0, "    ---- ", IF(ABS(ROUND(100/E33*F33-100,1))&lt;999,ROUND(100/E33*F33-100,1),IF(ROUND(100/E33*F33-100,1)&gt;999,999,-999)))</f>
        <v>-21.8</v>
      </c>
      <c r="H33" s="403"/>
      <c r="I33" s="401"/>
      <c r="J33" s="401"/>
      <c r="K33" s="403"/>
      <c r="L33" s="401"/>
      <c r="M33" s="385"/>
      <c r="N33" s="403"/>
      <c r="O33" s="401"/>
      <c r="P33" s="338"/>
      <c r="Q33" s="403"/>
      <c r="R33" s="401"/>
      <c r="S33" s="338"/>
      <c r="T33" s="403"/>
      <c r="U33" s="401"/>
      <c r="V33" s="338"/>
      <c r="W33" s="403">
        <v>1.9699999999999998E-6</v>
      </c>
      <c r="X33" s="401">
        <v>1.9699999999999998E-6</v>
      </c>
      <c r="Y33" s="338">
        <f t="shared" ref="Y33:Y91" si="18">IF(W33=0, "    ---- ", IF(ABS(ROUND(100/W33*X33-100,1))&lt;999,ROUND(100/W33*X33-100,1),IF(ROUND(100/W33*X33-100,1)&gt;999,999,-999)))</f>
        <v>0</v>
      </c>
      <c r="Z33" s="403"/>
      <c r="AA33" s="401"/>
      <c r="AB33" s="338"/>
      <c r="AC33" s="403"/>
      <c r="AD33" s="401"/>
      <c r="AE33" s="338"/>
      <c r="AF33" s="403">
        <v>0.98599999999999999</v>
      </c>
      <c r="AG33" s="401"/>
      <c r="AH33" s="338">
        <f t="shared" ref="AH33:AH91" si="19">IF(AF33=0, "    ---- ", IF(ABS(ROUND(100/AF33*AG33-100,1))&lt;999,ROUND(100/AF33*AG33-100,1),IF(ROUND(100/AF33*AG33-100,1)&gt;999,999,-999)))</f>
        <v>-100</v>
      </c>
      <c r="AI33" s="403"/>
      <c r="AJ33" s="401"/>
      <c r="AK33" s="338"/>
      <c r="AL33" s="398">
        <f t="shared" ref="AL33:AM46" si="20">B33+E33+H33+K33+Q33+T33+W33+Z33+AF33+AI33</f>
        <v>34.477001969999996</v>
      </c>
      <c r="AM33" s="398">
        <f t="shared" si="20"/>
        <v>26.206001969999999</v>
      </c>
      <c r="AN33" s="338">
        <f t="shared" ref="AN33:AN91" si="21">IF(AL33=0, "    ---- ", IF(ABS(ROUND(100/AL33*AM33-100,1))&lt;999,ROUND(100/AL33*AM33-100,1),IF(ROUND(100/AL33*AM33-100,1)&gt;999,999,-999)))</f>
        <v>-24</v>
      </c>
      <c r="AO33" s="398">
        <f t="shared" ref="AO33:AP46" si="22">B33+E33+H33+K33+N33+Q33+T33+W33+Z33+AC33+AF33+AI33</f>
        <v>34.477001969999996</v>
      </c>
      <c r="AP33" s="398">
        <f t="shared" si="22"/>
        <v>26.206001969999999</v>
      </c>
      <c r="AQ33" s="402">
        <f t="shared" ref="AQ33:AQ91" si="23">IF(AO33=0, "    ---- ", IF(ABS(ROUND(100/AO33*AP33-100,1))&lt;999,ROUND(100/AO33*AP33-100,1),IF(ROUND(100/AO33*AP33-100,1)&gt;999,999,-999)))</f>
        <v>-24</v>
      </c>
      <c r="AR33" s="453"/>
      <c r="AS33" s="453"/>
      <c r="AT33" s="457"/>
    </row>
    <row r="34" spans="1:46" s="426" customFormat="1" ht="20.100000000000001" customHeight="1" x14ac:dyDescent="0.3">
      <c r="A34" s="420" t="s">
        <v>212</v>
      </c>
      <c r="B34" s="403"/>
      <c r="C34" s="401"/>
      <c r="D34" s="401"/>
      <c r="E34" s="403">
        <v>21523.383999999998</v>
      </c>
      <c r="F34" s="401">
        <v>26750.416000000001</v>
      </c>
      <c r="G34" s="401">
        <f t="shared" si="17"/>
        <v>24.3</v>
      </c>
      <c r="H34" s="403"/>
      <c r="I34" s="401"/>
      <c r="J34" s="401"/>
      <c r="K34" s="403">
        <v>895.9</v>
      </c>
      <c r="L34" s="401">
        <v>936.88400000000001</v>
      </c>
      <c r="M34" s="385">
        <f>IF(K34=0, "    ---- ", IF(ABS(ROUND(100/K34*L34-100,1))&lt;999,ROUND(100/K34*L34-100,1),IF(ROUND(100/K34*L34-100,1)&gt;999,999,-999)))</f>
        <v>4.5999999999999996</v>
      </c>
      <c r="N34" s="403"/>
      <c r="O34" s="401"/>
      <c r="P34" s="338"/>
      <c r="Q34" s="403">
        <v>60999.486212120006</v>
      </c>
      <c r="R34" s="401">
        <v>67178.434559750007</v>
      </c>
      <c r="S34" s="338">
        <f>IF(Q34=0, "    ---- ", IF(ABS(ROUND(100/Q34*R34-100,1))&lt;999,ROUND(100/Q34*R34-100,1),IF(ROUND(100/Q34*R34-100,1)&gt;999,999,-999)))</f>
        <v>10.1</v>
      </c>
      <c r="T34" s="403">
        <v>205.4</v>
      </c>
      <c r="U34" s="401">
        <v>207.8</v>
      </c>
      <c r="V34" s="338">
        <f>IF(T34=0, "    ---- ", IF(ABS(ROUND(100/T34*U34-100,1))&lt;999,ROUND(100/T34*U34-100,1),IF(ROUND(100/T34*U34-100,1)&gt;999,999,-999)))</f>
        <v>1.2</v>
      </c>
      <c r="W34" s="403">
        <v>6359.4371270199999</v>
      </c>
      <c r="X34" s="401">
        <v>7234.3569595700001</v>
      </c>
      <c r="Y34" s="338">
        <f t="shared" si="18"/>
        <v>13.8</v>
      </c>
      <c r="Z34" s="403">
        <f>13516+456</f>
        <v>13972</v>
      </c>
      <c r="AA34" s="401">
        <v>14140</v>
      </c>
      <c r="AB34" s="338">
        <f t="shared" ref="AB34:AB42" si="24">IF(Z34=0, "    ---- ", IF(ABS(ROUND(100/Z34*AA34-100,1))&lt;999,ROUND(100/Z34*AA34-100,1),IF(ROUND(100/Z34*AA34-100,1)&gt;999,999,-999)))</f>
        <v>1.2</v>
      </c>
      <c r="AC34" s="403"/>
      <c r="AD34" s="401"/>
      <c r="AE34" s="338"/>
      <c r="AF34" s="403">
        <v>4234.7700000000004</v>
      </c>
      <c r="AG34" s="401">
        <v>4889.6310000000003</v>
      </c>
      <c r="AH34" s="338">
        <f t="shared" si="19"/>
        <v>15.5</v>
      </c>
      <c r="AI34" s="403">
        <v>19708</v>
      </c>
      <c r="AJ34" s="401">
        <v>27836</v>
      </c>
      <c r="AK34" s="338">
        <f t="shared" ref="AK34:AK91" si="25">IF(AI34=0, "    ---- ", IF(ABS(ROUND(100/AI34*AJ34-100,1))&lt;999,ROUND(100/AI34*AJ34-100,1),IF(ROUND(100/AI34*AJ34-100,1)&gt;999,999,-999)))</f>
        <v>41.2</v>
      </c>
      <c r="AL34" s="398">
        <f t="shared" si="20"/>
        <v>127898.37733914</v>
      </c>
      <c r="AM34" s="398">
        <f t="shared" si="20"/>
        <v>149173.52251932002</v>
      </c>
      <c r="AN34" s="338">
        <f t="shared" si="21"/>
        <v>16.600000000000001</v>
      </c>
      <c r="AO34" s="398">
        <f t="shared" si="22"/>
        <v>127898.37733914</v>
      </c>
      <c r="AP34" s="398">
        <f t="shared" si="22"/>
        <v>149173.52251932002</v>
      </c>
      <c r="AQ34" s="402">
        <f t="shared" si="23"/>
        <v>16.600000000000001</v>
      </c>
      <c r="AR34" s="453"/>
      <c r="AS34" s="453"/>
      <c r="AT34" s="457"/>
    </row>
    <row r="35" spans="1:46" s="426" customFormat="1" ht="20.100000000000001" customHeight="1" x14ac:dyDescent="0.3">
      <c r="A35" s="420" t="s">
        <v>213</v>
      </c>
      <c r="B35" s="403"/>
      <c r="C35" s="401"/>
      <c r="D35" s="401"/>
      <c r="E35" s="403">
        <f>SUM(E36+E38)</f>
        <v>107907.08900000001</v>
      </c>
      <c r="F35" s="401">
        <f>SUM(F36+F38)</f>
        <v>101794.69</v>
      </c>
      <c r="G35" s="401">
        <f t="shared" si="17"/>
        <v>-5.7</v>
      </c>
      <c r="H35" s="403">
        <f>SUM(H36+H38)</f>
        <v>178.755</v>
      </c>
      <c r="I35" s="401">
        <f>SUM(I36+I38)</f>
        <v>209.8</v>
      </c>
      <c r="J35" s="397">
        <f t="shared" ref="J35:J37" si="26">IF(H35=0, "    ---- ", IF(ABS(ROUND(100/H35*I35-100,1))&lt;999,ROUND(100/H35*I35-100,1),IF(ROUND(100/H35*I35-100,1)&gt;999,999,-999)))</f>
        <v>17.399999999999999</v>
      </c>
      <c r="K35" s="403">
        <f>SUM(K36+K38)</f>
        <v>4946.2000000000007</v>
      </c>
      <c r="L35" s="401">
        <f>SUM(L36+L38)</f>
        <v>5102.37</v>
      </c>
      <c r="M35" s="385">
        <f>IF(K35=0, "    ---- ", IF(ABS(ROUND(100/K35*L35-100,1))&lt;999,ROUND(100/K35*L35-100,1),IF(ROUND(100/K35*L35-100,1)&gt;999,999,-999)))</f>
        <v>3.2</v>
      </c>
      <c r="N35" s="403"/>
      <c r="O35" s="401"/>
      <c r="P35" s="338"/>
      <c r="Q35" s="403">
        <f>SUM(Q36+Q38)</f>
        <v>202409.84620408001</v>
      </c>
      <c r="R35" s="401">
        <v>221269.07232829</v>
      </c>
      <c r="S35" s="338">
        <f>IF(Q35=0, "    ---- ", IF(ABS(ROUND(100/Q35*R35-100,1))&lt;999,ROUND(100/Q35*R35-100,1),IF(ROUND(100/Q35*R35-100,1)&gt;999,999,-999)))</f>
        <v>9.3000000000000007</v>
      </c>
      <c r="T35" s="403">
        <f>SUM(T36+T38)</f>
        <v>1275.9000000000001</v>
      </c>
      <c r="U35" s="401">
        <f>SUM(U36+U38)</f>
        <v>1425.7</v>
      </c>
      <c r="V35" s="338">
        <f>IF(T35=0, "    ---- ", IF(ABS(ROUND(100/T35*U35-100,1))&lt;999,ROUND(100/T35*U35-100,1),IF(ROUND(100/T35*U35-100,1)&gt;999,999,-999)))</f>
        <v>11.7</v>
      </c>
      <c r="W35" s="403">
        <f>SUM(W36+W38)</f>
        <v>30943.675017480004</v>
      </c>
      <c r="X35" s="401">
        <f>SUM(X36+X38)</f>
        <v>31973.696426890005</v>
      </c>
      <c r="Y35" s="338">
        <f t="shared" si="18"/>
        <v>3.3</v>
      </c>
      <c r="Z35" s="403">
        <f>SUM(Z36+Z38)</f>
        <v>23810</v>
      </c>
      <c r="AA35" s="401">
        <f>SUM(AA36+AA38)</f>
        <v>22913</v>
      </c>
      <c r="AB35" s="338">
        <f t="shared" si="24"/>
        <v>-3.8</v>
      </c>
      <c r="AC35" s="403"/>
      <c r="AD35" s="401"/>
      <c r="AE35" s="338"/>
      <c r="AF35" s="403">
        <f>SUM(AF36+AF38)</f>
        <v>8555.3819999999996</v>
      </c>
      <c r="AG35" s="401">
        <f>SUM(AG36+AG38)</f>
        <v>8155.134</v>
      </c>
      <c r="AH35" s="338">
        <f t="shared" si="19"/>
        <v>-4.7</v>
      </c>
      <c r="AI35" s="403">
        <f>SUM(AI36+AI38)</f>
        <v>130165.90000000001</v>
      </c>
      <c r="AJ35" s="401">
        <f>SUM(AJ36+AJ38)</f>
        <v>130544</v>
      </c>
      <c r="AK35" s="338">
        <f t="shared" si="25"/>
        <v>0.3</v>
      </c>
      <c r="AL35" s="398">
        <f t="shared" si="20"/>
        <v>510192.74722156004</v>
      </c>
      <c r="AM35" s="398">
        <f t="shared" si="20"/>
        <v>523387.46275518002</v>
      </c>
      <c r="AN35" s="338">
        <f t="shared" si="21"/>
        <v>2.6</v>
      </c>
      <c r="AO35" s="398">
        <f t="shared" si="22"/>
        <v>510192.74722156004</v>
      </c>
      <c r="AP35" s="398">
        <f t="shared" si="22"/>
        <v>523387.46275518002</v>
      </c>
      <c r="AQ35" s="402">
        <f t="shared" si="23"/>
        <v>2.6</v>
      </c>
      <c r="AR35" s="453"/>
      <c r="AS35" s="453"/>
      <c r="AT35" s="457"/>
    </row>
    <row r="36" spans="1:46" s="426" customFormat="1" ht="20.100000000000001" customHeight="1" x14ac:dyDescent="0.3">
      <c r="A36" s="420" t="s">
        <v>214</v>
      </c>
      <c r="B36" s="403"/>
      <c r="C36" s="401"/>
      <c r="D36" s="338"/>
      <c r="E36" s="403">
        <v>73486.851999999999</v>
      </c>
      <c r="F36" s="401">
        <v>72255.214000000007</v>
      </c>
      <c r="G36" s="338">
        <f t="shared" si="17"/>
        <v>-1.7</v>
      </c>
      <c r="H36" s="403">
        <v>178.755</v>
      </c>
      <c r="I36" s="401">
        <v>209.8</v>
      </c>
      <c r="J36" s="397">
        <f t="shared" si="26"/>
        <v>17.399999999999999</v>
      </c>
      <c r="K36" s="403">
        <v>30.1</v>
      </c>
      <c r="L36" s="401">
        <v>0</v>
      </c>
      <c r="M36" s="385">
        <f>IF(K36=0, "    ---- ", IF(ABS(ROUND(100/K36*L36-100,1))&lt;999,ROUND(100/K36*L36-100,1),IF(ROUND(100/K36*L36-100,1)&gt;999,999,-999)))</f>
        <v>-100</v>
      </c>
      <c r="N36" s="403"/>
      <c r="O36" s="401"/>
      <c r="P36" s="338"/>
      <c r="Q36" s="403">
        <v>23175.52676488</v>
      </c>
      <c r="R36" s="401">
        <v>22579.573130389999</v>
      </c>
      <c r="S36" s="338">
        <f>IF(Q36=0, "    ---- ", IF(ABS(ROUND(100/Q36*R36-100,1))&lt;999,ROUND(100/Q36*R36-100,1),IF(ROUND(100/Q36*R36-100,1)&gt;999,999,-999)))</f>
        <v>-2.6</v>
      </c>
      <c r="T36" s="403">
        <v>122.5</v>
      </c>
      <c r="U36" s="401">
        <v>127.4</v>
      </c>
      <c r="V36" s="338">
        <f>IF(T36=0, "    ---- ", IF(ABS(ROUND(100/T36*U36-100,1))&lt;999,ROUND(100/T36*U36-100,1),IF(ROUND(100/T36*U36-100,1)&gt;999,999,-999)))</f>
        <v>4</v>
      </c>
      <c r="W36" s="403">
        <v>786.21902069000009</v>
      </c>
      <c r="X36" s="401">
        <v>505.29335799</v>
      </c>
      <c r="Y36" s="338">
        <f t="shared" si="18"/>
        <v>-35.700000000000003</v>
      </c>
      <c r="Z36" s="403">
        <v>983</v>
      </c>
      <c r="AA36" s="401">
        <v>476</v>
      </c>
      <c r="AB36" s="338">
        <f t="shared" si="24"/>
        <v>-51.6</v>
      </c>
      <c r="AC36" s="403"/>
      <c r="AD36" s="401"/>
      <c r="AE36" s="338"/>
      <c r="AF36" s="403">
        <v>1109.846</v>
      </c>
      <c r="AG36" s="401">
        <v>820.75900000000001</v>
      </c>
      <c r="AH36" s="338">
        <f t="shared" si="19"/>
        <v>-26</v>
      </c>
      <c r="AI36" s="403">
        <v>14468.6</v>
      </c>
      <c r="AJ36" s="401">
        <v>13455</v>
      </c>
      <c r="AK36" s="338">
        <f t="shared" si="25"/>
        <v>-7</v>
      </c>
      <c r="AL36" s="398">
        <f t="shared" si="20"/>
        <v>114341.39878557003</v>
      </c>
      <c r="AM36" s="398">
        <f t="shared" si="20"/>
        <v>110429.03948838</v>
      </c>
      <c r="AN36" s="338">
        <f t="shared" si="21"/>
        <v>-3.4</v>
      </c>
      <c r="AO36" s="398">
        <f t="shared" si="22"/>
        <v>114341.39878557003</v>
      </c>
      <c r="AP36" s="398">
        <f t="shared" si="22"/>
        <v>110429.03948838</v>
      </c>
      <c r="AQ36" s="402">
        <f t="shared" si="23"/>
        <v>-3.4</v>
      </c>
      <c r="AR36" s="453"/>
      <c r="AS36" s="453"/>
      <c r="AT36" s="457"/>
    </row>
    <row r="37" spans="1:46" s="426" customFormat="1" ht="20.100000000000001" customHeight="1" x14ac:dyDescent="0.3">
      <c r="A37" s="420" t="s">
        <v>197</v>
      </c>
      <c r="B37" s="403"/>
      <c r="C37" s="401"/>
      <c r="D37" s="401"/>
      <c r="E37" s="403">
        <v>73486.851999999999</v>
      </c>
      <c r="F37" s="401">
        <v>72255.214000000007</v>
      </c>
      <c r="G37" s="401">
        <f t="shared" si="17"/>
        <v>-1.7</v>
      </c>
      <c r="H37" s="403">
        <v>178.755</v>
      </c>
      <c r="I37" s="401">
        <v>209.8</v>
      </c>
      <c r="J37" s="397">
        <f t="shared" si="26"/>
        <v>17.399999999999999</v>
      </c>
      <c r="K37" s="403">
        <v>30.1</v>
      </c>
      <c r="L37" s="401">
        <v>0</v>
      </c>
      <c r="M37" s="385">
        <f>IF(K37=0, "    ---- ", IF(ABS(ROUND(100/K37*L37-100,1))&lt;999,ROUND(100/K37*L37-100,1),IF(ROUND(100/K37*L37-100,1)&gt;999,999,-999)))</f>
        <v>-100</v>
      </c>
      <c r="N37" s="403"/>
      <c r="O37" s="401"/>
      <c r="P37" s="338"/>
      <c r="Q37" s="403">
        <v>23175.52676488</v>
      </c>
      <c r="R37" s="401">
        <v>22579.573130389999</v>
      </c>
      <c r="S37" s="338">
        <f>IF(Q37=0, "    ---- ", IF(ABS(ROUND(100/Q37*R37-100,1))&lt;999,ROUND(100/Q37*R37-100,1),IF(ROUND(100/Q37*R37-100,1)&gt;999,999,-999)))</f>
        <v>-2.6</v>
      </c>
      <c r="T37" s="403"/>
      <c r="U37" s="401"/>
      <c r="V37" s="338"/>
      <c r="W37" s="403">
        <v>786.21902069000009</v>
      </c>
      <c r="X37" s="401">
        <v>505.29335799</v>
      </c>
      <c r="Y37" s="338">
        <f t="shared" si="18"/>
        <v>-35.700000000000003</v>
      </c>
      <c r="Z37" s="403"/>
      <c r="AA37" s="401"/>
      <c r="AB37" s="338"/>
      <c r="AC37" s="403"/>
      <c r="AD37" s="401"/>
      <c r="AE37" s="338"/>
      <c r="AF37" s="403">
        <v>180.96607009000041</v>
      </c>
      <c r="AG37" s="401">
        <v>127.45364377999962</v>
      </c>
      <c r="AH37" s="338">
        <f t="shared" si="19"/>
        <v>-29.6</v>
      </c>
      <c r="AI37" s="403">
        <v>14468.6</v>
      </c>
      <c r="AJ37" s="401">
        <v>13455</v>
      </c>
      <c r="AK37" s="338">
        <f t="shared" si="25"/>
        <v>-7</v>
      </c>
      <c r="AL37" s="398">
        <f t="shared" si="20"/>
        <v>112307.01885566002</v>
      </c>
      <c r="AM37" s="398">
        <f t="shared" si="20"/>
        <v>109132.33413216</v>
      </c>
      <c r="AN37" s="338">
        <f t="shared" si="21"/>
        <v>-2.8</v>
      </c>
      <c r="AO37" s="398">
        <f t="shared" si="22"/>
        <v>112307.01885566002</v>
      </c>
      <c r="AP37" s="398">
        <f t="shared" si="22"/>
        <v>109132.33413216</v>
      </c>
      <c r="AQ37" s="402">
        <f t="shared" si="23"/>
        <v>-2.8</v>
      </c>
      <c r="AR37" s="453"/>
      <c r="AS37" s="453"/>
      <c r="AT37" s="457"/>
    </row>
    <row r="38" spans="1:46" s="426" customFormat="1" ht="20.100000000000001" customHeight="1" x14ac:dyDescent="0.3">
      <c r="A38" s="420" t="s">
        <v>215</v>
      </c>
      <c r="B38" s="403"/>
      <c r="C38" s="401"/>
      <c r="D38" s="401"/>
      <c r="E38" s="403">
        <v>34420.237000000001</v>
      </c>
      <c r="F38" s="401">
        <v>29539.475999999999</v>
      </c>
      <c r="G38" s="397">
        <f t="shared" si="17"/>
        <v>-14.2</v>
      </c>
      <c r="H38" s="403"/>
      <c r="I38" s="401"/>
      <c r="J38" s="401"/>
      <c r="K38" s="403">
        <v>4916.1000000000004</v>
      </c>
      <c r="L38" s="401">
        <v>5102.37</v>
      </c>
      <c r="M38" s="385">
        <f t="shared" ref="M38:M57" si="27">IF(K38=0, "    ---- ", IF(ABS(ROUND(100/K38*L38-100,1))&lt;999,ROUND(100/K38*L38-100,1),IF(ROUND(100/K38*L38-100,1)&gt;999,999,-999)))</f>
        <v>3.8</v>
      </c>
      <c r="N38" s="403"/>
      <c r="O38" s="401"/>
      <c r="P38" s="338"/>
      <c r="Q38" s="403">
        <v>179234.31943920002</v>
      </c>
      <c r="R38" s="401">
        <v>198689.4991979</v>
      </c>
      <c r="S38" s="338">
        <f t="shared" ref="S38:S45" si="28">IF(Q38=0, "    ---- ", IF(ABS(ROUND(100/Q38*R38-100,1))&lt;999,ROUND(100/Q38*R38-100,1),IF(ROUND(100/Q38*R38-100,1)&gt;999,999,-999)))</f>
        <v>10.9</v>
      </c>
      <c r="T38" s="403">
        <v>1153.4000000000001</v>
      </c>
      <c r="U38" s="401">
        <v>1298.3</v>
      </c>
      <c r="V38" s="338">
        <f>IF(T38=0, "    ---- ", IF(ABS(ROUND(100/T38*U38-100,1))&lt;999,ROUND(100/T38*U38-100,1),IF(ROUND(100/T38*U38-100,1)&gt;999,999,-999)))</f>
        <v>12.6</v>
      </c>
      <c r="W38" s="403">
        <v>30157.455996790002</v>
      </c>
      <c r="X38" s="401">
        <v>31468.403068900003</v>
      </c>
      <c r="Y38" s="338">
        <f t="shared" si="18"/>
        <v>4.3</v>
      </c>
      <c r="Z38" s="403">
        <v>22827</v>
      </c>
      <c r="AA38" s="401">
        <v>22437</v>
      </c>
      <c r="AB38" s="338">
        <f t="shared" si="24"/>
        <v>-1.7</v>
      </c>
      <c r="AC38" s="403"/>
      <c r="AD38" s="401"/>
      <c r="AE38" s="338"/>
      <c r="AF38" s="403">
        <v>7445.5360000000001</v>
      </c>
      <c r="AG38" s="401">
        <v>7334.375</v>
      </c>
      <c r="AH38" s="338">
        <f t="shared" si="19"/>
        <v>-1.5</v>
      </c>
      <c r="AI38" s="403">
        <f>88544.2+24710.5+2442.6</f>
        <v>115697.3</v>
      </c>
      <c r="AJ38" s="401">
        <f>90180+24416+2493</f>
        <v>117089</v>
      </c>
      <c r="AK38" s="338">
        <f t="shared" si="25"/>
        <v>1.2</v>
      </c>
      <c r="AL38" s="398">
        <f t="shared" si="20"/>
        <v>395851.34843599005</v>
      </c>
      <c r="AM38" s="398">
        <f t="shared" si="20"/>
        <v>412958.4232668</v>
      </c>
      <c r="AN38" s="338">
        <f t="shared" si="21"/>
        <v>4.3</v>
      </c>
      <c r="AO38" s="398">
        <f t="shared" si="22"/>
        <v>395851.34843599005</v>
      </c>
      <c r="AP38" s="398">
        <f t="shared" si="22"/>
        <v>412958.4232668</v>
      </c>
      <c r="AQ38" s="402">
        <f t="shared" si="23"/>
        <v>4.3</v>
      </c>
      <c r="AR38" s="453"/>
      <c r="AS38" s="453"/>
      <c r="AT38" s="457"/>
    </row>
    <row r="39" spans="1:46" s="426" customFormat="1" ht="20.100000000000001" customHeight="1" x14ac:dyDescent="0.3">
      <c r="A39" s="420" t="s">
        <v>216</v>
      </c>
      <c r="B39" s="403">
        <f>SUM(B40:B44)</f>
        <v>1087.596</v>
      </c>
      <c r="C39" s="401">
        <f>SUM(C40:C44)</f>
        <v>1147.8980000000001</v>
      </c>
      <c r="D39" s="401">
        <f>IF(B39=0, "    ---- ", IF(ABS(ROUND(100/B39*C39-100,1))&lt;999,ROUND(100/B39*C39-100,1),IF(ROUND(100/B39*C39-100,1)&gt;999,999,-999)))</f>
        <v>5.5</v>
      </c>
      <c r="E39" s="403">
        <f>SUM(E40:E44)</f>
        <v>78675.888000000006</v>
      </c>
      <c r="F39" s="401">
        <f>SUM(F40:F44)</f>
        <v>77994.595000000001</v>
      </c>
      <c r="G39" s="401">
        <f t="shared" si="17"/>
        <v>-0.9</v>
      </c>
      <c r="H39" s="403">
        <f>SUM(H40:H44)</f>
        <v>789.7109999999999</v>
      </c>
      <c r="I39" s="401">
        <f>SUM(I40:I44)</f>
        <v>873.19999999999993</v>
      </c>
      <c r="J39" s="401">
        <f t="shared" ref="J39:J46" si="29">IF(H39=0, "    ---- ", IF(ABS(ROUND(100/H39*I39-100,1))&lt;999,ROUND(100/H39*I39-100,1),IF(ROUND(100/H39*I39-100,1)&gt;999,999,-999)))</f>
        <v>10.6</v>
      </c>
      <c r="K39" s="403">
        <f>SUM(K40:K44)</f>
        <v>598.4</v>
      </c>
      <c r="L39" s="401">
        <f>SUM(L40:L44)</f>
        <v>634.99900000000002</v>
      </c>
      <c r="M39" s="385">
        <f t="shared" si="27"/>
        <v>6.1</v>
      </c>
      <c r="N39" s="403"/>
      <c r="O39" s="401"/>
      <c r="P39" s="338"/>
      <c r="Q39" s="403">
        <f>SUM(Q40:Q44)</f>
        <v>245636.66238130999</v>
      </c>
      <c r="R39" s="401">
        <v>263248.17518871999</v>
      </c>
      <c r="S39" s="338">
        <f t="shared" si="28"/>
        <v>7.2</v>
      </c>
      <c r="T39" s="403">
        <f>SUM(T40:T44)</f>
        <v>252.79999999999998</v>
      </c>
      <c r="U39" s="401">
        <f>SUM(U40:U44)</f>
        <v>116.9</v>
      </c>
      <c r="V39" s="338">
        <f>IF(T39=0, "    ---- ", IF(ABS(ROUND(100/T39*U39-100,1))&lt;999,ROUND(100/T39*U39-100,1),IF(ROUND(100/T39*U39-100,1)&gt;999,999,-999)))</f>
        <v>-53.8</v>
      </c>
      <c r="W39" s="403">
        <f>SUM(W40:W44)</f>
        <v>13411.714200519998</v>
      </c>
      <c r="X39" s="401">
        <f>SUM(X40:X44)</f>
        <v>12598.97835929</v>
      </c>
      <c r="Y39" s="338">
        <f t="shared" si="18"/>
        <v>-6.1</v>
      </c>
      <c r="Z39" s="403">
        <f>SUM(Z40:Z44)</f>
        <v>49140</v>
      </c>
      <c r="AA39" s="401">
        <f>SUM(AA40:AA44)</f>
        <v>54312</v>
      </c>
      <c r="AB39" s="338">
        <f t="shared" si="24"/>
        <v>10.5</v>
      </c>
      <c r="AC39" s="403"/>
      <c r="AD39" s="401"/>
      <c r="AE39" s="338"/>
      <c r="AF39" s="403">
        <f>SUM(AF40:AF44)</f>
        <v>10405.874</v>
      </c>
      <c r="AG39" s="401">
        <f>SUM(AG40:AG44)</f>
        <v>12068.187</v>
      </c>
      <c r="AH39" s="338">
        <f t="shared" si="19"/>
        <v>16</v>
      </c>
      <c r="AI39" s="403">
        <f>SUM(AI40:AI44)</f>
        <v>39810.9</v>
      </c>
      <c r="AJ39" s="401">
        <f>SUM(AJ40:AJ44)</f>
        <v>32646</v>
      </c>
      <c r="AK39" s="338">
        <f t="shared" si="25"/>
        <v>-18</v>
      </c>
      <c r="AL39" s="398">
        <f t="shared" si="20"/>
        <v>439809.54558183003</v>
      </c>
      <c r="AM39" s="398">
        <f t="shared" si="20"/>
        <v>455640.93254800997</v>
      </c>
      <c r="AN39" s="338">
        <f t="shared" si="21"/>
        <v>3.6</v>
      </c>
      <c r="AO39" s="398">
        <f t="shared" si="22"/>
        <v>439809.54558183003</v>
      </c>
      <c r="AP39" s="398">
        <f t="shared" si="22"/>
        <v>455640.93254800997</v>
      </c>
      <c r="AQ39" s="402">
        <f t="shared" si="23"/>
        <v>3.6</v>
      </c>
      <c r="AR39" s="453"/>
      <c r="AS39" s="453"/>
      <c r="AT39" s="457"/>
    </row>
    <row r="40" spans="1:46" s="426" customFormat="1" ht="20.100000000000001" customHeight="1" x14ac:dyDescent="0.3">
      <c r="A40" s="420" t="s">
        <v>217</v>
      </c>
      <c r="B40" s="403">
        <v>48.695999999999998</v>
      </c>
      <c r="C40" s="401">
        <v>33.536999999999999</v>
      </c>
      <c r="D40" s="338">
        <f>IF(B40=0, "    ---- ", IF(ABS(ROUND(100/B40*C40-100,1))&lt;999,ROUND(100/B40*C40-100,1),IF(ROUND(100/B40*C40-100,1)&gt;999,999,-999)))</f>
        <v>-31.1</v>
      </c>
      <c r="E40" s="403">
        <v>20594.819</v>
      </c>
      <c r="F40" s="401">
        <v>18632.566999999999</v>
      </c>
      <c r="G40" s="338">
        <f t="shared" si="17"/>
        <v>-9.5</v>
      </c>
      <c r="H40" s="403">
        <v>111.85299999999999</v>
      </c>
      <c r="I40" s="401">
        <v>99.8</v>
      </c>
      <c r="J40" s="338">
        <f t="shared" si="29"/>
        <v>-10.8</v>
      </c>
      <c r="K40" s="403"/>
      <c r="L40" s="401"/>
      <c r="M40" s="385"/>
      <c r="N40" s="403"/>
      <c r="O40" s="401"/>
      <c r="P40" s="338"/>
      <c r="Q40" s="403">
        <v>117986.02609639999</v>
      </c>
      <c r="R40" s="401">
        <v>133355.45361647001</v>
      </c>
      <c r="S40" s="338">
        <f t="shared" si="28"/>
        <v>13</v>
      </c>
      <c r="T40" s="403">
        <v>51.2</v>
      </c>
      <c r="U40" s="401">
        <v>53.9</v>
      </c>
      <c r="V40" s="338">
        <f>IF(T40=0, "    ---- ", IF(ABS(ROUND(100/T40*U40-100,1))&lt;999,ROUND(100/T40*U40-100,1),IF(ROUND(100/T40*U40-100,1)&gt;999,999,-999)))</f>
        <v>5.3</v>
      </c>
      <c r="W40" s="403">
        <v>5053.5463923999996</v>
      </c>
      <c r="X40" s="401">
        <v>5379.4873280100001</v>
      </c>
      <c r="Y40" s="338">
        <f t="shared" si="18"/>
        <v>6.4</v>
      </c>
      <c r="Z40" s="403">
        <v>29051</v>
      </c>
      <c r="AA40" s="401">
        <v>34757</v>
      </c>
      <c r="AB40" s="338">
        <f t="shared" si="24"/>
        <v>19.600000000000001</v>
      </c>
      <c r="AC40" s="403"/>
      <c r="AD40" s="401"/>
      <c r="AE40" s="338"/>
      <c r="AF40" s="403">
        <v>3282.3159999999998</v>
      </c>
      <c r="AG40" s="401">
        <v>2972.944</v>
      </c>
      <c r="AH40" s="338">
        <f t="shared" si="19"/>
        <v>-9.4</v>
      </c>
      <c r="AI40" s="403">
        <v>14976.4</v>
      </c>
      <c r="AJ40" s="401">
        <v>7688</v>
      </c>
      <c r="AK40" s="338">
        <f t="shared" si="25"/>
        <v>-48.7</v>
      </c>
      <c r="AL40" s="398">
        <f t="shared" si="20"/>
        <v>191155.85648879997</v>
      </c>
      <c r="AM40" s="398">
        <f t="shared" si="20"/>
        <v>202972.68894448</v>
      </c>
      <c r="AN40" s="338">
        <f t="shared" si="21"/>
        <v>6.2</v>
      </c>
      <c r="AO40" s="398">
        <f t="shared" si="22"/>
        <v>191155.85648879997</v>
      </c>
      <c r="AP40" s="398">
        <f t="shared" si="22"/>
        <v>202972.68894448</v>
      </c>
      <c r="AQ40" s="402">
        <f t="shared" si="23"/>
        <v>6.2</v>
      </c>
      <c r="AR40" s="453"/>
      <c r="AS40" s="453"/>
      <c r="AT40" s="457"/>
    </row>
    <row r="41" spans="1:46" s="426" customFormat="1" ht="20.100000000000001" customHeight="1" x14ac:dyDescent="0.3">
      <c r="A41" s="420" t="s">
        <v>218</v>
      </c>
      <c r="B41" s="403">
        <v>982.29399999999998</v>
      </c>
      <c r="C41" s="401">
        <v>1078.42</v>
      </c>
      <c r="D41" s="401">
        <f>IF(B41=0, "    ---- ", IF(ABS(ROUND(100/B41*C41-100,1))&lt;999,ROUND(100/B41*C41-100,1),IF(ROUND(100/B41*C41-100,1)&gt;999,999,-999)))</f>
        <v>9.8000000000000007</v>
      </c>
      <c r="E41" s="403">
        <v>54898.260999999999</v>
      </c>
      <c r="F41" s="401">
        <v>55445.966</v>
      </c>
      <c r="G41" s="401">
        <f t="shared" si="17"/>
        <v>1</v>
      </c>
      <c r="H41" s="403">
        <v>552.37699999999995</v>
      </c>
      <c r="I41" s="401">
        <v>639.4</v>
      </c>
      <c r="J41" s="401">
        <f>IF(H41=0, "    ---- ", IF(ABS(ROUND(100/H41*I41-100,1))&lt;999,ROUND(100/H41*I41-100,1),IF(ROUND(100/H41*I41-100,1)&gt;999,999,-999)))</f>
        <v>15.8</v>
      </c>
      <c r="K41" s="403">
        <v>557.4</v>
      </c>
      <c r="L41" s="401">
        <v>617.40300000000002</v>
      </c>
      <c r="M41" s="385">
        <f t="shared" si="27"/>
        <v>10.8</v>
      </c>
      <c r="N41" s="403"/>
      <c r="O41" s="401"/>
      <c r="P41" s="338"/>
      <c r="Q41" s="403">
        <v>120085.12065299001</v>
      </c>
      <c r="R41" s="401">
        <v>121345.24082404</v>
      </c>
      <c r="S41" s="338">
        <f t="shared" si="28"/>
        <v>1</v>
      </c>
      <c r="T41" s="403">
        <v>140.5</v>
      </c>
      <c r="U41" s="401">
        <v>35.5</v>
      </c>
      <c r="V41" s="338">
        <f>IF(T41=0, "    ---- ", IF(ABS(ROUND(100/T41*U41-100,1))&lt;999,ROUND(100/T41*U41-100,1),IF(ROUND(100/T41*U41-100,1)&gt;999,999,-999)))</f>
        <v>-74.7</v>
      </c>
      <c r="W41" s="403">
        <v>8082.1927470600003</v>
      </c>
      <c r="X41" s="401">
        <v>6455.60148888</v>
      </c>
      <c r="Y41" s="338">
        <f t="shared" si="18"/>
        <v>-20.100000000000001</v>
      </c>
      <c r="Z41" s="403">
        <v>17833</v>
      </c>
      <c r="AA41" s="401">
        <v>18797</v>
      </c>
      <c r="AB41" s="338">
        <f t="shared" si="24"/>
        <v>5.4</v>
      </c>
      <c r="AC41" s="403"/>
      <c r="AD41" s="401"/>
      <c r="AE41" s="338"/>
      <c r="AF41" s="403">
        <v>6885.1459999999997</v>
      </c>
      <c r="AG41" s="401">
        <v>8720.73</v>
      </c>
      <c r="AH41" s="338">
        <f t="shared" si="19"/>
        <v>26.7</v>
      </c>
      <c r="AI41" s="403">
        <v>24470.1</v>
      </c>
      <c r="AJ41" s="401">
        <v>23330</v>
      </c>
      <c r="AK41" s="338">
        <f t="shared" si="25"/>
        <v>-4.7</v>
      </c>
      <c r="AL41" s="398">
        <f t="shared" si="20"/>
        <v>234486.39140005002</v>
      </c>
      <c r="AM41" s="398">
        <f t="shared" si="20"/>
        <v>236465.26131291999</v>
      </c>
      <c r="AN41" s="338">
        <f t="shared" si="21"/>
        <v>0.8</v>
      </c>
      <c r="AO41" s="398">
        <f t="shared" si="22"/>
        <v>234486.39140005002</v>
      </c>
      <c r="AP41" s="398">
        <f t="shared" si="22"/>
        <v>236465.26131291999</v>
      </c>
      <c r="AQ41" s="402">
        <f t="shared" si="23"/>
        <v>0.8</v>
      </c>
      <c r="AR41" s="453"/>
      <c r="AS41" s="453"/>
      <c r="AT41" s="457"/>
    </row>
    <row r="42" spans="1:46" s="426" customFormat="1" ht="20.100000000000001" customHeight="1" x14ac:dyDescent="0.3">
      <c r="A42" s="420" t="s">
        <v>219</v>
      </c>
      <c r="B42" s="403"/>
      <c r="C42" s="401"/>
      <c r="D42" s="401"/>
      <c r="E42" s="403">
        <v>2241.6480000000001</v>
      </c>
      <c r="F42" s="401">
        <v>2792.326</v>
      </c>
      <c r="G42" s="401">
        <f t="shared" si="17"/>
        <v>24.6</v>
      </c>
      <c r="H42" s="403"/>
      <c r="I42" s="401"/>
      <c r="J42" s="401"/>
      <c r="K42" s="403"/>
      <c r="L42" s="401"/>
      <c r="M42" s="385"/>
      <c r="N42" s="403"/>
      <c r="O42" s="401"/>
      <c r="P42" s="338"/>
      <c r="Q42" s="403">
        <v>5640.4502003100006</v>
      </c>
      <c r="R42" s="401">
        <v>5147.8118741099997</v>
      </c>
      <c r="S42" s="338">
        <f t="shared" si="28"/>
        <v>-8.6999999999999993</v>
      </c>
      <c r="T42" s="403">
        <v>11</v>
      </c>
      <c r="U42" s="401">
        <v>27.4</v>
      </c>
      <c r="V42" s="338">
        <f>IF(T42=0, "    ---- ", IF(ABS(ROUND(100/T42*U42-100,1))&lt;999,ROUND(100/T42*U42-100,1),IF(ROUND(100/T42*U42-100,1)&gt;999,999,-999)))</f>
        <v>149.1</v>
      </c>
      <c r="W42" s="403">
        <v>0</v>
      </c>
      <c r="X42" s="401">
        <v>0</v>
      </c>
      <c r="Y42" s="338" t="str">
        <f t="shared" si="18"/>
        <v xml:space="preserve">    ---- </v>
      </c>
      <c r="Z42" s="403">
        <v>52</v>
      </c>
      <c r="AA42" s="401">
        <v>0</v>
      </c>
      <c r="AB42" s="338">
        <f t="shared" si="24"/>
        <v>-100</v>
      </c>
      <c r="AC42" s="403"/>
      <c r="AD42" s="401"/>
      <c r="AE42" s="338"/>
      <c r="AF42" s="403"/>
      <c r="AG42" s="401">
        <v>0</v>
      </c>
      <c r="AH42" s="338"/>
      <c r="AI42" s="403"/>
      <c r="AJ42" s="401"/>
      <c r="AK42" s="338"/>
      <c r="AL42" s="398">
        <f t="shared" si="20"/>
        <v>7945.0982003100007</v>
      </c>
      <c r="AM42" s="398">
        <f t="shared" si="20"/>
        <v>7967.5378741099994</v>
      </c>
      <c r="AN42" s="338">
        <f t="shared" si="21"/>
        <v>0.3</v>
      </c>
      <c r="AO42" s="398">
        <f t="shared" si="22"/>
        <v>7945.0982003100007</v>
      </c>
      <c r="AP42" s="398">
        <f t="shared" si="22"/>
        <v>7967.5378741099994</v>
      </c>
      <c r="AQ42" s="402">
        <f t="shared" si="23"/>
        <v>0.3</v>
      </c>
      <c r="AR42" s="453"/>
      <c r="AS42" s="453"/>
      <c r="AT42" s="457"/>
    </row>
    <row r="43" spans="1:46" s="426" customFormat="1" ht="20.100000000000001" customHeight="1" x14ac:dyDescent="0.3">
      <c r="A43" s="420" t="s">
        <v>220</v>
      </c>
      <c r="B43" s="403">
        <v>0.10199999999999999</v>
      </c>
      <c r="C43" s="401">
        <v>0.10299999999999999</v>
      </c>
      <c r="D43" s="401">
        <f>IF(B43=0, "    ---- ", IF(ABS(ROUND(100/B43*C43-100,1))&lt;999,ROUND(100/B43*C43-100,1),IF(ROUND(100/B43*C43-100,1)&gt;999,999,-999)))</f>
        <v>1</v>
      </c>
      <c r="E43" s="403">
        <v>390.625</v>
      </c>
      <c r="F43" s="401">
        <v>41.655999999999999</v>
      </c>
      <c r="G43" s="401">
        <f t="shared" si="17"/>
        <v>-89.3</v>
      </c>
      <c r="H43" s="403"/>
      <c r="I43" s="401"/>
      <c r="J43" s="401"/>
      <c r="K43" s="403"/>
      <c r="L43" s="401"/>
      <c r="M43" s="385"/>
      <c r="N43" s="403"/>
      <c r="O43" s="401"/>
      <c r="P43" s="338"/>
      <c r="Q43" s="403">
        <v>1379.8890229000001</v>
      </c>
      <c r="R43" s="401">
        <v>250.22227652999999</v>
      </c>
      <c r="S43" s="338">
        <f t="shared" si="28"/>
        <v>-81.900000000000006</v>
      </c>
      <c r="T43" s="403"/>
      <c r="U43" s="401"/>
      <c r="V43" s="338"/>
      <c r="W43" s="403">
        <v>44.42183593</v>
      </c>
      <c r="X43" s="401">
        <v>8.3679494000000005</v>
      </c>
      <c r="Y43" s="338">
        <f t="shared" si="18"/>
        <v>-81.2</v>
      </c>
      <c r="Z43" s="403">
        <v>478</v>
      </c>
      <c r="AA43" s="401">
        <v>-622</v>
      </c>
      <c r="AB43" s="338">
        <f>IF(Z43=0, "    ---- ", IF(ABS(ROUND(100/Z43*AA43-100,1))&lt;999,ROUND(100/Z43*AA43-100,1),IF(ROUND(100/Z43*AA43-100,1)&gt;999,999,-999)))</f>
        <v>-230.1</v>
      </c>
      <c r="AC43" s="403"/>
      <c r="AD43" s="401"/>
      <c r="AE43" s="338"/>
      <c r="AF43" s="403">
        <v>80.025999999999996</v>
      </c>
      <c r="AG43" s="401">
        <v>15.182</v>
      </c>
      <c r="AH43" s="338">
        <f t="shared" si="19"/>
        <v>-81</v>
      </c>
      <c r="AI43" s="403">
        <v>364.4</v>
      </c>
      <c r="AJ43" s="401">
        <v>1628</v>
      </c>
      <c r="AK43" s="338">
        <f t="shared" si="25"/>
        <v>346.8</v>
      </c>
      <c r="AL43" s="398">
        <f t="shared" si="20"/>
        <v>2737.4638588299999</v>
      </c>
      <c r="AM43" s="398">
        <f t="shared" si="20"/>
        <v>1321.5312259299999</v>
      </c>
      <c r="AN43" s="338">
        <f t="shared" si="21"/>
        <v>-51.7</v>
      </c>
      <c r="AO43" s="398">
        <f t="shared" si="22"/>
        <v>2737.4638588299999</v>
      </c>
      <c r="AP43" s="398">
        <f t="shared" si="22"/>
        <v>1321.5312259299999</v>
      </c>
      <c r="AQ43" s="402">
        <f t="shared" si="23"/>
        <v>-51.7</v>
      </c>
      <c r="AR43" s="453"/>
      <c r="AS43" s="453"/>
      <c r="AT43" s="457"/>
    </row>
    <row r="44" spans="1:46" s="426" customFormat="1" ht="20.100000000000001" customHeight="1" x14ac:dyDescent="0.3">
      <c r="A44" s="420" t="s">
        <v>221</v>
      </c>
      <c r="B44" s="403">
        <v>56.503999999999998</v>
      </c>
      <c r="C44" s="401">
        <v>35.838000000000001</v>
      </c>
      <c r="D44" s="401">
        <f>IF(B44=0, "    ---- ", IF(ABS(ROUND(100/B44*C44-100,1))&lt;999,ROUND(100/B44*C44-100,1),IF(ROUND(100/B44*C44-100,1)&gt;999,999,-999)))</f>
        <v>-36.6</v>
      </c>
      <c r="E44" s="403">
        <v>550.53499999999997</v>
      </c>
      <c r="F44" s="401">
        <v>1082.08</v>
      </c>
      <c r="G44" s="401">
        <f t="shared" si="17"/>
        <v>96.6</v>
      </c>
      <c r="H44" s="403">
        <v>125.48099999999999</v>
      </c>
      <c r="I44" s="401">
        <v>134</v>
      </c>
      <c r="J44" s="401">
        <f t="shared" si="29"/>
        <v>6.8</v>
      </c>
      <c r="K44" s="403">
        <v>41</v>
      </c>
      <c r="L44" s="401">
        <f>2.75+14.846</f>
        <v>17.596</v>
      </c>
      <c r="M44" s="385">
        <f t="shared" si="27"/>
        <v>-57.1</v>
      </c>
      <c r="N44" s="403"/>
      <c r="O44" s="401"/>
      <c r="P44" s="338"/>
      <c r="Q44" s="403">
        <v>545.17640871000003</v>
      </c>
      <c r="R44" s="401">
        <v>3149.44659757</v>
      </c>
      <c r="S44" s="338">
        <f t="shared" si="28"/>
        <v>477.7</v>
      </c>
      <c r="T44" s="403">
        <v>50.1</v>
      </c>
      <c r="U44" s="401">
        <v>0.1</v>
      </c>
      <c r="V44" s="338">
        <f t="shared" ref="V44" si="30">IF(T44=0, "    ---- ", IF(ABS(ROUND(100/T44*U44-100,1))&lt;999,ROUND(100/T44*U44-100,1),IF(ROUND(100/T44*U44-100,1)&gt;999,999,-999)))</f>
        <v>-99.8</v>
      </c>
      <c r="W44" s="403">
        <v>231.55322512999999</v>
      </c>
      <c r="X44" s="401">
        <v>755.52159300000005</v>
      </c>
      <c r="Y44" s="338">
        <f t="shared" si="18"/>
        <v>226.3</v>
      </c>
      <c r="Z44" s="403">
        <v>1726</v>
      </c>
      <c r="AA44" s="401">
        <v>1380</v>
      </c>
      <c r="AB44" s="338">
        <f>IF(Z44=0, "    ---- ", IF(ABS(ROUND(100/Z44*AA44-100,1))&lt;999,ROUND(100/Z44*AA44-100,1),IF(ROUND(100/Z44*AA44-100,1)&gt;999,999,-999)))</f>
        <v>-20</v>
      </c>
      <c r="AC44" s="403"/>
      <c r="AD44" s="401"/>
      <c r="AE44" s="338"/>
      <c r="AF44" s="403">
        <v>158.386</v>
      </c>
      <c r="AG44" s="401">
        <v>359.33100000000002</v>
      </c>
      <c r="AH44" s="338">
        <f t="shared" si="19"/>
        <v>126.9</v>
      </c>
      <c r="AI44" s="403"/>
      <c r="AJ44" s="401"/>
      <c r="AK44" s="338" t="str">
        <f t="shared" si="25"/>
        <v xml:space="preserve">    ---- </v>
      </c>
      <c r="AL44" s="398">
        <f t="shared" si="20"/>
        <v>3484.73563384</v>
      </c>
      <c r="AM44" s="398">
        <f t="shared" si="20"/>
        <v>6913.9131905700006</v>
      </c>
      <c r="AN44" s="338">
        <f t="shared" si="21"/>
        <v>98.4</v>
      </c>
      <c r="AO44" s="398">
        <f t="shared" si="22"/>
        <v>3484.73563384</v>
      </c>
      <c r="AP44" s="398">
        <f t="shared" si="22"/>
        <v>6913.9131905700006</v>
      </c>
      <c r="AQ44" s="402">
        <f t="shared" si="23"/>
        <v>98.4</v>
      </c>
      <c r="AR44" s="453"/>
      <c r="AS44" s="453"/>
      <c r="AT44" s="457"/>
    </row>
    <row r="45" spans="1:46" s="426" customFormat="1" ht="20.100000000000001" customHeight="1" x14ac:dyDescent="0.3">
      <c r="A45" s="421" t="s">
        <v>222</v>
      </c>
      <c r="B45" s="403">
        <f>SUM(B33+B34+B35+B39)</f>
        <v>1087.596</v>
      </c>
      <c r="C45" s="401">
        <f>SUM(C33+C34+C35+C39)</f>
        <v>1147.8980000000001</v>
      </c>
      <c r="D45" s="338">
        <f>IF(B45=0, "    ---- ", IF(ABS(ROUND(100/B45*C45-100,1))&lt;999,ROUND(100/B45*C45-100,1),IF(ROUND(100/B45*C45-100,1)&gt;999,999,-999)))</f>
        <v>5.5</v>
      </c>
      <c r="E45" s="403">
        <f>SUM(E33+E34+E35+E39)</f>
        <v>208139.85200000001</v>
      </c>
      <c r="F45" s="401">
        <f>SUM(F33+F34+F35+F39)</f>
        <v>206565.90700000001</v>
      </c>
      <c r="G45" s="338">
        <f t="shared" si="17"/>
        <v>-0.8</v>
      </c>
      <c r="H45" s="403">
        <f>SUM(H33+H34+H35+H39)</f>
        <v>968.46599999999989</v>
      </c>
      <c r="I45" s="401">
        <f>SUM(I33+I34+I35+I39)</f>
        <v>1083</v>
      </c>
      <c r="J45" s="338">
        <f t="shared" si="29"/>
        <v>11.8</v>
      </c>
      <c r="K45" s="403">
        <f>SUM(K33+K34+K35+K39)</f>
        <v>6440.5</v>
      </c>
      <c r="L45" s="401">
        <f>SUM(L33+L34+L35+L39)</f>
        <v>6674.2529999999997</v>
      </c>
      <c r="M45" s="385">
        <f t="shared" si="27"/>
        <v>3.6</v>
      </c>
      <c r="N45" s="403"/>
      <c r="O45" s="401"/>
      <c r="P45" s="338"/>
      <c r="Q45" s="403">
        <f>SUM(Q33+Q34+Q35+Q39)</f>
        <v>509045.99479750998</v>
      </c>
      <c r="R45" s="401">
        <v>551695.68207675999</v>
      </c>
      <c r="S45" s="338">
        <f t="shared" si="28"/>
        <v>8.4</v>
      </c>
      <c r="T45" s="403">
        <f>SUM(T33+T34+T35+T39)</f>
        <v>1734.1000000000001</v>
      </c>
      <c r="U45" s="401">
        <f>SUM(U33+U34+U35+U39)</f>
        <v>1750.4</v>
      </c>
      <c r="V45" s="338">
        <f>IF(T45=0, "    ---- ", IF(ABS(ROUND(100/T45*U45-100,1))&lt;999,ROUND(100/T45*U45-100,1),IF(ROUND(100/T45*U45-100,1)&gt;999,999,-999)))</f>
        <v>0.9</v>
      </c>
      <c r="W45" s="403">
        <f>SUM(W33+W34+W35+W39)</f>
        <v>50714.826346990005</v>
      </c>
      <c r="X45" s="401">
        <f>SUM(X33+X34+X35+X39)</f>
        <v>51807.031747720001</v>
      </c>
      <c r="Y45" s="338">
        <f t="shared" si="18"/>
        <v>2.2000000000000002</v>
      </c>
      <c r="Z45" s="403">
        <f>SUM(Z33+Z34+Z35+Z39)</f>
        <v>86922</v>
      </c>
      <c r="AA45" s="401">
        <f>SUM(AA33+AA34+AA35+AA39)</f>
        <v>91365</v>
      </c>
      <c r="AB45" s="338">
        <f>IF(Z45=0, "    ---- ", IF(ABS(ROUND(100/Z45*AA45-100,1))&lt;999,ROUND(100/Z45*AA45-100,1),IF(ROUND(100/Z45*AA45-100,1)&gt;999,999,-999)))</f>
        <v>5.0999999999999996</v>
      </c>
      <c r="AC45" s="403"/>
      <c r="AD45" s="401"/>
      <c r="AE45" s="338"/>
      <c r="AF45" s="403">
        <f>SUM(AF33+AF34+AF35+AF39)</f>
        <v>23197.011999999999</v>
      </c>
      <c r="AG45" s="401">
        <f>SUM(AG33+AG34+AG35+AG39)</f>
        <v>25112.951999999997</v>
      </c>
      <c r="AH45" s="338">
        <f t="shared" si="19"/>
        <v>8.3000000000000007</v>
      </c>
      <c r="AI45" s="403">
        <f>SUM(AI33+AI34+AI35+AI39)</f>
        <v>189684.80000000002</v>
      </c>
      <c r="AJ45" s="401">
        <f>SUM(AJ33+AJ34+AJ35+AJ39)</f>
        <v>191026</v>
      </c>
      <c r="AK45" s="338">
        <f t="shared" si="25"/>
        <v>0.7</v>
      </c>
      <c r="AL45" s="398">
        <f t="shared" si="20"/>
        <v>1077935.1471444999</v>
      </c>
      <c r="AM45" s="398">
        <f t="shared" si="20"/>
        <v>1128228.12382448</v>
      </c>
      <c r="AN45" s="338">
        <f t="shared" si="21"/>
        <v>4.7</v>
      </c>
      <c r="AO45" s="398">
        <f t="shared" si="22"/>
        <v>1077935.1471444999</v>
      </c>
      <c r="AP45" s="398">
        <f t="shared" si="22"/>
        <v>1128228.12382448</v>
      </c>
      <c r="AQ45" s="402">
        <f t="shared" si="23"/>
        <v>4.7</v>
      </c>
      <c r="AR45" s="453"/>
      <c r="AS45" s="453"/>
      <c r="AT45" s="457"/>
    </row>
    <row r="46" spans="1:46" s="426" customFormat="1" ht="20.100000000000001" customHeight="1" x14ac:dyDescent="0.3">
      <c r="A46" s="418" t="s">
        <v>341</v>
      </c>
      <c r="B46" s="403">
        <v>122.986</v>
      </c>
      <c r="C46" s="401">
        <v>142.376</v>
      </c>
      <c r="D46" s="338">
        <f>IF(B46=0, "    ---- ", IF(ABS(ROUND(100/B46*C46-100,1))&lt;999,ROUND(100/B46*C46-100,1),IF(ROUND(100/B46*C46-100,1)&gt;999,999,-999)))</f>
        <v>15.8</v>
      </c>
      <c r="E46" s="403"/>
      <c r="F46" s="401">
        <v>241.40600000000001</v>
      </c>
      <c r="G46" s="397" t="str">
        <f t="shared" si="17"/>
        <v xml:space="preserve">    ---- </v>
      </c>
      <c r="H46" s="403">
        <v>113.485</v>
      </c>
      <c r="I46" s="401">
        <v>85.2</v>
      </c>
      <c r="J46" s="338">
        <f t="shared" si="29"/>
        <v>-24.9</v>
      </c>
      <c r="K46" s="403">
        <v>60.1</v>
      </c>
      <c r="L46" s="401">
        <v>430.81799999999998</v>
      </c>
      <c r="M46" s="385">
        <f>IF(K46=0, "    ---- ", IF(ABS(ROUND(100/K46*L46-100,1))&lt;999,ROUND(100/K46*L46-100,1),IF(ROUND(100/K46*L46-100,1)&gt;999,999,-999)))</f>
        <v>616.79999999999995</v>
      </c>
      <c r="N46" s="403"/>
      <c r="O46" s="401"/>
      <c r="P46" s="338"/>
      <c r="Q46" s="403"/>
      <c r="R46" s="401"/>
      <c r="S46" s="338"/>
      <c r="T46" s="403"/>
      <c r="U46" s="401"/>
      <c r="V46" s="338"/>
      <c r="W46" s="403">
        <v>99.15</v>
      </c>
      <c r="X46" s="401">
        <v>51.01</v>
      </c>
      <c r="Y46" s="338">
        <f t="shared" si="18"/>
        <v>-48.6</v>
      </c>
      <c r="Z46" s="403"/>
      <c r="AA46" s="401"/>
      <c r="AB46" s="338"/>
      <c r="AC46" s="403"/>
      <c r="AD46" s="401"/>
      <c r="AE46" s="338"/>
      <c r="AF46" s="403">
        <v>442.69400000000002</v>
      </c>
      <c r="AG46" s="401">
        <v>526.08000000000004</v>
      </c>
      <c r="AH46" s="338">
        <f t="shared" si="19"/>
        <v>18.8</v>
      </c>
      <c r="AI46" s="403">
        <v>55.7</v>
      </c>
      <c r="AJ46" s="401">
        <v>62</v>
      </c>
      <c r="AK46" s="338">
        <f t="shared" si="25"/>
        <v>11.3</v>
      </c>
      <c r="AL46" s="398">
        <f t="shared" si="20"/>
        <v>894.11500000000001</v>
      </c>
      <c r="AM46" s="398">
        <f t="shared" si="20"/>
        <v>1538.8899999999999</v>
      </c>
      <c r="AN46" s="338">
        <f t="shared" si="21"/>
        <v>72.099999999999994</v>
      </c>
      <c r="AO46" s="398">
        <f t="shared" si="22"/>
        <v>894.11500000000001</v>
      </c>
      <c r="AP46" s="398">
        <f t="shared" si="22"/>
        <v>1538.8899999999999</v>
      </c>
      <c r="AQ46" s="402">
        <f t="shared" si="23"/>
        <v>72.099999999999994</v>
      </c>
      <c r="AR46" s="453"/>
      <c r="AS46" s="453"/>
      <c r="AT46" s="457"/>
    </row>
    <row r="47" spans="1:46" s="426" customFormat="1" ht="20.100000000000001" customHeight="1" x14ac:dyDescent="0.3">
      <c r="A47" s="418" t="s">
        <v>223</v>
      </c>
      <c r="B47" s="403"/>
      <c r="C47" s="401"/>
      <c r="D47" s="401"/>
      <c r="E47" s="403"/>
      <c r="F47" s="401"/>
      <c r="G47" s="401"/>
      <c r="H47" s="403"/>
      <c r="I47" s="401"/>
      <c r="J47" s="401"/>
      <c r="K47" s="403"/>
      <c r="L47" s="401"/>
      <c r="M47" s="385"/>
      <c r="N47" s="403"/>
      <c r="O47" s="401"/>
      <c r="P47" s="338"/>
      <c r="Q47" s="403"/>
      <c r="R47" s="401"/>
      <c r="S47" s="338"/>
      <c r="T47" s="403"/>
      <c r="U47" s="401"/>
      <c r="V47" s="338"/>
      <c r="W47" s="403"/>
      <c r="X47" s="401"/>
      <c r="Y47" s="338"/>
      <c r="Z47" s="403"/>
      <c r="AA47" s="401"/>
      <c r="AB47" s="338"/>
      <c r="AC47" s="403"/>
      <c r="AD47" s="401"/>
      <c r="AE47" s="338"/>
      <c r="AF47" s="403"/>
      <c r="AG47" s="401"/>
      <c r="AH47" s="338"/>
      <c r="AI47" s="403"/>
      <c r="AJ47" s="401"/>
      <c r="AK47" s="338"/>
      <c r="AL47" s="387"/>
      <c r="AM47" s="387"/>
      <c r="AN47" s="338"/>
      <c r="AO47" s="387"/>
      <c r="AP47" s="387"/>
      <c r="AQ47" s="402"/>
      <c r="AR47" s="453"/>
      <c r="AS47" s="453"/>
      <c r="AT47" s="457"/>
    </row>
    <row r="48" spans="1:46" s="426" customFormat="1" ht="20.100000000000001" customHeight="1" x14ac:dyDescent="0.3">
      <c r="A48" s="420" t="s">
        <v>224</v>
      </c>
      <c r="B48" s="403"/>
      <c r="C48" s="401"/>
      <c r="D48" s="401"/>
      <c r="E48" s="403"/>
      <c r="F48" s="401"/>
      <c r="G48" s="401"/>
      <c r="H48" s="403"/>
      <c r="I48" s="401"/>
      <c r="J48" s="401"/>
      <c r="K48" s="403"/>
      <c r="L48" s="401"/>
      <c r="M48" s="385"/>
      <c r="N48" s="403"/>
      <c r="O48" s="401"/>
      <c r="P48" s="338"/>
      <c r="Q48" s="403"/>
      <c r="R48" s="401"/>
      <c r="S48" s="338"/>
      <c r="T48" s="403"/>
      <c r="U48" s="401"/>
      <c r="V48" s="338"/>
      <c r="W48" s="403"/>
      <c r="X48" s="401"/>
      <c r="Y48" s="338"/>
      <c r="Z48" s="403"/>
      <c r="AA48" s="401"/>
      <c r="AB48" s="338"/>
      <c r="AC48" s="403"/>
      <c r="AD48" s="401"/>
      <c r="AE48" s="338"/>
      <c r="AF48" s="403"/>
      <c r="AG48" s="401"/>
      <c r="AH48" s="338"/>
      <c r="AI48" s="403"/>
      <c r="AJ48" s="401"/>
      <c r="AK48" s="338"/>
      <c r="AL48" s="398">
        <f t="shared" ref="AL48:AM62" si="31">B48+E48+H48+K48+Q48+T48+W48+Z48+AF48+AI48</f>
        <v>0</v>
      </c>
      <c r="AM48" s="398">
        <f t="shared" si="31"/>
        <v>0</v>
      </c>
      <c r="AN48" s="338" t="str">
        <f t="shared" si="21"/>
        <v xml:space="preserve">    ---- </v>
      </c>
      <c r="AO48" s="398">
        <f t="shared" ref="AO48:AP62" si="32">B48+E48+H48+K48+N48+Q48+T48+W48+Z48+AC48+AF48+AI48</f>
        <v>0</v>
      </c>
      <c r="AP48" s="398">
        <f t="shared" si="32"/>
        <v>0</v>
      </c>
      <c r="AQ48" s="402" t="str">
        <f t="shared" si="23"/>
        <v xml:space="preserve">    ---- </v>
      </c>
      <c r="AR48" s="453"/>
      <c r="AS48" s="453"/>
      <c r="AT48" s="457"/>
    </row>
    <row r="49" spans="1:46" s="426" customFormat="1" ht="20.100000000000001" customHeight="1" x14ac:dyDescent="0.3">
      <c r="A49" s="420" t="s">
        <v>225</v>
      </c>
      <c r="B49" s="403"/>
      <c r="C49" s="401"/>
      <c r="D49" s="401"/>
      <c r="E49" s="403"/>
      <c r="F49" s="401"/>
      <c r="G49" s="401"/>
      <c r="H49" s="403"/>
      <c r="I49" s="401"/>
      <c r="J49" s="401"/>
      <c r="K49" s="403"/>
      <c r="L49" s="401">
        <v>841.22699999999998</v>
      </c>
      <c r="M49" s="385" t="str">
        <f>IF(K49=0, "    ---- ", IF(ABS(ROUND(100/K49*L49-100,1))&lt;999,ROUND(100/K49*L49-100,1),IF(ROUND(100/K49*L49-100,1)&gt;999,999,-999)))</f>
        <v xml:space="preserve">    ---- </v>
      </c>
      <c r="N49" s="403"/>
      <c r="O49" s="401"/>
      <c r="P49" s="338"/>
      <c r="Q49" s="403">
        <v>296.78788487999998</v>
      </c>
      <c r="R49" s="401">
        <v>316.42907087999998</v>
      </c>
      <c r="S49" s="338">
        <f t="shared" ref="S49:S60" si="33">IF(Q49=0, "    ---- ", IF(ABS(ROUND(100/Q49*R49-100,1))&lt;999,ROUND(100/Q49*R49-100,1),IF(ROUND(100/Q49*R49-100,1)&gt;999,999,-999)))</f>
        <v>6.6</v>
      </c>
      <c r="T49" s="403"/>
      <c r="U49" s="401"/>
      <c r="V49" s="338"/>
      <c r="W49" s="403"/>
      <c r="X49" s="401"/>
      <c r="Y49" s="338"/>
      <c r="Z49" s="403"/>
      <c r="AA49" s="401"/>
      <c r="AB49" s="338"/>
      <c r="AC49" s="403"/>
      <c r="AD49" s="401"/>
      <c r="AE49" s="338"/>
      <c r="AF49" s="403"/>
      <c r="AG49" s="401"/>
      <c r="AH49" s="338"/>
      <c r="AI49" s="403">
        <v>4179</v>
      </c>
      <c r="AJ49" s="401">
        <v>19092</v>
      </c>
      <c r="AK49" s="338">
        <f t="shared" si="25"/>
        <v>356.9</v>
      </c>
      <c r="AL49" s="398">
        <f t="shared" si="31"/>
        <v>4475.7878848800001</v>
      </c>
      <c r="AM49" s="398">
        <f t="shared" si="31"/>
        <v>20249.656070879999</v>
      </c>
      <c r="AN49" s="338">
        <f t="shared" si="21"/>
        <v>352.4</v>
      </c>
      <c r="AO49" s="398">
        <f t="shared" si="32"/>
        <v>4475.7878848800001</v>
      </c>
      <c r="AP49" s="398">
        <f t="shared" si="32"/>
        <v>20249.656070879999</v>
      </c>
      <c r="AQ49" s="402">
        <f t="shared" si="23"/>
        <v>352.4</v>
      </c>
      <c r="AR49" s="453"/>
      <c r="AS49" s="453"/>
      <c r="AT49" s="457"/>
    </row>
    <row r="50" spans="1:46" s="426" customFormat="1" ht="20.100000000000001" customHeight="1" x14ac:dyDescent="0.3">
      <c r="A50" s="420" t="s">
        <v>226</v>
      </c>
      <c r="B50" s="403"/>
      <c r="C50" s="401"/>
      <c r="D50" s="401"/>
      <c r="E50" s="403"/>
      <c r="F50" s="401"/>
      <c r="G50" s="401"/>
      <c r="H50" s="403"/>
      <c r="I50" s="401"/>
      <c r="J50" s="401"/>
      <c r="K50" s="403"/>
      <c r="L50" s="401"/>
      <c r="M50" s="385"/>
      <c r="N50" s="403"/>
      <c r="O50" s="401"/>
      <c r="P50" s="338"/>
      <c r="Q50" s="403">
        <f>SUM(Q51+Q53)</f>
        <v>868.87723305000009</v>
      </c>
      <c r="R50" s="401">
        <v>888.51993479000009</v>
      </c>
      <c r="S50" s="338">
        <f t="shared" si="33"/>
        <v>2.2999999999999998</v>
      </c>
      <c r="T50" s="403"/>
      <c r="U50" s="401"/>
      <c r="V50" s="338"/>
      <c r="W50" s="403"/>
      <c r="X50" s="401"/>
      <c r="Y50" s="338"/>
      <c r="Z50" s="403"/>
      <c r="AA50" s="401"/>
      <c r="AB50" s="338"/>
      <c r="AC50" s="403"/>
      <c r="AD50" s="401"/>
      <c r="AE50" s="338"/>
      <c r="AF50" s="403"/>
      <c r="AG50" s="401"/>
      <c r="AH50" s="338"/>
      <c r="AI50" s="403">
        <f>SUM(AI51+AI53)</f>
        <v>354.5</v>
      </c>
      <c r="AJ50" s="401">
        <f>SUM(AJ51+AJ53)</f>
        <v>410</v>
      </c>
      <c r="AK50" s="338">
        <f t="shared" si="25"/>
        <v>15.7</v>
      </c>
      <c r="AL50" s="398">
        <f t="shared" si="31"/>
        <v>1223.3772330500001</v>
      </c>
      <c r="AM50" s="398">
        <f t="shared" si="31"/>
        <v>1298.5199347900002</v>
      </c>
      <c r="AN50" s="338">
        <f t="shared" si="21"/>
        <v>6.1</v>
      </c>
      <c r="AO50" s="398">
        <f t="shared" si="32"/>
        <v>1223.3772330500001</v>
      </c>
      <c r="AP50" s="398">
        <f t="shared" si="32"/>
        <v>1298.5199347900002</v>
      </c>
      <c r="AQ50" s="402">
        <f t="shared" si="23"/>
        <v>6.1</v>
      </c>
      <c r="AR50" s="453"/>
      <c r="AS50" s="453"/>
      <c r="AT50" s="457"/>
    </row>
    <row r="51" spans="1:46" s="426" customFormat="1" ht="20.100000000000001" customHeight="1" x14ac:dyDescent="0.3">
      <c r="A51" s="420" t="s">
        <v>227</v>
      </c>
      <c r="B51" s="403"/>
      <c r="C51" s="401"/>
      <c r="D51" s="338"/>
      <c r="E51" s="403"/>
      <c r="F51" s="401"/>
      <c r="G51" s="338"/>
      <c r="H51" s="403"/>
      <c r="I51" s="401"/>
      <c r="J51" s="338"/>
      <c r="K51" s="403"/>
      <c r="L51" s="401"/>
      <c r="M51" s="385"/>
      <c r="N51" s="403"/>
      <c r="O51" s="401"/>
      <c r="P51" s="338"/>
      <c r="Q51" s="403">
        <v>81.460600480000011</v>
      </c>
      <c r="R51" s="401">
        <v>81.503514780000003</v>
      </c>
      <c r="S51" s="338">
        <f t="shared" si="33"/>
        <v>0.1</v>
      </c>
      <c r="T51" s="403"/>
      <c r="U51" s="401"/>
      <c r="V51" s="338"/>
      <c r="W51" s="403"/>
      <c r="X51" s="401"/>
      <c r="Y51" s="338"/>
      <c r="Z51" s="403"/>
      <c r="AA51" s="401"/>
      <c r="AB51" s="338"/>
      <c r="AC51" s="403"/>
      <c r="AD51" s="401"/>
      <c r="AE51" s="338"/>
      <c r="AF51" s="403"/>
      <c r="AG51" s="401"/>
      <c r="AH51" s="338"/>
      <c r="AI51" s="403"/>
      <c r="AJ51" s="401"/>
      <c r="AK51" s="338"/>
      <c r="AL51" s="398">
        <f t="shared" si="31"/>
        <v>81.460600480000011</v>
      </c>
      <c r="AM51" s="398">
        <f t="shared" si="31"/>
        <v>81.503514780000003</v>
      </c>
      <c r="AN51" s="338">
        <f t="shared" si="21"/>
        <v>0.1</v>
      </c>
      <c r="AO51" s="398">
        <f t="shared" si="32"/>
        <v>81.460600480000011</v>
      </c>
      <c r="AP51" s="398">
        <f t="shared" si="32"/>
        <v>81.503514780000003</v>
      </c>
      <c r="AQ51" s="402">
        <f t="shared" si="23"/>
        <v>0.1</v>
      </c>
      <c r="AR51" s="453"/>
      <c r="AS51" s="453"/>
      <c r="AT51" s="457"/>
    </row>
    <row r="52" spans="1:46" s="455" customFormat="1" ht="20.100000000000001" customHeight="1" x14ac:dyDescent="0.3">
      <c r="A52" s="420" t="s">
        <v>197</v>
      </c>
      <c r="B52" s="399"/>
      <c r="C52" s="397"/>
      <c r="D52" s="397"/>
      <c r="E52" s="399"/>
      <c r="F52" s="397"/>
      <c r="G52" s="397"/>
      <c r="H52" s="399"/>
      <c r="I52" s="397"/>
      <c r="J52" s="397"/>
      <c r="K52" s="399"/>
      <c r="L52" s="397"/>
      <c r="M52" s="394"/>
      <c r="N52" s="399"/>
      <c r="O52" s="397"/>
      <c r="P52" s="397"/>
      <c r="Q52" s="399"/>
      <c r="R52" s="397">
        <v>81.503514780000003</v>
      </c>
      <c r="S52" s="338" t="str">
        <f t="shared" si="33"/>
        <v xml:space="preserve">    ---- </v>
      </c>
      <c r="T52" s="399"/>
      <c r="U52" s="397"/>
      <c r="V52" s="397"/>
      <c r="W52" s="399"/>
      <c r="X52" s="397"/>
      <c r="Y52" s="397"/>
      <c r="Z52" s="399"/>
      <c r="AA52" s="397"/>
      <c r="AB52" s="397"/>
      <c r="AC52" s="399"/>
      <c r="AD52" s="397"/>
      <c r="AE52" s="397"/>
      <c r="AF52" s="399"/>
      <c r="AG52" s="397"/>
      <c r="AH52" s="397"/>
      <c r="AI52" s="399"/>
      <c r="AJ52" s="397"/>
      <c r="AK52" s="397"/>
      <c r="AL52" s="398">
        <f t="shared" si="31"/>
        <v>0</v>
      </c>
      <c r="AM52" s="398">
        <f t="shared" si="31"/>
        <v>81.503514780000003</v>
      </c>
      <c r="AN52" s="397" t="str">
        <f t="shared" si="21"/>
        <v xml:space="preserve">    ---- </v>
      </c>
      <c r="AO52" s="398">
        <f t="shared" si="32"/>
        <v>0</v>
      </c>
      <c r="AP52" s="398">
        <f t="shared" si="32"/>
        <v>81.503514780000003</v>
      </c>
      <c r="AQ52" s="400" t="str">
        <f t="shared" si="23"/>
        <v xml:space="preserve">    ---- </v>
      </c>
      <c r="AR52" s="454"/>
      <c r="AS52" s="454"/>
      <c r="AT52" s="456"/>
    </row>
    <row r="53" spans="1:46" s="426" customFormat="1" ht="20.100000000000001" customHeight="1" x14ac:dyDescent="0.3">
      <c r="A53" s="420" t="s">
        <v>228</v>
      </c>
      <c r="B53" s="403"/>
      <c r="C53" s="401"/>
      <c r="D53" s="401"/>
      <c r="E53" s="403"/>
      <c r="F53" s="401"/>
      <c r="G53" s="401"/>
      <c r="H53" s="403"/>
      <c r="I53" s="401"/>
      <c r="J53" s="401"/>
      <c r="K53" s="403"/>
      <c r="L53" s="401"/>
      <c r="M53" s="385"/>
      <c r="N53" s="403"/>
      <c r="O53" s="401"/>
      <c r="P53" s="338"/>
      <c r="Q53" s="403">
        <v>787.41663257000005</v>
      </c>
      <c r="R53" s="401">
        <v>807.01642001000005</v>
      </c>
      <c r="S53" s="338">
        <f t="shared" si="33"/>
        <v>2.5</v>
      </c>
      <c r="T53" s="403"/>
      <c r="U53" s="401"/>
      <c r="V53" s="338"/>
      <c r="W53" s="403"/>
      <c r="X53" s="401"/>
      <c r="Y53" s="338"/>
      <c r="Z53" s="403"/>
      <c r="AA53" s="401"/>
      <c r="AB53" s="338"/>
      <c r="AC53" s="403"/>
      <c r="AD53" s="401"/>
      <c r="AE53" s="338"/>
      <c r="AF53" s="403"/>
      <c r="AG53" s="401"/>
      <c r="AH53" s="338"/>
      <c r="AI53" s="403">
        <v>354.5</v>
      </c>
      <c r="AJ53" s="401">
        <v>410</v>
      </c>
      <c r="AK53" s="338">
        <f t="shared" si="25"/>
        <v>15.7</v>
      </c>
      <c r="AL53" s="398">
        <f t="shared" si="31"/>
        <v>1141.91663257</v>
      </c>
      <c r="AM53" s="398">
        <f t="shared" si="31"/>
        <v>1217.01642001</v>
      </c>
      <c r="AN53" s="338">
        <f t="shared" si="21"/>
        <v>6.6</v>
      </c>
      <c r="AO53" s="398">
        <f t="shared" si="32"/>
        <v>1141.91663257</v>
      </c>
      <c r="AP53" s="398">
        <f t="shared" si="32"/>
        <v>1217.01642001</v>
      </c>
      <c r="AQ53" s="402">
        <f t="shared" si="23"/>
        <v>6.6</v>
      </c>
      <c r="AR53" s="453"/>
      <c r="AS53" s="453"/>
      <c r="AT53" s="457"/>
    </row>
    <row r="54" spans="1:46" s="426" customFormat="1" ht="20.100000000000001" customHeight="1" x14ac:dyDescent="0.3">
      <c r="A54" s="420" t="s">
        <v>229</v>
      </c>
      <c r="B54" s="403">
        <f>SUM(B55:B59)</f>
        <v>17958.436000000005</v>
      </c>
      <c r="C54" s="401">
        <f>SUM(C55:C59)</f>
        <v>19693.741000000002</v>
      </c>
      <c r="D54" s="401">
        <f>IF(B54=0, "    ---- ", IF(ABS(ROUND(100/B54*C54-100,1))&lt;999,ROUND(100/B54*C54-100,1),IF(ROUND(100/B54*C54-100,1)&gt;999,999,-999)))</f>
        <v>9.6999999999999993</v>
      </c>
      <c r="E54" s="403">
        <f>SUM(E55:E59)</f>
        <v>82380.383999999991</v>
      </c>
      <c r="F54" s="401">
        <f>SUM(F55:F59)</f>
        <v>92856.89</v>
      </c>
      <c r="G54" s="401">
        <f t="shared" si="17"/>
        <v>12.7</v>
      </c>
      <c r="H54" s="403">
        <f>SUM(H55:H59)</f>
        <v>3471.864</v>
      </c>
      <c r="I54" s="401">
        <f>SUM(I55:I59)</f>
        <v>3966.9</v>
      </c>
      <c r="J54" s="401">
        <f>IF(H54=0, "    ---- ", IF(ABS(ROUND(100/H54*I54-100,1))&lt;999,ROUND(100/H54*I54-100,1),IF(ROUND(100/H54*I54-100,1)&gt;999,999,-999)))</f>
        <v>14.3</v>
      </c>
      <c r="K54" s="403">
        <f>SUM(K55:K59)</f>
        <v>25237.200000000001</v>
      </c>
      <c r="L54" s="401">
        <f>SUM(L55:L59)</f>
        <v>27448.319</v>
      </c>
      <c r="M54" s="385">
        <f t="shared" si="27"/>
        <v>8.8000000000000007</v>
      </c>
      <c r="N54" s="403"/>
      <c r="O54" s="401"/>
      <c r="P54" s="338"/>
      <c r="Q54" s="403">
        <f>SUM(Q55:Q59)</f>
        <v>1312.5598392299999</v>
      </c>
      <c r="R54" s="401">
        <v>1386.7628703299999</v>
      </c>
      <c r="S54" s="338">
        <f t="shared" si="33"/>
        <v>5.7</v>
      </c>
      <c r="T54" s="403">
        <f>SUM(T55:T59)</f>
        <v>3406.2</v>
      </c>
      <c r="U54" s="401">
        <f>SUM(U55:U59)</f>
        <v>4520.7999999999993</v>
      </c>
      <c r="V54" s="338">
        <f>IF(T54=0, "    ---- ", IF(ABS(ROUND(100/T54*U54-100,1))&lt;999,ROUND(100/T54*U54-100,1),IF(ROUND(100/T54*U54-100,1)&gt;999,999,-999)))</f>
        <v>32.700000000000003</v>
      </c>
      <c r="W54" s="403">
        <f>SUM(W55:W59)</f>
        <v>62133.829999999994</v>
      </c>
      <c r="X54" s="401">
        <f>SUM(X55:X59)</f>
        <v>72268.240000000005</v>
      </c>
      <c r="Y54" s="338">
        <f t="shared" si="18"/>
        <v>16.3</v>
      </c>
      <c r="Z54" s="403"/>
      <c r="AA54" s="401"/>
      <c r="AB54" s="338"/>
      <c r="AC54" s="403">
        <f>SUM(AC55:AC59)</f>
        <v>2250</v>
      </c>
      <c r="AD54" s="401">
        <f>SUM(AD55:AD59)</f>
        <v>2378.45304437</v>
      </c>
      <c r="AE54" s="338">
        <f>IF(AC54=0, "    ---- ", IF(ABS(ROUND(100/AC54*AD54-100,1))&lt;999,ROUND(100/AC54*AD54-100,1),IF(ROUND(100/AC54*AD54-100,1)&gt;999,999,-999)))</f>
        <v>5.7</v>
      </c>
      <c r="AF54" s="403">
        <f>SUM(AF55:AF59)</f>
        <v>29550.934000000001</v>
      </c>
      <c r="AG54" s="401">
        <f>SUM(AG55:AG59)</f>
        <v>33518.248999999996</v>
      </c>
      <c r="AH54" s="338">
        <f t="shared" si="19"/>
        <v>13.4</v>
      </c>
      <c r="AI54" s="403">
        <f>SUM(AI55:AI59)</f>
        <v>93727.8</v>
      </c>
      <c r="AJ54" s="401">
        <f>SUM(AJ55:AJ59)</f>
        <v>88663</v>
      </c>
      <c r="AK54" s="338">
        <f t="shared" si="25"/>
        <v>-5.4</v>
      </c>
      <c r="AL54" s="398">
        <f t="shared" si="31"/>
        <v>319179.20783923002</v>
      </c>
      <c r="AM54" s="398">
        <f t="shared" si="31"/>
        <v>344322.90187032998</v>
      </c>
      <c r="AN54" s="338">
        <f t="shared" si="21"/>
        <v>7.9</v>
      </c>
      <c r="AO54" s="398">
        <f t="shared" si="32"/>
        <v>321429.20783923002</v>
      </c>
      <c r="AP54" s="398">
        <f t="shared" si="32"/>
        <v>346701.35491469997</v>
      </c>
      <c r="AQ54" s="402">
        <f t="shared" si="23"/>
        <v>7.9</v>
      </c>
      <c r="AR54" s="453"/>
      <c r="AS54" s="453"/>
      <c r="AT54" s="457"/>
    </row>
    <row r="55" spans="1:46" s="426" customFormat="1" ht="20.100000000000001" customHeight="1" x14ac:dyDescent="0.3">
      <c r="A55" s="420" t="s">
        <v>230</v>
      </c>
      <c r="B55" s="403">
        <v>10856.33</v>
      </c>
      <c r="C55" s="401">
        <v>12187.456</v>
      </c>
      <c r="D55" s="401">
        <f>IF(B55=0, "    ---- ", IF(ABS(ROUND(100/B55*C55-100,1))&lt;999,ROUND(100/B55*C55-100,1),IF(ROUND(100/B55*C55-100,1)&gt;999,999,-999)))</f>
        <v>12.3</v>
      </c>
      <c r="E55" s="403">
        <v>45133.036</v>
      </c>
      <c r="F55" s="401">
        <v>51140.955000000002</v>
      </c>
      <c r="G55" s="401">
        <f t="shared" si="17"/>
        <v>13.3</v>
      </c>
      <c r="H55" s="403">
        <f>3471.864-H59</f>
        <v>2300.1030000000001</v>
      </c>
      <c r="I55" s="401">
        <f>3966.9-I59</f>
        <v>2634.3</v>
      </c>
      <c r="J55" s="401">
        <f>IF(H55=0, "    ---- ", IF(ABS(ROUND(100/H55*I55-100,1))&lt;999,ROUND(100/H55*I55-100,1),IF(ROUND(100/H55*I55-100,1)&gt;999,999,-999)))</f>
        <v>14.5</v>
      </c>
      <c r="K55" s="403">
        <v>22043.5</v>
      </c>
      <c r="L55" s="401">
        <v>23361.487000000001</v>
      </c>
      <c r="M55" s="385">
        <f t="shared" si="27"/>
        <v>6</v>
      </c>
      <c r="N55" s="403"/>
      <c r="O55" s="401"/>
      <c r="P55" s="338"/>
      <c r="Q55" s="403">
        <v>669.57040792999999</v>
      </c>
      <c r="R55" s="401">
        <v>786.51643253999998</v>
      </c>
      <c r="S55" s="338">
        <f t="shared" si="33"/>
        <v>17.5</v>
      </c>
      <c r="T55" s="403">
        <v>3390.6</v>
      </c>
      <c r="U55" s="401">
        <v>4519.3999999999996</v>
      </c>
      <c r="V55" s="338">
        <f>IF(T55=0, "    ---- ", IF(ABS(ROUND(100/T55*U55-100,1))&lt;999,ROUND(100/T55*U55-100,1),IF(ROUND(100/T55*U55-100,1)&gt;999,999,-999)))</f>
        <v>33.299999999999997</v>
      </c>
      <c r="W55" s="403">
        <v>61627.27</v>
      </c>
      <c r="X55" s="401">
        <v>37133.83</v>
      </c>
      <c r="Y55" s="338">
        <f t="shared" si="18"/>
        <v>-39.700000000000003</v>
      </c>
      <c r="Z55" s="403"/>
      <c r="AA55" s="401"/>
      <c r="AB55" s="338"/>
      <c r="AC55" s="403">
        <v>2250</v>
      </c>
      <c r="AD55" s="401">
        <v>2378.45304437</v>
      </c>
      <c r="AE55" s="338">
        <f>IF(AC55=0, "    ---- ", IF(ABS(ROUND(100/AC55*AD55-100,1))&lt;999,ROUND(100/AC55*AD55-100,1),IF(ROUND(100/AC55*AD55-100,1)&gt;999,999,-999)))</f>
        <v>5.7</v>
      </c>
      <c r="AF55" s="403">
        <v>17650.882000000001</v>
      </c>
      <c r="AG55" s="401">
        <v>20298.526000000002</v>
      </c>
      <c r="AH55" s="338">
        <f t="shared" si="19"/>
        <v>15</v>
      </c>
      <c r="AI55" s="403">
        <v>59081</v>
      </c>
      <c r="AJ55" s="401">
        <v>51303</v>
      </c>
      <c r="AK55" s="338">
        <f t="shared" si="25"/>
        <v>-13.2</v>
      </c>
      <c r="AL55" s="398">
        <f t="shared" si="31"/>
        <v>222752.29140793002</v>
      </c>
      <c r="AM55" s="398">
        <f t="shared" si="31"/>
        <v>203365.47043253999</v>
      </c>
      <c r="AN55" s="338">
        <f t="shared" si="21"/>
        <v>-8.6999999999999993</v>
      </c>
      <c r="AO55" s="398">
        <f t="shared" si="32"/>
        <v>225002.29140793002</v>
      </c>
      <c r="AP55" s="398">
        <f t="shared" si="32"/>
        <v>205743.92347690999</v>
      </c>
      <c r="AQ55" s="402">
        <f t="shared" si="23"/>
        <v>-8.6</v>
      </c>
      <c r="AR55" s="453"/>
      <c r="AS55" s="453"/>
      <c r="AT55" s="457"/>
    </row>
    <row r="56" spans="1:46" s="426" customFormat="1" ht="20.100000000000001" customHeight="1" x14ac:dyDescent="0.3">
      <c r="A56" s="420" t="s">
        <v>231</v>
      </c>
      <c r="B56" s="403">
        <v>6621.7330000000002</v>
      </c>
      <c r="C56" s="401">
        <v>7395.6769999999997</v>
      </c>
      <c r="D56" s="401">
        <f>IF(B56=0, "    ---- ", IF(ABS(ROUND(100/B56*C56-100,1))&lt;999,ROUND(100/B56*C56-100,1),IF(ROUND(100/B56*C56-100,1)&gt;999,999,-999)))</f>
        <v>11.7</v>
      </c>
      <c r="E56" s="403">
        <v>35712.146999999997</v>
      </c>
      <c r="F56" s="401">
        <v>40240.014999999999</v>
      </c>
      <c r="G56" s="401">
        <f t="shared" si="17"/>
        <v>12.7</v>
      </c>
      <c r="H56" s="403"/>
      <c r="I56" s="401"/>
      <c r="J56" s="401"/>
      <c r="K56" s="403">
        <v>3134.7</v>
      </c>
      <c r="L56" s="401">
        <v>4019.6550000000002</v>
      </c>
      <c r="M56" s="385">
        <f t="shared" si="27"/>
        <v>28.2</v>
      </c>
      <c r="N56" s="403"/>
      <c r="O56" s="401"/>
      <c r="P56" s="338"/>
      <c r="Q56" s="403">
        <v>575.04298857000003</v>
      </c>
      <c r="R56" s="401">
        <v>503.47635114999997</v>
      </c>
      <c r="S56" s="338">
        <f t="shared" si="33"/>
        <v>-12.4</v>
      </c>
      <c r="T56" s="403"/>
      <c r="U56" s="401"/>
      <c r="V56" s="338"/>
      <c r="W56" s="403"/>
      <c r="X56" s="401">
        <v>34374.910000000003</v>
      </c>
      <c r="Y56" s="338"/>
      <c r="Z56" s="403"/>
      <c r="AA56" s="401"/>
      <c r="AB56" s="338"/>
      <c r="AC56" s="403"/>
      <c r="AD56" s="401"/>
      <c r="AE56" s="338"/>
      <c r="AF56" s="403">
        <v>11640.191999999999</v>
      </c>
      <c r="AG56" s="401">
        <v>13149.147999999999</v>
      </c>
      <c r="AH56" s="338">
        <f t="shared" si="19"/>
        <v>13</v>
      </c>
      <c r="AI56" s="403">
        <v>33906.6</v>
      </c>
      <c r="AJ56" s="401">
        <v>36957</v>
      </c>
      <c r="AK56" s="338">
        <f t="shared" si="25"/>
        <v>9</v>
      </c>
      <c r="AL56" s="398">
        <f t="shared" si="31"/>
        <v>91590.414988570003</v>
      </c>
      <c r="AM56" s="398">
        <f t="shared" si="31"/>
        <v>136639.88135114999</v>
      </c>
      <c r="AN56" s="338">
        <f t="shared" si="21"/>
        <v>49.2</v>
      </c>
      <c r="AO56" s="398">
        <f t="shared" si="32"/>
        <v>91590.414988570003</v>
      </c>
      <c r="AP56" s="398">
        <f t="shared" si="32"/>
        <v>136639.88135114999</v>
      </c>
      <c r="AQ56" s="402">
        <f t="shared" si="23"/>
        <v>49.2</v>
      </c>
      <c r="AR56" s="453"/>
      <c r="AS56" s="453"/>
      <c r="AT56" s="457"/>
    </row>
    <row r="57" spans="1:46" s="426" customFormat="1" ht="20.100000000000001" customHeight="1" x14ac:dyDescent="0.3">
      <c r="A57" s="420" t="s">
        <v>232</v>
      </c>
      <c r="B57" s="403"/>
      <c r="C57" s="401"/>
      <c r="D57" s="338"/>
      <c r="E57" s="403">
        <v>1535.201</v>
      </c>
      <c r="F57" s="401">
        <v>1475.92</v>
      </c>
      <c r="G57" s="338">
        <f t="shared" si="17"/>
        <v>-3.9</v>
      </c>
      <c r="H57" s="403"/>
      <c r="I57" s="401"/>
      <c r="J57" s="338"/>
      <c r="K57" s="403">
        <v>42.7</v>
      </c>
      <c r="L57" s="401"/>
      <c r="M57" s="338">
        <f t="shared" si="27"/>
        <v>-100</v>
      </c>
      <c r="N57" s="403"/>
      <c r="O57" s="401"/>
      <c r="P57" s="338"/>
      <c r="Q57" s="403">
        <v>43.691834799999995</v>
      </c>
      <c r="R57" s="401">
        <v>94.104241670000008</v>
      </c>
      <c r="S57" s="338">
        <f t="shared" si="33"/>
        <v>115.4</v>
      </c>
      <c r="T57" s="403">
        <v>15.6</v>
      </c>
      <c r="U57" s="401">
        <v>1.4</v>
      </c>
      <c r="V57" s="338">
        <f>IF(T57=0, "    ---- ", IF(ABS(ROUND(100/T57*U57-100,1))&lt;999,ROUND(100/T57*U57-100,1),IF(ROUND(100/T57*U57-100,1)&gt;999,999,-999)))</f>
        <v>-91</v>
      </c>
      <c r="W57" s="403"/>
      <c r="X57" s="401"/>
      <c r="Y57" s="338"/>
      <c r="Z57" s="403"/>
      <c r="AA57" s="401"/>
      <c r="AB57" s="338"/>
      <c r="AC57" s="403"/>
      <c r="AD57" s="401"/>
      <c r="AE57" s="338"/>
      <c r="AF57" s="403"/>
      <c r="AG57" s="401">
        <v>0</v>
      </c>
      <c r="AH57" s="338" t="str">
        <f t="shared" si="19"/>
        <v xml:space="preserve">    ---- </v>
      </c>
      <c r="AI57" s="403">
        <v>341.7</v>
      </c>
      <c r="AJ57" s="401">
        <v>340</v>
      </c>
      <c r="AK57" s="338">
        <f t="shared" si="25"/>
        <v>-0.5</v>
      </c>
      <c r="AL57" s="398">
        <f t="shared" si="31"/>
        <v>1978.8928347999999</v>
      </c>
      <c r="AM57" s="398">
        <f t="shared" si="31"/>
        <v>1911.4242416700001</v>
      </c>
      <c r="AN57" s="338">
        <f t="shared" si="21"/>
        <v>-3.4</v>
      </c>
      <c r="AO57" s="398">
        <f t="shared" si="32"/>
        <v>1978.8928347999999</v>
      </c>
      <c r="AP57" s="398">
        <f t="shared" si="32"/>
        <v>1911.4242416700001</v>
      </c>
      <c r="AQ57" s="402">
        <f t="shared" si="23"/>
        <v>-3.4</v>
      </c>
      <c r="AR57" s="453"/>
      <c r="AS57" s="453"/>
      <c r="AT57" s="457"/>
    </row>
    <row r="58" spans="1:46" s="426" customFormat="1" ht="20.100000000000001" customHeight="1" x14ac:dyDescent="0.3">
      <c r="A58" s="420" t="s">
        <v>233</v>
      </c>
      <c r="B58" s="403">
        <v>-1.85</v>
      </c>
      <c r="C58" s="401">
        <v>-111.22799999999999</v>
      </c>
      <c r="D58" s="338"/>
      <c r="E58" s="403"/>
      <c r="F58" s="401"/>
      <c r="G58" s="338"/>
      <c r="H58" s="403"/>
      <c r="I58" s="401"/>
      <c r="J58" s="338"/>
      <c r="K58" s="403"/>
      <c r="L58" s="401"/>
      <c r="M58" s="338"/>
      <c r="N58" s="403"/>
      <c r="O58" s="401"/>
      <c r="P58" s="338"/>
      <c r="Q58" s="403">
        <v>8.1407513700000003</v>
      </c>
      <c r="R58" s="401">
        <v>1.0860896299999998</v>
      </c>
      <c r="S58" s="338">
        <f t="shared" si="33"/>
        <v>-86.7</v>
      </c>
      <c r="T58" s="403"/>
      <c r="U58" s="401"/>
      <c r="V58" s="338"/>
      <c r="W58" s="403"/>
      <c r="X58" s="401"/>
      <c r="Y58" s="338"/>
      <c r="Z58" s="403"/>
      <c r="AA58" s="401"/>
      <c r="AB58" s="338"/>
      <c r="AC58" s="403"/>
      <c r="AD58" s="401"/>
      <c r="AE58" s="338"/>
      <c r="AF58" s="403">
        <v>147.90100000000001</v>
      </c>
      <c r="AG58" s="401">
        <v>0</v>
      </c>
      <c r="AH58" s="338">
        <f t="shared" si="19"/>
        <v>-100</v>
      </c>
      <c r="AI58" s="403">
        <v>398.5</v>
      </c>
      <c r="AJ58" s="401">
        <v>63</v>
      </c>
      <c r="AK58" s="338">
        <f t="shared" si="25"/>
        <v>-84.2</v>
      </c>
      <c r="AL58" s="398">
        <f t="shared" si="31"/>
        <v>552.69175137000002</v>
      </c>
      <c r="AM58" s="398">
        <f t="shared" si="31"/>
        <v>-47.141910369999991</v>
      </c>
      <c r="AN58" s="338">
        <f t="shared" si="21"/>
        <v>-108.5</v>
      </c>
      <c r="AO58" s="398">
        <f t="shared" si="32"/>
        <v>552.69175137000002</v>
      </c>
      <c r="AP58" s="398">
        <f t="shared" si="32"/>
        <v>-47.141910369999991</v>
      </c>
      <c r="AQ58" s="402">
        <f t="shared" si="23"/>
        <v>-108.5</v>
      </c>
      <c r="AR58" s="453"/>
      <c r="AS58" s="453"/>
      <c r="AT58" s="457"/>
    </row>
    <row r="59" spans="1:46" s="426" customFormat="1" ht="20.100000000000001" customHeight="1" x14ac:dyDescent="0.3">
      <c r="A59" s="420" t="s">
        <v>234</v>
      </c>
      <c r="B59" s="403">
        <f>108.594+373.629</f>
        <v>482.22300000000001</v>
      </c>
      <c r="C59" s="401">
        <f>109.246+112.59</f>
        <v>221.83600000000001</v>
      </c>
      <c r="D59" s="338">
        <f>IF(B59=0, "    ---- ", IF(ABS(ROUND(100/B59*C59-100,1))&lt;999,ROUND(100/B59*C59-100,1),IF(ROUND(100/B59*C59-100,1)&gt;999,999,-999)))</f>
        <v>-54</v>
      </c>
      <c r="E59" s="403"/>
      <c r="F59" s="401"/>
      <c r="G59" s="338"/>
      <c r="H59" s="403">
        <v>1171.761</v>
      </c>
      <c r="I59" s="401">
        <v>1332.6</v>
      </c>
      <c r="J59" s="338">
        <f>IF(H59=0, "    ---- ", IF(ABS(ROUND(100/H59*I59-100,1))&lt;999,ROUND(100/H59*I59-100,1),IF(ROUND(100/H59*I59-100,1)&gt;999,999,-999)))</f>
        <v>13.7</v>
      </c>
      <c r="K59" s="403">
        <v>16.3</v>
      </c>
      <c r="L59" s="401">
        <v>67.177000000000007</v>
      </c>
      <c r="M59" s="338">
        <f>IF(K59=0, "    ---- ", IF(ABS(ROUND(100/K59*L59-100,1))&lt;999,ROUND(100/K59*L59-100,1),IF(ROUND(100/K59*L59-100,1)&gt;999,999,-999)))</f>
        <v>312.10000000000002</v>
      </c>
      <c r="N59" s="403"/>
      <c r="O59" s="401"/>
      <c r="P59" s="338"/>
      <c r="Q59" s="403">
        <v>16.113856560000002</v>
      </c>
      <c r="R59" s="401">
        <v>1.5797553400000002</v>
      </c>
      <c r="S59" s="338">
        <f t="shared" si="33"/>
        <v>-90.2</v>
      </c>
      <c r="T59" s="403"/>
      <c r="U59" s="401"/>
      <c r="V59" s="338"/>
      <c r="W59" s="403">
        <v>506.56</v>
      </c>
      <c r="X59" s="401">
        <v>759.5</v>
      </c>
      <c r="Y59" s="338">
        <f t="shared" si="18"/>
        <v>49.9</v>
      </c>
      <c r="Z59" s="403"/>
      <c r="AA59" s="401"/>
      <c r="AB59" s="338"/>
      <c r="AC59" s="403"/>
      <c r="AD59" s="401"/>
      <c r="AE59" s="338"/>
      <c r="AF59" s="403">
        <v>111.959</v>
      </c>
      <c r="AG59" s="401">
        <v>70.575000000000003</v>
      </c>
      <c r="AH59" s="338">
        <f t="shared" si="19"/>
        <v>-37</v>
      </c>
      <c r="AI59" s="403"/>
      <c r="AJ59" s="401"/>
      <c r="AK59" s="338"/>
      <c r="AL59" s="398">
        <f t="shared" si="31"/>
        <v>2304.9168565599998</v>
      </c>
      <c r="AM59" s="398">
        <f t="shared" si="31"/>
        <v>2453.2677553399999</v>
      </c>
      <c r="AN59" s="338">
        <f t="shared" si="21"/>
        <v>6.4</v>
      </c>
      <c r="AO59" s="398">
        <f t="shared" si="32"/>
        <v>2304.9168565599998</v>
      </c>
      <c r="AP59" s="398">
        <f t="shared" si="32"/>
        <v>2453.2677553399999</v>
      </c>
      <c r="AQ59" s="402">
        <f t="shared" si="23"/>
        <v>6.4</v>
      </c>
      <c r="AR59" s="453"/>
      <c r="AS59" s="453"/>
      <c r="AT59" s="457"/>
    </row>
    <row r="60" spans="1:46" s="426" customFormat="1" ht="20.100000000000001" customHeight="1" x14ac:dyDescent="0.3">
      <c r="A60" s="421" t="s">
        <v>235</v>
      </c>
      <c r="B60" s="403">
        <f>SUM(B48+B49+B50+B54)</f>
        <v>17958.436000000005</v>
      </c>
      <c r="C60" s="401">
        <f>SUM(C48+C49+C50+C54)</f>
        <v>19693.741000000002</v>
      </c>
      <c r="D60" s="338">
        <f>IF(B60=0, "    ---- ", IF(ABS(ROUND(100/B60*C60-100,1))&lt;999,ROUND(100/B60*C60-100,1),IF(ROUND(100/B60*C60-100,1)&gt;999,999,-999)))</f>
        <v>9.6999999999999993</v>
      </c>
      <c r="E60" s="403">
        <f>SUM(E48+E49+E50+E54)</f>
        <v>82380.383999999991</v>
      </c>
      <c r="F60" s="401">
        <f>SUM(F48+F49+F50+F54)</f>
        <v>92856.89</v>
      </c>
      <c r="G60" s="338">
        <f t="shared" si="17"/>
        <v>12.7</v>
      </c>
      <c r="H60" s="403">
        <f>SUM(H48+H49+H50+H54)</f>
        <v>3471.864</v>
      </c>
      <c r="I60" s="401">
        <f>SUM(I48+I49+I50+I54)</f>
        <v>3966.9</v>
      </c>
      <c r="J60" s="338">
        <f>IF(H60=0, "    ---- ", IF(ABS(ROUND(100/H60*I60-100,1))&lt;999,ROUND(100/H60*I60-100,1),IF(ROUND(100/H60*I60-100,1)&gt;999,999,-999)))</f>
        <v>14.3</v>
      </c>
      <c r="K60" s="403">
        <f>SUM(K48+K49+K50+K54)</f>
        <v>25237.200000000001</v>
      </c>
      <c r="L60" s="401">
        <f>SUM(L48+L49+L50+L54)</f>
        <v>28289.545999999998</v>
      </c>
      <c r="M60" s="338">
        <f>IF(K60=0, "    ---- ", IF(ABS(ROUND(100/K60*L60-100,1))&lt;999,ROUND(100/K60*L60-100,1),IF(ROUND(100/K60*L60-100,1)&gt;999,999,-999)))</f>
        <v>12.1</v>
      </c>
      <c r="N60" s="403"/>
      <c r="O60" s="401"/>
      <c r="P60" s="338"/>
      <c r="Q60" s="403">
        <f>SUM(Q48+Q49+Q50+Q54)</f>
        <v>2478.22495716</v>
      </c>
      <c r="R60" s="401">
        <v>2591.7118760000003</v>
      </c>
      <c r="S60" s="338">
        <f t="shared" si="33"/>
        <v>4.5999999999999996</v>
      </c>
      <c r="T60" s="403">
        <f>SUM(T48+T49+T50+T54)</f>
        <v>3406.2</v>
      </c>
      <c r="U60" s="401">
        <f>SUM(U48+U49+U50+U54)</f>
        <v>4520.7999999999993</v>
      </c>
      <c r="V60" s="338">
        <f>IF(T60=0, "    ---- ", IF(ABS(ROUND(100/T60*U60-100,1))&lt;999,ROUND(100/T60*U60-100,1),IF(ROUND(100/T60*U60-100,1)&gt;999,999,-999)))</f>
        <v>32.700000000000003</v>
      </c>
      <c r="W60" s="403">
        <f>SUM(W48+W49+W50+W54)</f>
        <v>62133.829999999994</v>
      </c>
      <c r="X60" s="401">
        <f>SUM(X48+X49+X50+X54)</f>
        <v>72268.240000000005</v>
      </c>
      <c r="Y60" s="338">
        <f t="shared" si="18"/>
        <v>16.3</v>
      </c>
      <c r="Z60" s="403"/>
      <c r="AA60" s="401"/>
      <c r="AB60" s="338"/>
      <c r="AC60" s="403">
        <f>SUM(AC48+AC49+AC50+AC54)</f>
        <v>2250</v>
      </c>
      <c r="AD60" s="401">
        <f>SUM(AD48+AD49+AD50+AD54)</f>
        <v>2378.45304437</v>
      </c>
      <c r="AE60" s="338">
        <f>IF(AC60=0, "    ---- ", IF(ABS(ROUND(100/AC60*AD60-100,1))&lt;999,ROUND(100/AC60*AD60-100,1),IF(ROUND(100/AC60*AD60-100,1)&gt;999,999,-999)))</f>
        <v>5.7</v>
      </c>
      <c r="AF60" s="403">
        <f>SUM(AF48+AF49+AF50+AF54)</f>
        <v>29550.934000000001</v>
      </c>
      <c r="AG60" s="401">
        <f>SUM(AG48+AG49+AG50+AG54)</f>
        <v>33518.248999999996</v>
      </c>
      <c r="AH60" s="338">
        <f t="shared" si="19"/>
        <v>13.4</v>
      </c>
      <c r="AI60" s="403">
        <f>SUM(AI48+AI49+AI50+AI54)</f>
        <v>98261.3</v>
      </c>
      <c r="AJ60" s="401">
        <f>SUM(AJ48+AJ49+AJ50+AJ54)</f>
        <v>108165</v>
      </c>
      <c r="AK60" s="338">
        <f t="shared" si="25"/>
        <v>10.1</v>
      </c>
      <c r="AL60" s="398">
        <f t="shared" si="31"/>
        <v>324878.37295716</v>
      </c>
      <c r="AM60" s="398">
        <f t="shared" si="31"/>
        <v>365871.07787599997</v>
      </c>
      <c r="AN60" s="338">
        <f t="shared" si="21"/>
        <v>12.6</v>
      </c>
      <c r="AO60" s="398">
        <f t="shared" si="32"/>
        <v>327128.37295716</v>
      </c>
      <c r="AP60" s="398">
        <f t="shared" si="32"/>
        <v>368249.53092036996</v>
      </c>
      <c r="AQ60" s="402">
        <f t="shared" si="23"/>
        <v>12.6</v>
      </c>
      <c r="AR60" s="453"/>
      <c r="AS60" s="453"/>
      <c r="AT60" s="457"/>
    </row>
    <row r="61" spans="1:46" s="426" customFormat="1" ht="20.100000000000001" customHeight="1" x14ac:dyDescent="0.3">
      <c r="A61" s="418" t="s">
        <v>342</v>
      </c>
      <c r="B61" s="403"/>
      <c r="C61" s="401"/>
      <c r="D61" s="338"/>
      <c r="E61" s="403"/>
      <c r="F61" s="401"/>
      <c r="G61" s="338"/>
      <c r="H61" s="403"/>
      <c r="I61" s="401"/>
      <c r="J61" s="338"/>
      <c r="K61" s="403"/>
      <c r="L61" s="401"/>
      <c r="M61" s="338"/>
      <c r="N61" s="403"/>
      <c r="O61" s="401"/>
      <c r="P61" s="338"/>
      <c r="Q61" s="403"/>
      <c r="R61" s="401"/>
      <c r="S61" s="338"/>
      <c r="T61" s="403"/>
      <c r="U61" s="401"/>
      <c r="V61" s="338"/>
      <c r="W61" s="403"/>
      <c r="X61" s="401"/>
      <c r="Y61" s="338"/>
      <c r="Z61" s="403"/>
      <c r="AA61" s="401"/>
      <c r="AB61" s="338"/>
      <c r="AC61" s="403"/>
      <c r="AD61" s="401"/>
      <c r="AE61" s="338"/>
      <c r="AF61" s="403"/>
      <c r="AG61" s="401"/>
      <c r="AH61" s="338"/>
      <c r="AI61" s="403"/>
      <c r="AJ61" s="401"/>
      <c r="AK61" s="338"/>
      <c r="AL61" s="398">
        <f t="shared" si="31"/>
        <v>0</v>
      </c>
      <c r="AM61" s="398">
        <f t="shared" si="31"/>
        <v>0</v>
      </c>
      <c r="AN61" s="338" t="str">
        <f t="shared" si="21"/>
        <v xml:space="preserve">    ---- </v>
      </c>
      <c r="AO61" s="398">
        <f t="shared" si="32"/>
        <v>0</v>
      </c>
      <c r="AP61" s="398">
        <f t="shared" si="32"/>
        <v>0</v>
      </c>
      <c r="AQ61" s="402" t="str">
        <f t="shared" si="23"/>
        <v xml:space="preserve">    ---- </v>
      </c>
      <c r="AR61" s="453"/>
      <c r="AS61" s="453"/>
      <c r="AT61" s="457"/>
    </row>
    <row r="62" spans="1:46" s="426" customFormat="1" ht="20.100000000000001" customHeight="1" x14ac:dyDescent="0.3">
      <c r="A62" s="420" t="s">
        <v>236</v>
      </c>
      <c r="B62" s="403">
        <f>SUM(B45+B46+B60+B61)</f>
        <v>19169.018000000004</v>
      </c>
      <c r="C62" s="401">
        <f>SUM(C45+C46+C60+C61)</f>
        <v>20984.015000000003</v>
      </c>
      <c r="D62" s="338">
        <f>IF(B62=0, "    ---- ", IF(ABS(ROUND(100/B62*C62-100,1))&lt;999,ROUND(100/B62*C62-100,1),IF(ROUND(100/B62*C62-100,1)&gt;999,999,-999)))</f>
        <v>9.5</v>
      </c>
      <c r="E62" s="403">
        <f>SUM(E45+E46+E60+E61)</f>
        <v>290520.23600000003</v>
      </c>
      <c r="F62" s="401">
        <f>SUM(F45+F46+F60+F61)</f>
        <v>299664.20299999998</v>
      </c>
      <c r="G62" s="338">
        <f t="shared" si="17"/>
        <v>3.1</v>
      </c>
      <c r="H62" s="403">
        <f>SUM(H45+H46+H60+H61)</f>
        <v>4553.8149999999996</v>
      </c>
      <c r="I62" s="401">
        <f>SUM(I45+I46+I60+I61)</f>
        <v>5135.1000000000004</v>
      </c>
      <c r="J62" s="338">
        <f>IF(H62=0, "    ---- ", IF(ABS(ROUND(100/H62*I62-100,1))&lt;999,ROUND(100/H62*I62-100,1),IF(ROUND(100/H62*I62-100,1)&gt;999,999,-999)))</f>
        <v>12.8</v>
      </c>
      <c r="K62" s="403">
        <f>SUM(K45+K46+K60+K61)</f>
        <v>31737.800000000003</v>
      </c>
      <c r="L62" s="401">
        <f>SUM(L45+L46+L60+L61)</f>
        <v>35394.616999999998</v>
      </c>
      <c r="M62" s="338">
        <f>IF(K62=0, "    ---- ", IF(ABS(ROUND(100/K62*L62-100,1))&lt;999,ROUND(100/K62*L62-100,1),IF(ROUND(100/K62*L62-100,1)&gt;999,999,-999)))</f>
        <v>11.5</v>
      </c>
      <c r="N62" s="403"/>
      <c r="O62" s="401"/>
      <c r="P62" s="338"/>
      <c r="Q62" s="403">
        <f>SUM(Q45+Q46+Q60+Q61)</f>
        <v>511524.21975466999</v>
      </c>
      <c r="R62" s="401">
        <v>554287.39395276003</v>
      </c>
      <c r="S62" s="338">
        <f>IF(Q62=0, "    ---- ", IF(ABS(ROUND(100/Q62*R62-100,1))&lt;999,ROUND(100/Q62*R62-100,1),IF(ROUND(100/Q62*R62-100,1)&gt;999,999,-999)))</f>
        <v>8.4</v>
      </c>
      <c r="T62" s="403">
        <f>SUM(T45+T46+T60+T61)</f>
        <v>5140.3</v>
      </c>
      <c r="U62" s="401">
        <f>SUM(U45+U46+U60+U61)</f>
        <v>6271.1999999999989</v>
      </c>
      <c r="V62" s="338">
        <f>IF(T62=0, "    ---- ", IF(ABS(ROUND(100/T62*U62-100,1))&lt;999,ROUND(100/T62*U62-100,1),IF(ROUND(100/T62*U62-100,1)&gt;999,999,-999)))</f>
        <v>22</v>
      </c>
      <c r="W62" s="403">
        <f>SUM(W45+W46+W60+W61)</f>
        <v>112947.80634698999</v>
      </c>
      <c r="X62" s="401">
        <f>SUM(X45+X46+X60+X61)</f>
        <v>124126.28174772</v>
      </c>
      <c r="Y62" s="338">
        <f t="shared" si="18"/>
        <v>9.9</v>
      </c>
      <c r="Z62" s="403">
        <f>SUM(Z45+Z46+Z60+Z61)</f>
        <v>86922</v>
      </c>
      <c r="AA62" s="401">
        <f>SUM(AA45+AA46+AA60+AA61)</f>
        <v>91365</v>
      </c>
      <c r="AB62" s="338">
        <f>IF(Z62=0, "    ---- ", IF(ABS(ROUND(100/Z62*AA62-100,1))&lt;999,ROUND(100/Z62*AA62-100,1),IF(ROUND(100/Z62*AA62-100,1)&gt;999,999,-999)))</f>
        <v>5.0999999999999996</v>
      </c>
      <c r="AC62" s="403">
        <f>SUM(AC45+AC46+AC60+AC61)</f>
        <v>2250</v>
      </c>
      <c r="AD62" s="401">
        <f>SUM(AD45+AD46+AD60+AD61)</f>
        <v>2378.45304437</v>
      </c>
      <c r="AE62" s="338">
        <f>IF(AC62=0, "    ---- ", IF(ABS(ROUND(100/AC62*AD62-100,1))&lt;999,ROUND(100/AC62*AD62-100,1),IF(ROUND(100/AC62*AD62-100,1)&gt;999,999,-999)))</f>
        <v>5.7</v>
      </c>
      <c r="AF62" s="403">
        <f>SUM(AF45+AF46+AF60+AF61)</f>
        <v>53190.64</v>
      </c>
      <c r="AG62" s="401">
        <f>SUM(AG45+AG46+AG60+AG61)</f>
        <v>59157.280999999995</v>
      </c>
      <c r="AH62" s="338">
        <f t="shared" si="19"/>
        <v>11.2</v>
      </c>
      <c r="AI62" s="403">
        <f>SUM(AI45+AI46+AI60+AI61)</f>
        <v>288001.80000000005</v>
      </c>
      <c r="AJ62" s="401">
        <f>SUM(AJ45+AJ46+AJ60+AJ61)</f>
        <v>299253</v>
      </c>
      <c r="AK62" s="338">
        <f t="shared" si="25"/>
        <v>3.9</v>
      </c>
      <c r="AL62" s="398">
        <f t="shared" si="31"/>
        <v>1403707.6351016599</v>
      </c>
      <c r="AM62" s="398">
        <f t="shared" si="31"/>
        <v>1495638.0917004799</v>
      </c>
      <c r="AN62" s="338">
        <f t="shared" si="21"/>
        <v>6.5</v>
      </c>
      <c r="AO62" s="398">
        <f t="shared" si="32"/>
        <v>1405957.6351016599</v>
      </c>
      <c r="AP62" s="398">
        <f t="shared" si="32"/>
        <v>1498016.5447448499</v>
      </c>
      <c r="AQ62" s="402">
        <f t="shared" si="23"/>
        <v>6.5</v>
      </c>
      <c r="AR62" s="453"/>
      <c r="AS62" s="458"/>
      <c r="AT62" s="457"/>
    </row>
    <row r="63" spans="1:46" s="461" customFormat="1" ht="20.100000000000001" customHeight="1" x14ac:dyDescent="0.3">
      <c r="A63" s="418"/>
      <c r="B63" s="390"/>
      <c r="C63" s="391"/>
      <c r="D63" s="389"/>
      <c r="E63" s="390"/>
      <c r="F63" s="391"/>
      <c r="G63" s="389"/>
      <c r="H63" s="390"/>
      <c r="I63" s="391"/>
      <c r="J63" s="389"/>
      <c r="K63" s="390"/>
      <c r="L63" s="391"/>
      <c r="M63" s="404"/>
      <c r="N63" s="390"/>
      <c r="O63" s="391"/>
      <c r="P63" s="389"/>
      <c r="Q63" s="390"/>
      <c r="R63" s="391"/>
      <c r="S63" s="389"/>
      <c r="T63" s="390"/>
      <c r="U63" s="391"/>
      <c r="V63" s="389"/>
      <c r="W63" s="390"/>
      <c r="X63" s="391"/>
      <c r="Y63" s="389"/>
      <c r="Z63" s="390"/>
      <c r="AA63" s="391"/>
      <c r="AB63" s="389"/>
      <c r="AC63" s="390"/>
      <c r="AD63" s="391"/>
      <c r="AE63" s="389"/>
      <c r="AF63" s="390"/>
      <c r="AG63" s="391"/>
      <c r="AH63" s="389"/>
      <c r="AI63" s="390"/>
      <c r="AJ63" s="391"/>
      <c r="AK63" s="389"/>
      <c r="AL63" s="405"/>
      <c r="AM63" s="405"/>
      <c r="AN63" s="389"/>
      <c r="AO63" s="405"/>
      <c r="AP63" s="405"/>
      <c r="AQ63" s="406"/>
      <c r="AR63" s="459"/>
      <c r="AS63" s="459"/>
      <c r="AT63" s="460"/>
    </row>
    <row r="64" spans="1:46" s="461" customFormat="1" ht="20.100000000000001" customHeight="1" x14ac:dyDescent="0.3">
      <c r="A64" s="418" t="s">
        <v>237</v>
      </c>
      <c r="B64" s="390">
        <f>SUM(B29+B62)</f>
        <v>19662.722000000005</v>
      </c>
      <c r="C64" s="391">
        <f>SUM(C29+C62)</f>
        <v>21619.633000000002</v>
      </c>
      <c r="D64" s="389">
        <f>IF(B64=0, "    ---- ", IF(ABS(ROUND(100/B64*C64-100,1))&lt;999,ROUND(100/B64*C64-100,1),IF(ROUND(100/B64*C64-100,1)&gt;999,999,-999)))</f>
        <v>10</v>
      </c>
      <c r="E64" s="390">
        <f>SUM(E29+E62)</f>
        <v>322437.51700000005</v>
      </c>
      <c r="F64" s="391">
        <f>SUM(F29+F62)</f>
        <v>332228.79099999997</v>
      </c>
      <c r="G64" s="389">
        <f t="shared" si="17"/>
        <v>3</v>
      </c>
      <c r="H64" s="390">
        <f>SUM(H29+H62)</f>
        <v>4999.0459999999994</v>
      </c>
      <c r="I64" s="391">
        <f>SUM(I29+I62)</f>
        <v>5657.4000000000005</v>
      </c>
      <c r="J64" s="389">
        <f>IF(H64=0, "    ---- ", IF(ABS(ROUND(100/H64*I64-100,1))&lt;999,ROUND(100/H64*I64-100,1),IF(ROUND(100/H64*I64-100,1)&gt;999,999,-999)))</f>
        <v>13.2</v>
      </c>
      <c r="K64" s="390">
        <f>SUM(K29+K62)</f>
        <v>32978.800000000003</v>
      </c>
      <c r="L64" s="391">
        <f>SUM(L29+L62)</f>
        <v>36740.439999999995</v>
      </c>
      <c r="M64" s="404">
        <f>IF(K64=0, "    ---- ", IF(ABS(ROUND(100/K64*L64-100,1))&lt;999,ROUND(100/K64*L64-100,1),IF(ROUND(100/K64*L64-100,1)&gt;999,999,-999)))</f>
        <v>11.4</v>
      </c>
      <c r="N64" s="390">
        <f>SUM(N29+N62)</f>
        <v>147</v>
      </c>
      <c r="O64" s="391">
        <f>SUM(O29+O62)</f>
        <v>146.71234183000001</v>
      </c>
      <c r="P64" s="389">
        <f>IF(N64=0, "    ---- ", IF(ABS(ROUND(100/N64*O64-100,1))&lt;999,ROUND(100/N64*O64-100,1),IF(ROUND(100/N64*O64-100,1)&gt;999,999,-999)))</f>
        <v>-0.2</v>
      </c>
      <c r="Q64" s="390">
        <f>SUM(Q29+Q62)</f>
        <v>563532.37508666003</v>
      </c>
      <c r="R64" s="391">
        <v>610573.32094424998</v>
      </c>
      <c r="S64" s="389">
        <f>IF(Q64=0, "    ---- ", IF(ABS(ROUND(100/Q64*R64-100,1))&lt;999,ROUND(100/Q64*R64-100,1),IF(ROUND(100/Q64*R64-100,1)&gt;999,999,-999)))</f>
        <v>8.3000000000000007</v>
      </c>
      <c r="T64" s="390">
        <f>SUM(T29+T62)</f>
        <v>5671.1</v>
      </c>
      <c r="U64" s="391">
        <f>SUM(U29+U62)</f>
        <v>6779.2999999999993</v>
      </c>
      <c r="V64" s="389">
        <f>IF(T64=0, "    ---- ", IF(ABS(ROUND(100/T64*U64-100,1))&lt;999,ROUND(100/T64*U64-100,1),IF(ROUND(100/T64*U64-100,1)&gt;999,999,-999)))</f>
        <v>19.5</v>
      </c>
      <c r="W64" s="390">
        <f>SUM(W29+W62)</f>
        <v>123360.72634698999</v>
      </c>
      <c r="X64" s="391">
        <f>SUM(X29+X62)</f>
        <v>135397.37174772</v>
      </c>
      <c r="Y64" s="389">
        <f t="shared" si="18"/>
        <v>9.8000000000000007</v>
      </c>
      <c r="Z64" s="390">
        <f>SUM(Z29+Z62)</f>
        <v>97219</v>
      </c>
      <c r="AA64" s="391">
        <f>SUM(AA29+AA62)</f>
        <v>101797</v>
      </c>
      <c r="AB64" s="389">
        <f>IF(Z64=0, "    ---- ", IF(ABS(ROUND(100/Z64*AA64-100,1))&lt;999,ROUND(100/Z64*AA64-100,1),IF(ROUND(100/Z64*AA64-100,1)&gt;999,999,-999)))</f>
        <v>4.7</v>
      </c>
      <c r="AC64" s="390">
        <f>SUM(AC29+AC62)</f>
        <v>2307</v>
      </c>
      <c r="AD64" s="391">
        <f>SUM(AD29+AD62)</f>
        <v>2452.7375810600001</v>
      </c>
      <c r="AE64" s="389">
        <f>IF(AC64=0, "    ---- ", IF(ABS(ROUND(100/AC64*AD64-100,1))&lt;999,ROUND(100/AC64*AD64-100,1),IF(ROUND(100/AC64*AD64-100,1)&gt;999,999,-999)))</f>
        <v>6.3</v>
      </c>
      <c r="AF64" s="390">
        <f>SUM(AF29+AF62)</f>
        <v>59708.957999999999</v>
      </c>
      <c r="AG64" s="391">
        <f>SUM(AG29+AG62)</f>
        <v>67103.418999999994</v>
      </c>
      <c r="AH64" s="389">
        <f t="shared" si="19"/>
        <v>12.4</v>
      </c>
      <c r="AI64" s="390">
        <f>SUM(AI29+AI62)</f>
        <v>323194.05000000005</v>
      </c>
      <c r="AJ64" s="391">
        <f>SUM(AJ29+AJ62)</f>
        <v>336212</v>
      </c>
      <c r="AK64" s="389">
        <f t="shared" si="25"/>
        <v>4</v>
      </c>
      <c r="AL64" s="407">
        <f>B64+E64+H64+K64+Q64+T64+W64+Z64+AF64+AI64</f>
        <v>1552764.2944336501</v>
      </c>
      <c r="AM64" s="407">
        <f>C64+F64+I64+L64+R64+U64+X64+AA64+AG64+AJ64</f>
        <v>1654108.6756919702</v>
      </c>
      <c r="AN64" s="389">
        <f t="shared" si="21"/>
        <v>6.5</v>
      </c>
      <c r="AO64" s="407">
        <f>B64+E64+H64+K64+N64+Q64+T64+W64+Z64+AC64+AF64+AI64</f>
        <v>1555218.2944336501</v>
      </c>
      <c r="AP64" s="407">
        <f>C64+F64+I64+L64+O64+R64+U64+X64+AA64+AD64+AG64+AJ64</f>
        <v>1656708.1256148601</v>
      </c>
      <c r="AQ64" s="406">
        <f t="shared" si="23"/>
        <v>6.5</v>
      </c>
      <c r="AR64" s="459"/>
      <c r="AS64" s="459"/>
      <c r="AT64" s="457"/>
    </row>
    <row r="65" spans="1:46" s="426" customFormat="1" ht="20.100000000000001" customHeight="1" x14ac:dyDescent="0.3">
      <c r="A65" s="422"/>
      <c r="B65" s="403"/>
      <c r="C65" s="401"/>
      <c r="D65" s="338"/>
      <c r="E65" s="403"/>
      <c r="F65" s="401"/>
      <c r="G65" s="338"/>
      <c r="H65" s="403"/>
      <c r="I65" s="401"/>
      <c r="J65" s="338"/>
      <c r="K65" s="403"/>
      <c r="L65" s="401"/>
      <c r="M65" s="385"/>
      <c r="N65" s="403"/>
      <c r="O65" s="401"/>
      <c r="P65" s="338"/>
      <c r="Q65" s="403"/>
      <c r="R65" s="401"/>
      <c r="S65" s="338"/>
      <c r="T65" s="403"/>
      <c r="U65" s="401"/>
      <c r="V65" s="338"/>
      <c r="W65" s="403"/>
      <c r="X65" s="401"/>
      <c r="Y65" s="338"/>
      <c r="Z65" s="403"/>
      <c r="AA65" s="401"/>
      <c r="AB65" s="338"/>
      <c r="AC65" s="403"/>
      <c r="AD65" s="401"/>
      <c r="AE65" s="338"/>
      <c r="AF65" s="403"/>
      <c r="AG65" s="401"/>
      <c r="AH65" s="338"/>
      <c r="AI65" s="403"/>
      <c r="AJ65" s="401"/>
      <c r="AK65" s="338"/>
      <c r="AL65" s="387"/>
      <c r="AM65" s="387"/>
      <c r="AN65" s="338"/>
      <c r="AO65" s="387"/>
      <c r="AP65" s="387"/>
      <c r="AQ65" s="402"/>
      <c r="AR65" s="453"/>
      <c r="AS65" s="453"/>
      <c r="AT65" s="457"/>
    </row>
    <row r="66" spans="1:46" s="426" customFormat="1" ht="20.100000000000001" customHeight="1" x14ac:dyDescent="0.3">
      <c r="A66" s="418" t="s">
        <v>238</v>
      </c>
      <c r="B66" s="403"/>
      <c r="C66" s="401"/>
      <c r="D66" s="338"/>
      <c r="E66" s="403"/>
      <c r="F66" s="401"/>
      <c r="G66" s="338"/>
      <c r="H66" s="403"/>
      <c r="I66" s="401"/>
      <c r="J66" s="338"/>
      <c r="K66" s="403"/>
      <c r="L66" s="401"/>
      <c r="M66" s="385"/>
      <c r="N66" s="403"/>
      <c r="O66" s="401"/>
      <c r="P66" s="338"/>
      <c r="Q66" s="403"/>
      <c r="R66" s="401"/>
      <c r="S66" s="338"/>
      <c r="T66" s="403"/>
      <c r="U66" s="401"/>
      <c r="V66" s="338"/>
      <c r="W66" s="403"/>
      <c r="X66" s="401"/>
      <c r="Y66" s="338"/>
      <c r="Z66" s="403"/>
      <c r="AA66" s="401"/>
      <c r="AB66" s="338"/>
      <c r="AC66" s="403"/>
      <c r="AD66" s="401"/>
      <c r="AE66" s="338"/>
      <c r="AF66" s="403"/>
      <c r="AG66" s="401"/>
      <c r="AH66" s="338"/>
      <c r="AI66" s="403"/>
      <c r="AJ66" s="401"/>
      <c r="AK66" s="338"/>
      <c r="AL66" s="387"/>
      <c r="AM66" s="387"/>
      <c r="AN66" s="338"/>
      <c r="AO66" s="387"/>
      <c r="AP66" s="387"/>
      <c r="AQ66" s="402"/>
      <c r="AR66" s="453"/>
      <c r="AS66" s="453"/>
      <c r="AT66" s="457"/>
    </row>
    <row r="67" spans="1:46" s="426" customFormat="1" ht="20.100000000000001" customHeight="1" x14ac:dyDescent="0.3">
      <c r="A67" s="418"/>
      <c r="B67" s="403"/>
      <c r="C67" s="401"/>
      <c r="D67" s="338"/>
      <c r="E67" s="403"/>
      <c r="F67" s="401"/>
      <c r="G67" s="338"/>
      <c r="H67" s="403"/>
      <c r="I67" s="401"/>
      <c r="J67" s="338"/>
      <c r="K67" s="403"/>
      <c r="L67" s="401"/>
      <c r="M67" s="385"/>
      <c r="N67" s="403"/>
      <c r="O67" s="401"/>
      <c r="P67" s="338"/>
      <c r="Q67" s="403"/>
      <c r="R67" s="401"/>
      <c r="S67" s="338"/>
      <c r="T67" s="403"/>
      <c r="U67" s="401"/>
      <c r="V67" s="338"/>
      <c r="W67" s="403"/>
      <c r="X67" s="401"/>
      <c r="Y67" s="338"/>
      <c r="Z67" s="403"/>
      <c r="AA67" s="401"/>
      <c r="AB67" s="338"/>
      <c r="AC67" s="403"/>
      <c r="AD67" s="401"/>
      <c r="AE67" s="338"/>
      <c r="AF67" s="403"/>
      <c r="AG67" s="401"/>
      <c r="AH67" s="338"/>
      <c r="AI67" s="403"/>
      <c r="AJ67" s="401"/>
      <c r="AK67" s="338"/>
      <c r="AL67" s="387"/>
      <c r="AM67" s="387"/>
      <c r="AN67" s="338"/>
      <c r="AO67" s="387"/>
      <c r="AP67" s="387"/>
      <c r="AQ67" s="402"/>
      <c r="AR67" s="453"/>
      <c r="AS67" s="453"/>
      <c r="AT67" s="457"/>
    </row>
    <row r="68" spans="1:46" s="426" customFormat="1" ht="20.100000000000001" customHeight="1" x14ac:dyDescent="0.3">
      <c r="A68" s="420" t="s">
        <v>239</v>
      </c>
      <c r="B68" s="403">
        <v>141.16</v>
      </c>
      <c r="C68" s="401">
        <v>141.16</v>
      </c>
      <c r="D68" s="338">
        <f>IF(B68=0, "    ---- ", IF(ABS(ROUND(100/B68*C68-100,1))&lt;999,ROUND(100/B68*C68-100,1),IF(ROUND(100/B68*C68-100,1)&gt;999,999,-999)))</f>
        <v>0</v>
      </c>
      <c r="E68" s="403">
        <v>7765.924</v>
      </c>
      <c r="F68" s="401">
        <v>7765.924</v>
      </c>
      <c r="G68" s="338">
        <f t="shared" si="17"/>
        <v>0</v>
      </c>
      <c r="H68" s="403">
        <v>175</v>
      </c>
      <c r="I68" s="401">
        <v>210</v>
      </c>
      <c r="J68" s="338">
        <f>IF(H68=0, "    ---- ", IF(ABS(ROUND(100/H68*I68-100,1))&lt;999,ROUND(100/H68*I68-100,1),IF(ROUND(100/H68*I68-100,1)&gt;999,999,-999)))</f>
        <v>20</v>
      </c>
      <c r="K68" s="403">
        <v>120.7</v>
      </c>
      <c r="L68" s="401">
        <v>121.155</v>
      </c>
      <c r="M68" s="385">
        <f>IF(K68=0, "    ---- ", IF(ABS(ROUND(100/K68*L68-100,1))&lt;999,ROUND(100/K68*L68-100,1),IF(ROUND(100/K68*L68-100,1)&gt;999,999,-999)))</f>
        <v>0.4</v>
      </c>
      <c r="N68" s="403">
        <v>5</v>
      </c>
      <c r="O68" s="401">
        <v>5</v>
      </c>
      <c r="P68" s="338">
        <f>IF(N68=0, "    ---- ", IF(ABS(ROUND(100/N68*O68-100,1))&lt;999,ROUND(100/N68*O68-100,1),IF(ROUND(100/N68*O68-100,1)&gt;999,999,-999)))</f>
        <v>0</v>
      </c>
      <c r="Q68" s="403">
        <v>14552.714119</v>
      </c>
      <c r="R68" s="401">
        <v>15785.101242999999</v>
      </c>
      <c r="S68" s="338">
        <f t="shared" ref="S68:S79" si="34">IF(Q68=0, "    ---- ", IF(ABS(ROUND(100/Q68*R68-100,1))&lt;999,ROUND(100/Q68*R68-100,1),IF(ROUND(100/Q68*R68-100,1)&gt;999,999,-999)))</f>
        <v>8.5</v>
      </c>
      <c r="T68" s="403">
        <v>741.3</v>
      </c>
      <c r="U68" s="401">
        <v>741.3</v>
      </c>
      <c r="V68" s="338">
        <f>IF(T68=0, "    ---- ", IF(ABS(ROUND(100/T68*U68-100,1))&lt;999,ROUND(100/T68*U68-100,1),IF(ROUND(100/T68*U68-100,1)&gt;999,999,-999)))</f>
        <v>0</v>
      </c>
      <c r="W68" s="403">
        <v>1126.76</v>
      </c>
      <c r="X68" s="401">
        <v>1126.76</v>
      </c>
      <c r="Y68" s="338">
        <f t="shared" si="18"/>
        <v>0</v>
      </c>
      <c r="Z68" s="403">
        <v>1430</v>
      </c>
      <c r="AA68" s="401">
        <v>1430</v>
      </c>
      <c r="AB68" s="338">
        <f>IF(Z68=0, "    ---- ", IF(ABS(ROUND(100/Z68*AA68-100,1))&lt;999,ROUND(100/Z68*AA68-100,1),IF(ROUND(100/Z68*AA68-100,1)&gt;999,999,-999)))</f>
        <v>0</v>
      </c>
      <c r="AC68" s="403">
        <v>49</v>
      </c>
      <c r="AD68" s="401">
        <v>48.519831859999996</v>
      </c>
      <c r="AE68" s="338">
        <f>IF(AC68=0, "    ---- ", IF(ABS(ROUND(100/AC68*AD68-100,1))&lt;999,ROUND(100/AC68*AD68-100,1),IF(ROUND(100/AC68*AD68-100,1)&gt;999,999,-999)))</f>
        <v>-1</v>
      </c>
      <c r="AF68" s="403">
        <v>2702.741</v>
      </c>
      <c r="AG68" s="401">
        <v>3352.7420000000002</v>
      </c>
      <c r="AH68" s="338">
        <f t="shared" si="19"/>
        <v>24</v>
      </c>
      <c r="AI68" s="403">
        <v>13251</v>
      </c>
      <c r="AJ68" s="401">
        <v>13339</v>
      </c>
      <c r="AK68" s="338">
        <f t="shared" si="25"/>
        <v>0.7</v>
      </c>
      <c r="AL68" s="398">
        <f t="shared" ref="AL68:AM71" si="35">B68+E68+H68+K68+Q68+T68+W68+Z68+AF68+AI68</f>
        <v>42007.299118999996</v>
      </c>
      <c r="AM68" s="398">
        <f t="shared" si="35"/>
        <v>44013.142242999995</v>
      </c>
      <c r="AN68" s="338">
        <f t="shared" si="21"/>
        <v>4.8</v>
      </c>
      <c r="AO68" s="398">
        <f t="shared" ref="AO68:AP71" si="36">B68+E68+H68+K68+N68+Q68+T68+W68+Z68+AC68+AF68+AI68</f>
        <v>42061.299118999996</v>
      </c>
      <c r="AP68" s="398">
        <f t="shared" si="36"/>
        <v>44066.662074859996</v>
      </c>
      <c r="AQ68" s="402">
        <f t="shared" si="23"/>
        <v>4.8</v>
      </c>
      <c r="AR68" s="453"/>
      <c r="AS68" s="453"/>
      <c r="AT68" s="457"/>
    </row>
    <row r="69" spans="1:46" s="426" customFormat="1" ht="20.100000000000001" customHeight="1" x14ac:dyDescent="0.3">
      <c r="A69" s="420" t="s">
        <v>240</v>
      </c>
      <c r="B69" s="403">
        <v>348.38499999999999</v>
      </c>
      <c r="C69" s="401">
        <v>478.78899999999999</v>
      </c>
      <c r="D69" s="338">
        <f>IF(B69=0, "    ---- ", IF(ABS(ROUND(100/B69*C69-100,1))&lt;999,ROUND(100/B69*C69-100,1),IF(ROUND(100/B69*C69-100,1)&gt;999,999,-999)))</f>
        <v>37.4</v>
      </c>
      <c r="E69" s="403">
        <v>16212.521000000001</v>
      </c>
      <c r="F69" s="401">
        <f>14450.451+649.789</f>
        <v>15100.24</v>
      </c>
      <c r="G69" s="338">
        <f t="shared" si="17"/>
        <v>-6.9</v>
      </c>
      <c r="H69" s="403">
        <v>196.01599999999999</v>
      </c>
      <c r="I69" s="401">
        <v>246.3</v>
      </c>
      <c r="J69" s="338">
        <f>IF(H69=0, "    ---- ", IF(ABS(ROUND(100/H69*I69-100,1))&lt;999,ROUND(100/H69*I69-100,1),IF(ROUND(100/H69*I69-100,1)&gt;999,999,-999)))</f>
        <v>25.7</v>
      </c>
      <c r="K69" s="403">
        <v>691.6</v>
      </c>
      <c r="L69" s="401">
        <v>735.05899999999997</v>
      </c>
      <c r="M69" s="385">
        <f>IF(K69=0, "    ---- ", IF(ABS(ROUND(100/K69*L69-100,1))&lt;999,ROUND(100/K69*L69-100,1),IF(ROUND(100/K69*L69-100,1)&gt;999,999,-999)))</f>
        <v>6.3</v>
      </c>
      <c r="N69" s="403">
        <v>80</v>
      </c>
      <c r="O69" s="401">
        <v>84.976477700000004</v>
      </c>
      <c r="P69" s="338">
        <f>IF(N69=0, "    ---- ", IF(ABS(ROUND(100/N69*O69-100,1))&lt;999,ROUND(100/N69*O69-100,1),IF(ROUND(100/N69*O69-100,1)&gt;999,999,-999)))</f>
        <v>6.2</v>
      </c>
      <c r="Q69" s="403">
        <v>18939.56874486</v>
      </c>
      <c r="R69" s="401">
        <v>20975.907327080004</v>
      </c>
      <c r="S69" s="338">
        <f t="shared" si="34"/>
        <v>10.8</v>
      </c>
      <c r="T69" s="403">
        <v>-243.2</v>
      </c>
      <c r="U69" s="401">
        <v>-247.8</v>
      </c>
      <c r="V69" s="338">
        <f>IF(T69=0, "    ---- ", IF(ABS(ROUND(100/T69*U69-100,1))&lt;999,ROUND(100/T69*U69-100,1),IF(ROUND(100/T69*U69-100,1)&gt;999,999,-999)))</f>
        <v>1.9</v>
      </c>
      <c r="W69" s="403">
        <v>6306.03</v>
      </c>
      <c r="X69" s="401">
        <v>6644.7</v>
      </c>
      <c r="Y69" s="338">
        <f t="shared" si="18"/>
        <v>5.4</v>
      </c>
      <c r="Z69" s="403">
        <v>6965</v>
      </c>
      <c r="AA69" s="401">
        <v>7651</v>
      </c>
      <c r="AB69" s="338">
        <f>IF(Z69=0, "    ---- ", IF(ABS(ROUND(100/Z69*AA69-100,1))&lt;999,ROUND(100/Z69*AA69-100,1),IF(ROUND(100/Z69*AA69-100,1)&gt;999,999,-999)))</f>
        <v>9.8000000000000007</v>
      </c>
      <c r="AC69" s="403">
        <v>-1</v>
      </c>
      <c r="AD69" s="401">
        <v>13.3805495599998</v>
      </c>
      <c r="AE69" s="338">
        <f>IF(AC69=0, "    ---- ", IF(ABS(ROUND(100/AC69*AD69-100,1))&lt;999,ROUND(100/AC69*AD69-100,1),IF(ROUND(100/AC69*AD69-100,1)&gt;999,999,-999)))</f>
        <v>-999</v>
      </c>
      <c r="AF69" s="403">
        <v>1236.153</v>
      </c>
      <c r="AG69" s="401">
        <v>1842.53</v>
      </c>
      <c r="AH69" s="338">
        <f t="shared" si="19"/>
        <v>49.1</v>
      </c>
      <c r="AI69" s="403">
        <v>13500.6</v>
      </c>
      <c r="AJ69" s="401">
        <v>13588</v>
      </c>
      <c r="AK69" s="338">
        <f t="shared" si="25"/>
        <v>0.6</v>
      </c>
      <c r="AL69" s="398">
        <f t="shared" si="35"/>
        <v>64152.673744859996</v>
      </c>
      <c r="AM69" s="398">
        <f t="shared" si="35"/>
        <v>67014.725327079999</v>
      </c>
      <c r="AN69" s="338">
        <f t="shared" si="21"/>
        <v>4.5</v>
      </c>
      <c r="AO69" s="398">
        <f t="shared" si="36"/>
        <v>64231.673744859996</v>
      </c>
      <c r="AP69" s="398">
        <f t="shared" si="36"/>
        <v>67113.082354340004</v>
      </c>
      <c r="AQ69" s="402">
        <f t="shared" si="23"/>
        <v>4.5</v>
      </c>
      <c r="AR69" s="453"/>
      <c r="AS69" s="453"/>
      <c r="AT69" s="457"/>
    </row>
    <row r="70" spans="1:46" s="426" customFormat="1" ht="20.100000000000001" customHeight="1" x14ac:dyDescent="0.3">
      <c r="A70" s="420" t="s">
        <v>241</v>
      </c>
      <c r="B70" s="403">
        <v>3.4529999999999998</v>
      </c>
      <c r="C70" s="401">
        <v>3.4529999999999998</v>
      </c>
      <c r="D70" s="338">
        <f>IF(B70=0, "    ---- ", IF(ABS(ROUND(100/B70*C70-100,1))&lt;999,ROUND(100/B70*C70-100,1),IF(ROUND(100/B70*C70-100,1)&gt;999,999,-999)))</f>
        <v>0</v>
      </c>
      <c r="E70" s="403">
        <v>516.08000000000004</v>
      </c>
      <c r="F70" s="401">
        <v>649.79899999999998</v>
      </c>
      <c r="G70" s="338">
        <f>IF(E70=0, "    ---- ", IF(ABS(ROUND(100/E70*F70-100,1))&lt;999,ROUND(100/E70*F70-100,1),IF(ROUND(100/E70*F70-100,1)&gt;999,999,-999)))</f>
        <v>25.9</v>
      </c>
      <c r="H70" s="403"/>
      <c r="I70" s="401"/>
      <c r="J70" s="338"/>
      <c r="K70" s="403"/>
      <c r="L70" s="401">
        <v>15.253</v>
      </c>
      <c r="M70" s="338" t="str">
        <f>IF(K70=0, "    ---- ", IF(ABS(ROUND(100/K70*L70-100,1))&lt;999,ROUND(100/K70*L70-100,1),IF(ROUND(100/K70*L70-100,1)&gt;999,999,-999)))</f>
        <v xml:space="preserve">    ---- </v>
      </c>
      <c r="N70" s="403"/>
      <c r="O70" s="401"/>
      <c r="P70" s="338"/>
      <c r="Q70" s="403">
        <v>4154.2880240000004</v>
      </c>
      <c r="R70" s="401">
        <v>5392.8256520000004</v>
      </c>
      <c r="S70" s="338">
        <f t="shared" si="34"/>
        <v>29.8</v>
      </c>
      <c r="T70" s="403"/>
      <c r="U70" s="401"/>
      <c r="V70" s="338"/>
      <c r="W70" s="403">
        <v>91.37</v>
      </c>
      <c r="X70" s="401">
        <v>74.92</v>
      </c>
      <c r="Y70" s="338">
        <f t="shared" si="18"/>
        <v>-18</v>
      </c>
      <c r="Z70" s="403"/>
      <c r="AA70" s="401"/>
      <c r="AB70" s="338"/>
      <c r="AC70" s="403"/>
      <c r="AD70" s="401"/>
      <c r="AE70" s="338"/>
      <c r="AF70" s="403">
        <v>71.09</v>
      </c>
      <c r="AG70" s="401">
        <v>111.012</v>
      </c>
      <c r="AH70" s="338">
        <f>IF(AF70=0, "    ---- ", IF(ABS(ROUND(100/AF70*AG70-100,1))&lt;999,ROUND(100/AF70*AG70-100,1),IF(ROUND(100/AF70*AG70-100,1)&gt;999,999,-999)))</f>
        <v>56.2</v>
      </c>
      <c r="AI70" s="403">
        <v>181.5</v>
      </c>
      <c r="AJ70" s="401">
        <v>428</v>
      </c>
      <c r="AK70" s="338">
        <f t="shared" si="25"/>
        <v>135.80000000000001</v>
      </c>
      <c r="AL70" s="398">
        <f t="shared" si="35"/>
        <v>5017.7810240000008</v>
      </c>
      <c r="AM70" s="398">
        <f t="shared" si="35"/>
        <v>6675.2626520000003</v>
      </c>
      <c r="AN70" s="338">
        <f t="shared" si="21"/>
        <v>33</v>
      </c>
      <c r="AO70" s="398">
        <f t="shared" si="36"/>
        <v>5017.7810240000008</v>
      </c>
      <c r="AP70" s="398">
        <f t="shared" si="36"/>
        <v>6675.2626520000003</v>
      </c>
      <c r="AQ70" s="402">
        <f t="shared" si="23"/>
        <v>33</v>
      </c>
      <c r="AR70" s="453"/>
      <c r="AS70" s="453"/>
      <c r="AT70" s="457"/>
    </row>
    <row r="71" spans="1:46" s="426" customFormat="1" ht="20.100000000000001" customHeight="1" x14ac:dyDescent="0.3">
      <c r="A71" s="420" t="s">
        <v>242</v>
      </c>
      <c r="B71" s="403"/>
      <c r="C71" s="401"/>
      <c r="D71" s="338"/>
      <c r="E71" s="403">
        <v>5500</v>
      </c>
      <c r="F71" s="401">
        <v>7000</v>
      </c>
      <c r="G71" s="338">
        <f t="shared" si="17"/>
        <v>27.3</v>
      </c>
      <c r="H71" s="403"/>
      <c r="I71" s="401"/>
      <c r="J71" s="338"/>
      <c r="K71" s="403">
        <v>299.7</v>
      </c>
      <c r="L71" s="401">
        <v>299.78199999999998</v>
      </c>
      <c r="M71" s="385">
        <f>IF(K71=0, "    ---- ", IF(ABS(ROUND(100/K71*L71-100,1))&lt;999,ROUND(100/K71*L71-100,1),IF(ROUND(100/K71*L71-100,1)&gt;999,999,-999)))</f>
        <v>0</v>
      </c>
      <c r="N71" s="403"/>
      <c r="O71" s="401"/>
      <c r="P71" s="338"/>
      <c r="Q71" s="403">
        <v>7170.3610462299994</v>
      </c>
      <c r="R71" s="401">
        <v>7867.0925020499999</v>
      </c>
      <c r="S71" s="338">
        <f t="shared" si="34"/>
        <v>9.6999999999999993</v>
      </c>
      <c r="T71" s="403"/>
      <c r="U71" s="401"/>
      <c r="V71" s="338"/>
      <c r="W71" s="403">
        <v>2830</v>
      </c>
      <c r="X71" s="401">
        <v>2830</v>
      </c>
      <c r="Y71" s="338">
        <f t="shared" si="18"/>
        <v>0</v>
      </c>
      <c r="Z71" s="403">
        <v>1240</v>
      </c>
      <c r="AA71" s="401">
        <v>1240</v>
      </c>
      <c r="AB71" s="338">
        <f>IF(Z71=0, "    ---- ", IF(ABS(ROUND(100/Z71*AA71-100,1))&lt;999,ROUND(100/Z71*AA71-100,1),IF(ROUND(100/Z71*AA71-100,1)&gt;999,999,-999)))</f>
        <v>0</v>
      </c>
      <c r="AC71" s="403"/>
      <c r="AD71" s="401"/>
      <c r="AE71" s="338"/>
      <c r="AF71" s="403">
        <v>1000</v>
      </c>
      <c r="AG71" s="401">
        <v>1000</v>
      </c>
      <c r="AH71" s="338">
        <f t="shared" si="19"/>
        <v>0</v>
      </c>
      <c r="AI71" s="403">
        <v>7572.5</v>
      </c>
      <c r="AJ71" s="401">
        <v>8587</v>
      </c>
      <c r="AK71" s="338">
        <f t="shared" si="25"/>
        <v>13.4</v>
      </c>
      <c r="AL71" s="398">
        <f t="shared" si="35"/>
        <v>25612.561046229999</v>
      </c>
      <c r="AM71" s="398">
        <f t="shared" si="35"/>
        <v>28823.874502049999</v>
      </c>
      <c r="AN71" s="338">
        <f t="shared" si="21"/>
        <v>12.5</v>
      </c>
      <c r="AO71" s="398">
        <f t="shared" si="36"/>
        <v>25612.561046229999</v>
      </c>
      <c r="AP71" s="398">
        <f t="shared" si="36"/>
        <v>28823.874502049999</v>
      </c>
      <c r="AQ71" s="402">
        <f t="shared" si="23"/>
        <v>12.5</v>
      </c>
      <c r="AR71" s="453"/>
      <c r="AT71" s="457"/>
    </row>
    <row r="72" spans="1:46" s="426" customFormat="1" ht="20.100000000000001" customHeight="1" x14ac:dyDescent="0.3">
      <c r="A72" s="420" t="s">
        <v>243</v>
      </c>
      <c r="B72" s="403"/>
      <c r="C72" s="401"/>
      <c r="D72" s="338"/>
      <c r="E72" s="403"/>
      <c r="F72" s="401"/>
      <c r="G72" s="338"/>
      <c r="H72" s="403"/>
      <c r="I72" s="401"/>
      <c r="J72" s="338"/>
      <c r="K72" s="403"/>
      <c r="L72" s="401"/>
      <c r="M72" s="385"/>
      <c r="N72" s="403"/>
      <c r="O72" s="401"/>
      <c r="P72" s="338"/>
      <c r="Q72" s="403"/>
      <c r="R72" s="401">
        <v>0</v>
      </c>
      <c r="S72" s="338" t="str">
        <f t="shared" si="34"/>
        <v xml:space="preserve">    ---- </v>
      </c>
      <c r="T72" s="403"/>
      <c r="U72" s="401"/>
      <c r="V72" s="338"/>
      <c r="W72" s="403"/>
      <c r="X72" s="401"/>
      <c r="Y72" s="338"/>
      <c r="Z72" s="403"/>
      <c r="AA72" s="401"/>
      <c r="AB72" s="338"/>
      <c r="AC72" s="403"/>
      <c r="AD72" s="401"/>
      <c r="AE72" s="338"/>
      <c r="AF72" s="403"/>
      <c r="AG72" s="401"/>
      <c r="AH72" s="338"/>
      <c r="AI72" s="403"/>
      <c r="AJ72" s="401"/>
      <c r="AK72" s="338"/>
      <c r="AL72" s="387"/>
      <c r="AM72" s="387"/>
      <c r="AN72" s="338"/>
      <c r="AO72" s="387"/>
      <c r="AP72" s="387"/>
      <c r="AQ72" s="402"/>
      <c r="AR72" s="453"/>
      <c r="AS72" s="453"/>
      <c r="AT72" s="457"/>
    </row>
    <row r="73" spans="1:46" s="426" customFormat="1" ht="20.100000000000001" customHeight="1" x14ac:dyDescent="0.3">
      <c r="A73" s="420" t="s">
        <v>400</v>
      </c>
      <c r="B73" s="403">
        <v>959.01300000000003</v>
      </c>
      <c r="C73" s="401">
        <v>1014.972</v>
      </c>
      <c r="D73" s="338">
        <f>IF(B73=0, "    ---- ", IF(ABS(ROUND(100/B73*C73-100,1))&lt;999,ROUND(100/B73*C73-100,1),IF(ROUND(100/B73*C73-100,1)&gt;999,999,-999)))</f>
        <v>5.8</v>
      </c>
      <c r="E73" s="403">
        <v>194816.16800000001</v>
      </c>
      <c r="F73" s="401">
        <v>193969.951</v>
      </c>
      <c r="G73" s="338">
        <f t="shared" si="17"/>
        <v>-0.4</v>
      </c>
      <c r="H73" s="403">
        <v>1021.105</v>
      </c>
      <c r="I73" s="401">
        <v>1137.8</v>
      </c>
      <c r="J73" s="338">
        <f>IF(H73=0, "    ---- ", IF(ABS(ROUND(100/H73*I73-100,1))&lt;999,ROUND(100/H73*I73-100,1),IF(ROUND(100/H73*I73-100,1)&gt;999,999,-999)))</f>
        <v>11.4</v>
      </c>
      <c r="K73" s="403">
        <v>6187.2</v>
      </c>
      <c r="L73" s="401">
        <v>6766.6049999999996</v>
      </c>
      <c r="M73" s="385">
        <f>IF(K73=0, "    ---- ", IF(ABS(ROUND(100/K73*L73-100,1))&lt;999,ROUND(100/K73*L73-100,1),IF(ROUND(100/K73*L73-100,1)&gt;999,999,-999)))</f>
        <v>9.4</v>
      </c>
      <c r="N73" s="403">
        <v>51</v>
      </c>
      <c r="O73" s="401">
        <v>54.054939169999997</v>
      </c>
      <c r="P73" s="338">
        <f>IF(N73=0, "    ---- ", IF(ABS(ROUND(100/N73*O73-100,1))&lt;999,ROUND(100/N73*O73-100,1),IF(ROUND(100/N73*O73-100,1)&gt;999,999,-999)))</f>
        <v>6</v>
      </c>
      <c r="Q73" s="403">
        <v>426751.13577989</v>
      </c>
      <c r="R73" s="401">
        <v>454103.83427415002</v>
      </c>
      <c r="S73" s="338">
        <f t="shared" si="34"/>
        <v>6.4</v>
      </c>
      <c r="T73" s="403">
        <v>1538</v>
      </c>
      <c r="U73" s="401">
        <v>1591.4</v>
      </c>
      <c r="V73" s="338">
        <f>IF(T73=0, "    ---- ", IF(ABS(ROUND(100/T73*U73-100,1))&lt;999,ROUND(100/T73*U73-100,1),IF(ROUND(100/T73*U73-100,1)&gt;999,999,-999)))</f>
        <v>3.5</v>
      </c>
      <c r="W73" s="403">
        <v>46385.91</v>
      </c>
      <c r="X73" s="401">
        <v>46656.59</v>
      </c>
      <c r="Y73" s="338">
        <f t="shared" si="18"/>
        <v>0.6</v>
      </c>
      <c r="Z73" s="403">
        <v>63401</v>
      </c>
      <c r="AA73" s="401">
        <v>66784</v>
      </c>
      <c r="AB73" s="338">
        <f>IF(Z73=0, "    ---- ", IF(ABS(ROUND(100/Z73*AA73-100,1))&lt;999,ROUND(100/Z73*AA73-100,1),IF(ROUND(100/Z73*AA73-100,1)&gt;999,999,-999)))</f>
        <v>5.3</v>
      </c>
      <c r="AC73" s="403"/>
      <c r="AD73" s="401"/>
      <c r="AE73" s="338"/>
      <c r="AF73" s="403">
        <v>19904.485000000001</v>
      </c>
      <c r="AG73" s="401">
        <v>21327.921999999999</v>
      </c>
      <c r="AH73" s="338">
        <f t="shared" si="19"/>
        <v>7.2</v>
      </c>
      <c r="AI73" s="403">
        <v>172131</v>
      </c>
      <c r="AJ73" s="401">
        <v>172112</v>
      </c>
      <c r="AK73" s="338">
        <f t="shared" si="25"/>
        <v>0</v>
      </c>
      <c r="AL73" s="398">
        <f t="shared" ref="AL73:AM79" si="37">B73+E73+H73+K73+Q73+T73+W73+Z73+AF73+AI73</f>
        <v>933095.01677989005</v>
      </c>
      <c r="AM73" s="398">
        <f t="shared" si="37"/>
        <v>965465.07427415007</v>
      </c>
      <c r="AN73" s="338">
        <f t="shared" si="21"/>
        <v>3.5</v>
      </c>
      <c r="AO73" s="398">
        <f t="shared" ref="AO73:AP79" si="38">B73+E73+H73+K73+N73+Q73+T73+W73+Z73+AC73+AF73+AI73</f>
        <v>933146.01677989005</v>
      </c>
      <c r="AP73" s="398">
        <f t="shared" si="38"/>
        <v>965519.12921332009</v>
      </c>
      <c r="AQ73" s="402">
        <f t="shared" si="23"/>
        <v>3.5</v>
      </c>
      <c r="AR73" s="453"/>
      <c r="AS73" s="453"/>
      <c r="AT73" s="457"/>
    </row>
    <row r="74" spans="1:46" s="426" customFormat="1" ht="20.100000000000001" customHeight="1" x14ac:dyDescent="0.3">
      <c r="A74" s="420" t="s">
        <v>244</v>
      </c>
      <c r="B74" s="403">
        <v>15.715</v>
      </c>
      <c r="C74" s="401">
        <v>22.521999999999998</v>
      </c>
      <c r="D74" s="338">
        <f>IF(B74=0, "    ---- ", IF(ABS(ROUND(100/B74*C74-100,1))&lt;999,ROUND(100/B74*C74-100,1),IF(ROUND(100/B74*C74-100,1)&gt;999,999,-999)))</f>
        <v>43.3</v>
      </c>
      <c r="E74" s="403">
        <v>7596.44</v>
      </c>
      <c r="F74" s="401">
        <v>7111.4279999999999</v>
      </c>
      <c r="G74" s="338">
        <f t="shared" si="17"/>
        <v>-6.4</v>
      </c>
      <c r="H74" s="403">
        <v>3.4990000000000001</v>
      </c>
      <c r="I74" s="401">
        <v>1.1000000000000001</v>
      </c>
      <c r="J74" s="338">
        <f>IF(H74=0, "    ---- ", IF(ABS(ROUND(100/H74*I74-100,1))&lt;999,ROUND(100/H74*I74-100,1),IF(ROUND(100/H74*I74-100,1)&gt;999,999,-999)))</f>
        <v>-68.599999999999994</v>
      </c>
      <c r="K74" s="403">
        <v>178.1</v>
      </c>
      <c r="L74" s="401">
        <v>242.79499999999999</v>
      </c>
      <c r="M74" s="385">
        <f>IF(K74=0, "    ---- ", IF(ABS(ROUND(100/K74*L74-100,1))&lt;999,ROUND(100/K74*L74-100,1),IF(ROUND(100/K74*L74-100,1)&gt;999,999,-999)))</f>
        <v>36.299999999999997</v>
      </c>
      <c r="N74" s="403"/>
      <c r="O74" s="401"/>
      <c r="P74" s="338"/>
      <c r="Q74" s="403">
        <v>25379.022959999998</v>
      </c>
      <c r="R74" s="401">
        <v>28191.044431999999</v>
      </c>
      <c r="S74" s="338">
        <f t="shared" si="34"/>
        <v>11.1</v>
      </c>
      <c r="T74" s="403">
        <v>104.8</v>
      </c>
      <c r="U74" s="401">
        <v>112.5</v>
      </c>
      <c r="V74" s="338">
        <f>IF(T74=0, "    ---- ", IF(ABS(ROUND(100/T74*U74-100,1))&lt;999,ROUND(100/T74*U74-100,1),IF(ROUND(100/T74*U74-100,1)&gt;999,999,-999)))</f>
        <v>7.3</v>
      </c>
      <c r="W74" s="403">
        <v>1580.5</v>
      </c>
      <c r="X74" s="401">
        <v>2037.69</v>
      </c>
      <c r="Y74" s="338">
        <f t="shared" si="18"/>
        <v>28.9</v>
      </c>
      <c r="Z74" s="403">
        <v>7101</v>
      </c>
      <c r="AA74" s="401">
        <v>7503</v>
      </c>
      <c r="AB74" s="338">
        <f>IF(Z74=0, "    ---- ", IF(ABS(ROUND(100/Z74*AA74-100,1))&lt;999,ROUND(100/Z74*AA74-100,1),IF(ROUND(100/Z74*AA74-100,1)&gt;999,999,-999)))</f>
        <v>5.7</v>
      </c>
      <c r="AC74" s="403"/>
      <c r="AD74" s="401"/>
      <c r="AE74" s="338"/>
      <c r="AF74" s="403">
        <v>806.73900000000003</v>
      </c>
      <c r="AG74" s="401">
        <v>944.41300000000001</v>
      </c>
      <c r="AH74" s="338">
        <f t="shared" si="19"/>
        <v>17.100000000000001</v>
      </c>
      <c r="AI74" s="403">
        <v>8266.9</v>
      </c>
      <c r="AJ74" s="401">
        <v>8194</v>
      </c>
      <c r="AK74" s="338">
        <f t="shared" si="25"/>
        <v>-0.9</v>
      </c>
      <c r="AL74" s="398">
        <f t="shared" si="37"/>
        <v>51032.715960000001</v>
      </c>
      <c r="AM74" s="398">
        <f t="shared" si="37"/>
        <v>54360.492431999999</v>
      </c>
      <c r="AN74" s="338">
        <f t="shared" si="21"/>
        <v>6.5</v>
      </c>
      <c r="AO74" s="398">
        <f t="shared" si="38"/>
        <v>51032.715960000001</v>
      </c>
      <c r="AP74" s="398">
        <f t="shared" si="38"/>
        <v>54360.492431999999</v>
      </c>
      <c r="AQ74" s="402">
        <f t="shared" si="23"/>
        <v>6.5</v>
      </c>
      <c r="AR74" s="453"/>
      <c r="AS74" s="453"/>
      <c r="AT74" s="457"/>
    </row>
    <row r="75" spans="1:46" s="426" customFormat="1" ht="20.100000000000001" customHeight="1" x14ac:dyDescent="0.3">
      <c r="A75" s="420" t="s">
        <v>245</v>
      </c>
      <c r="B75" s="403">
        <v>37.14</v>
      </c>
      <c r="C75" s="401">
        <v>43.970999999999997</v>
      </c>
      <c r="D75" s="338">
        <f>IF(B75=0, "    ---- ", IF(ABS(ROUND(100/B75*C75-100,1))&lt;999,ROUND(100/B75*C75-100,1),IF(ROUND(100/B75*C75-100,1)&gt;999,999,-999)))</f>
        <v>18.399999999999999</v>
      </c>
      <c r="E75" s="403">
        <v>4153.96</v>
      </c>
      <c r="F75" s="401">
        <v>4702.4530000000004</v>
      </c>
      <c r="G75" s="338">
        <f t="shared" si="17"/>
        <v>13.2</v>
      </c>
      <c r="H75" s="403"/>
      <c r="I75" s="401">
        <v>9.5</v>
      </c>
      <c r="J75" s="397" t="str">
        <f t="shared" ref="J75" si="39">IF(H75=0, "    ---- ", IF(ABS(ROUND(100/H75*I75-100,1))&lt;999,ROUND(100/H75*I75-100,1),IF(ROUND(100/H75*I75-100,1)&gt;999,999,-999)))</f>
        <v xml:space="preserve">    ---- </v>
      </c>
      <c r="K75" s="403">
        <v>12.2</v>
      </c>
      <c r="L75" s="401">
        <v>22.268999999999998</v>
      </c>
      <c r="M75" s="385">
        <f>IF(K75=0, "    ---- ", IF(ABS(ROUND(100/K75*L75-100,1))&lt;999,ROUND(100/K75*L75-100,1),IF(ROUND(100/K75*L75-100,1)&gt;999,999,-999)))</f>
        <v>82.5</v>
      </c>
      <c r="N75" s="403"/>
      <c r="O75" s="401"/>
      <c r="P75" s="338"/>
      <c r="Q75" s="403">
        <v>42634.787819570003</v>
      </c>
      <c r="R75" s="401">
        <v>54475.754281000001</v>
      </c>
      <c r="S75" s="338">
        <f t="shared" si="34"/>
        <v>27.8</v>
      </c>
      <c r="T75" s="403">
        <v>12.4</v>
      </c>
      <c r="U75" s="401">
        <v>16.399999999999999</v>
      </c>
      <c r="V75" s="338">
        <f>IF(T75=0, "    ---- ", IF(ABS(ROUND(100/T75*U75-100,1))&lt;999,ROUND(100/T75*U75-100,1),IF(ROUND(100/T75*U75-100,1)&gt;999,999,-999)))</f>
        <v>32.299999999999997</v>
      </c>
      <c r="W75" s="403">
        <v>1586.68</v>
      </c>
      <c r="X75" s="401">
        <v>1898.51</v>
      </c>
      <c r="Y75" s="338">
        <f t="shared" si="18"/>
        <v>19.7</v>
      </c>
      <c r="Z75" s="403">
        <v>11248</v>
      </c>
      <c r="AA75" s="401">
        <v>13966</v>
      </c>
      <c r="AB75" s="338">
        <f>IF(Z75=0, "    ---- ", IF(ABS(ROUND(100/Z75*AA75-100,1))&lt;999,ROUND(100/Z75*AA75-100,1),IF(ROUND(100/Z75*AA75-100,1)&gt;999,999,-999)))</f>
        <v>24.2</v>
      </c>
      <c r="AC75" s="403"/>
      <c r="AD75" s="401"/>
      <c r="AE75" s="338"/>
      <c r="AF75" s="403">
        <v>2413.9459999999999</v>
      </c>
      <c r="AG75" s="401">
        <v>2204.0650000000001</v>
      </c>
      <c r="AH75" s="338">
        <f t="shared" si="19"/>
        <v>-8.6999999999999993</v>
      </c>
      <c r="AI75" s="403">
        <v>2841.4</v>
      </c>
      <c r="AJ75" s="401">
        <v>5893</v>
      </c>
      <c r="AK75" s="338">
        <f t="shared" si="25"/>
        <v>107.4</v>
      </c>
      <c r="AL75" s="398">
        <f t="shared" si="37"/>
        <v>64940.513819570006</v>
      </c>
      <c r="AM75" s="398">
        <f t="shared" si="37"/>
        <v>83231.922281000006</v>
      </c>
      <c r="AN75" s="338">
        <f t="shared" si="21"/>
        <v>28.2</v>
      </c>
      <c r="AO75" s="398">
        <f t="shared" si="38"/>
        <v>64940.513819570006</v>
      </c>
      <c r="AP75" s="398">
        <f t="shared" si="38"/>
        <v>83231.922281000006</v>
      </c>
      <c r="AQ75" s="402">
        <f t="shared" si="23"/>
        <v>28.2</v>
      </c>
      <c r="AR75" s="453"/>
      <c r="AS75" s="453"/>
      <c r="AT75" s="457"/>
    </row>
    <row r="76" spans="1:46" s="426" customFormat="1" ht="20.100000000000001" customHeight="1" x14ac:dyDescent="0.3">
      <c r="A76" s="420" t="s">
        <v>401</v>
      </c>
      <c r="B76" s="403">
        <v>17.079000000000001</v>
      </c>
      <c r="C76" s="401">
        <v>15.97</v>
      </c>
      <c r="D76" s="338">
        <f>IF(B76=0, "    ---- ", IF(ABS(ROUND(100/B76*C76-100,1))&lt;999,ROUND(100/B76*C76-100,1),IF(ROUND(100/B76*C76-100,1)&gt;999,999,-999)))</f>
        <v>-6.5</v>
      </c>
      <c r="E76" s="403"/>
      <c r="F76" s="401"/>
      <c r="G76" s="338"/>
      <c r="H76" s="403"/>
      <c r="I76" s="401"/>
      <c r="J76" s="338"/>
      <c r="K76" s="403">
        <v>1.4</v>
      </c>
      <c r="L76" s="401">
        <v>1.3779999999999999</v>
      </c>
      <c r="M76" s="385"/>
      <c r="N76" s="403"/>
      <c r="O76" s="401"/>
      <c r="P76" s="338"/>
      <c r="Q76" s="403">
        <v>10936.968719</v>
      </c>
      <c r="R76" s="401">
        <v>10012.742213</v>
      </c>
      <c r="S76" s="338">
        <f t="shared" si="34"/>
        <v>-8.5</v>
      </c>
      <c r="T76" s="403">
        <v>15.2</v>
      </c>
      <c r="U76" s="401">
        <v>13.2</v>
      </c>
      <c r="V76" s="338">
        <f>IF(T76=0, "    ---- ", IF(ABS(ROUND(100/T76*U76-100,1))&lt;999,ROUND(100/T76*U76-100,1),IF(ROUND(100/T76*U76-100,1)&gt;999,999,-999)))</f>
        <v>-13.2</v>
      </c>
      <c r="W76" s="403">
        <v>661.48</v>
      </c>
      <c r="X76" s="401">
        <v>722.74</v>
      </c>
      <c r="Y76" s="338">
        <f t="shared" si="18"/>
        <v>9.3000000000000007</v>
      </c>
      <c r="Z76" s="403">
        <v>2160</v>
      </c>
      <c r="AA76" s="401">
        <v>1299</v>
      </c>
      <c r="AB76" s="338">
        <f t="shared" ref="AB76:AB78" si="40">IF(Z76=0, "    ---- ", IF(ABS(ROUND(100/Z76*AA76-100,1))&lt;999,ROUND(100/Z76*AA76-100,1),IF(ROUND(100/Z76*AA76-100,1)&gt;999,999,-999)))</f>
        <v>-39.9</v>
      </c>
      <c r="AC76" s="403"/>
      <c r="AD76" s="401"/>
      <c r="AE76" s="338"/>
      <c r="AF76" s="403">
        <v>330.24799999999999</v>
      </c>
      <c r="AG76" s="401">
        <v>190.494</v>
      </c>
      <c r="AH76" s="338">
        <f t="shared" si="19"/>
        <v>-42.3</v>
      </c>
      <c r="AI76" s="403">
        <v>2146.5</v>
      </c>
      <c r="AJ76" s="401">
        <v>1900</v>
      </c>
      <c r="AK76" s="338">
        <f t="shared" si="25"/>
        <v>-11.5</v>
      </c>
      <c r="AL76" s="398">
        <f t="shared" si="37"/>
        <v>16268.875719</v>
      </c>
      <c r="AM76" s="398">
        <f t="shared" si="37"/>
        <v>14155.524213000001</v>
      </c>
      <c r="AN76" s="338">
        <f t="shared" si="21"/>
        <v>-13</v>
      </c>
      <c r="AO76" s="398">
        <f t="shared" si="38"/>
        <v>16268.875719</v>
      </c>
      <c r="AP76" s="398">
        <f t="shared" si="38"/>
        <v>14155.524213000001</v>
      </c>
      <c r="AQ76" s="402">
        <f t="shared" si="23"/>
        <v>-13</v>
      </c>
      <c r="AR76" s="453"/>
      <c r="AS76" s="453"/>
      <c r="AT76" s="457"/>
    </row>
    <row r="77" spans="1:46" s="426" customFormat="1" ht="20.100000000000001" customHeight="1" x14ac:dyDescent="0.3">
      <c r="A77" s="420" t="s">
        <v>365</v>
      </c>
      <c r="B77" s="403">
        <v>58.649000000000001</v>
      </c>
      <c r="C77" s="401">
        <v>50.463999999999999</v>
      </c>
      <c r="D77" s="338">
        <f>IF(B77=0, "    ---- ", IF(ABS(ROUND(100/B77*C77-100,1))&lt;999,ROUND(100/B77*C77-100,1),IF(ROUND(100/B77*C77-100,1)&gt;999,999,-999)))</f>
        <v>-14</v>
      </c>
      <c r="E77" s="403">
        <v>857.6</v>
      </c>
      <c r="F77" s="401">
        <v>652.53099999999995</v>
      </c>
      <c r="G77" s="338">
        <f t="shared" si="17"/>
        <v>-23.9</v>
      </c>
      <c r="H77" s="403">
        <v>25.28</v>
      </c>
      <c r="I77" s="401">
        <v>29.1</v>
      </c>
      <c r="J77" s="338">
        <f>IF(H77=0, "    ---- ", IF(ABS(ROUND(100/H77*I77-100,1))&lt;999,ROUND(100/H77*I77-100,1),IF(ROUND(100/H77*I77-100,1)&gt;999,999,-999)))</f>
        <v>15.1</v>
      </c>
      <c r="K77" s="403"/>
      <c r="L77" s="401"/>
      <c r="M77" s="385"/>
      <c r="N77" s="403"/>
      <c r="O77" s="401"/>
      <c r="P77" s="338"/>
      <c r="Q77" s="403"/>
      <c r="R77" s="401">
        <v>0</v>
      </c>
      <c r="S77" s="338" t="str">
        <f t="shared" si="34"/>
        <v xml:space="preserve">    ---- </v>
      </c>
      <c r="T77" s="403"/>
      <c r="U77" s="401"/>
      <c r="V77" s="338"/>
      <c r="W77" s="403"/>
      <c r="X77" s="401"/>
      <c r="Y77" s="338"/>
      <c r="Z77" s="403">
        <v>424</v>
      </c>
      <c r="AA77" s="401">
        <f>399+191</f>
        <v>590</v>
      </c>
      <c r="AB77" s="338">
        <f t="shared" si="40"/>
        <v>39.200000000000003</v>
      </c>
      <c r="AC77" s="403"/>
      <c r="AD77" s="401"/>
      <c r="AE77" s="338"/>
      <c r="AF77" s="403"/>
      <c r="AG77" s="401"/>
      <c r="AH77" s="338"/>
      <c r="AI77" s="403">
        <v>632.9</v>
      </c>
      <c r="AJ77" s="401">
        <v>669</v>
      </c>
      <c r="AK77" s="338">
        <f t="shared" si="25"/>
        <v>5.7</v>
      </c>
      <c r="AL77" s="398">
        <f t="shared" si="37"/>
        <v>1998.4290000000001</v>
      </c>
      <c r="AM77" s="398">
        <f t="shared" si="37"/>
        <v>1991.0949999999998</v>
      </c>
      <c r="AN77" s="338">
        <f t="shared" si="21"/>
        <v>-0.4</v>
      </c>
      <c r="AO77" s="398">
        <f t="shared" si="38"/>
        <v>1998.4290000000001</v>
      </c>
      <c r="AP77" s="398">
        <f t="shared" si="38"/>
        <v>1991.0949999999998</v>
      </c>
      <c r="AQ77" s="402">
        <f t="shared" si="23"/>
        <v>-0.4</v>
      </c>
      <c r="AR77" s="453"/>
      <c r="AS77" s="453"/>
      <c r="AT77" s="457"/>
    </row>
    <row r="78" spans="1:46" s="426" customFormat="1" ht="20.100000000000001" customHeight="1" x14ac:dyDescent="0.3">
      <c r="A78" s="420" t="s">
        <v>246</v>
      </c>
      <c r="B78" s="403"/>
      <c r="C78" s="401"/>
      <c r="D78" s="338"/>
      <c r="E78" s="403">
        <v>149.57400000000001</v>
      </c>
      <c r="F78" s="401">
        <v>244.06200000000001</v>
      </c>
      <c r="G78" s="397">
        <f t="shared" si="17"/>
        <v>63.2</v>
      </c>
      <c r="H78" s="403"/>
      <c r="I78" s="401"/>
      <c r="J78" s="338"/>
      <c r="K78" s="403">
        <v>95.3</v>
      </c>
      <c r="L78" s="401">
        <v>49.488</v>
      </c>
      <c r="M78" s="385">
        <f>IF(K78=0, "    ---- ", IF(ABS(ROUND(100/K78*L78-100,1))&lt;999,ROUND(100/K78*L78-100,1),IF(ROUND(100/K78*L78-100,1)&gt;999,999,-999)))</f>
        <v>-48.1</v>
      </c>
      <c r="N78" s="403"/>
      <c r="O78" s="401"/>
      <c r="P78" s="338"/>
      <c r="Q78" s="403">
        <v>6212.2106409999997</v>
      </c>
      <c r="R78" s="401">
        <v>4922.3834040000002</v>
      </c>
      <c r="S78" s="338">
        <f t="shared" ref="S78" si="41">IF(Q78=0, "    ---- ", IF(ABS(ROUND(100/Q78*R78-100,1))&lt;999,ROUND(100/Q78*R78-100,1),IF(ROUND(100/Q78*R78-100,1)&gt;999,999,-999)))</f>
        <v>-20.8</v>
      </c>
      <c r="T78" s="403">
        <v>24.9</v>
      </c>
      <c r="U78" s="401">
        <v>9.5</v>
      </c>
      <c r="V78" s="338"/>
      <c r="W78" s="403"/>
      <c r="X78" s="401"/>
      <c r="Y78" s="338"/>
      <c r="Z78" s="403">
        <v>1655</v>
      </c>
      <c r="AA78" s="401"/>
      <c r="AB78" s="338">
        <f t="shared" si="40"/>
        <v>-100</v>
      </c>
      <c r="AC78" s="403"/>
      <c r="AD78" s="401"/>
      <c r="AE78" s="338"/>
      <c r="AF78" s="403">
        <v>154.76486970000022</v>
      </c>
      <c r="AG78" s="401">
        <v>753.37601163000022</v>
      </c>
      <c r="AH78" s="338"/>
      <c r="AI78" s="403">
        <v>742</v>
      </c>
      <c r="AJ78" s="401">
        <v>663</v>
      </c>
      <c r="AK78" s="338"/>
      <c r="AL78" s="398">
        <f t="shared" si="37"/>
        <v>9033.7495106999995</v>
      </c>
      <c r="AM78" s="398">
        <f t="shared" si="37"/>
        <v>6641.8094156300003</v>
      </c>
      <c r="AN78" s="338">
        <f t="shared" si="21"/>
        <v>-26.5</v>
      </c>
      <c r="AO78" s="398">
        <f t="shared" si="38"/>
        <v>9033.7495106999995</v>
      </c>
      <c r="AP78" s="398">
        <f t="shared" si="38"/>
        <v>6641.8094156300003</v>
      </c>
      <c r="AQ78" s="402">
        <f t="shared" si="23"/>
        <v>-26.5</v>
      </c>
      <c r="AR78" s="453"/>
      <c r="AS78" s="453"/>
      <c r="AT78" s="457"/>
    </row>
    <row r="79" spans="1:46" s="426" customFormat="1" ht="20.100000000000001" customHeight="1" x14ac:dyDescent="0.3">
      <c r="A79" s="421" t="s">
        <v>247</v>
      </c>
      <c r="B79" s="403">
        <f>SUM(B73:B78)</f>
        <v>1087.596</v>
      </c>
      <c r="C79" s="401">
        <f>SUM(C73:C78)</f>
        <v>1147.8989999999999</v>
      </c>
      <c r="D79" s="338">
        <f>IF(B79=0, "    ---- ", IF(ABS(ROUND(100/B79*C79-100,1))&lt;999,ROUND(100/B79*C79-100,1),IF(ROUND(100/B79*C79-100,1)&gt;999,999,-999)))</f>
        <v>5.5</v>
      </c>
      <c r="E79" s="403">
        <f>SUM(E73:E78)</f>
        <v>207573.742</v>
      </c>
      <c r="F79" s="401">
        <f>SUM(F73:F78)</f>
        <v>206680.42500000002</v>
      </c>
      <c r="G79" s="338">
        <f t="shared" si="17"/>
        <v>-0.4</v>
      </c>
      <c r="H79" s="403">
        <f>SUM(H73:H78)</f>
        <v>1049.884</v>
      </c>
      <c r="I79" s="401">
        <f>SUM(I73:I78)</f>
        <v>1177.4999999999998</v>
      </c>
      <c r="J79" s="338">
        <f>IF(H79=0, "    ---- ", IF(ABS(ROUND(100/H79*I79-100,1))&lt;999,ROUND(100/H79*I79-100,1),IF(ROUND(100/H79*I79-100,1)&gt;999,999,-999)))</f>
        <v>12.2</v>
      </c>
      <c r="K79" s="403">
        <f>SUM(K73:K78)</f>
        <v>6474.2</v>
      </c>
      <c r="L79" s="401">
        <f>SUM(L73:L78)</f>
        <v>7082.5349999999999</v>
      </c>
      <c r="M79" s="385">
        <f>IF(K79=0, "    ---- ", IF(ABS(ROUND(100/K79*L79-100,1))&lt;999,ROUND(100/K79*L79-100,1),IF(ROUND(100/K79*L79-100,1)&gt;999,999,-999)))</f>
        <v>9.4</v>
      </c>
      <c r="N79" s="403">
        <f>SUM(N73:N78)</f>
        <v>51</v>
      </c>
      <c r="O79" s="401">
        <f>SUM(O73:O78)</f>
        <v>54.054939169999997</v>
      </c>
      <c r="P79" s="338">
        <f>IF(N79=0, "    ---- ", IF(ABS(ROUND(100/N79*O79-100,1))&lt;999,ROUND(100/N79*O79-100,1),IF(ROUND(100/N79*O79-100,1)&gt;999,999,-999)))</f>
        <v>6</v>
      </c>
      <c r="Q79" s="403">
        <f>SUM(Q73:Q78)</f>
        <v>511914.12591945997</v>
      </c>
      <c r="R79" s="401">
        <v>551705.75860414992</v>
      </c>
      <c r="S79" s="338">
        <f t="shared" si="34"/>
        <v>7.8</v>
      </c>
      <c r="T79" s="403">
        <f>SUM(T73:T78)</f>
        <v>1695.3000000000002</v>
      </c>
      <c r="U79" s="401">
        <f>SUM(U73:U78)</f>
        <v>1743.0000000000002</v>
      </c>
      <c r="V79" s="338">
        <f>IF(T79=0, "    ---- ", IF(ABS(ROUND(100/T79*U79-100,1))&lt;999,ROUND(100/T79*U79-100,1),IF(ROUND(100/T79*U79-100,1)&gt;999,999,-999)))</f>
        <v>2.8</v>
      </c>
      <c r="W79" s="403">
        <f>SUM(W73:W78)</f>
        <v>50214.570000000007</v>
      </c>
      <c r="X79" s="401">
        <f>SUM(X73:X78)</f>
        <v>51315.53</v>
      </c>
      <c r="Y79" s="338">
        <f t="shared" si="18"/>
        <v>2.2000000000000002</v>
      </c>
      <c r="Z79" s="403">
        <f>SUM(Z73:Z78)</f>
        <v>85989</v>
      </c>
      <c r="AA79" s="401">
        <f>SUM(AA73:AA78)</f>
        <v>90142</v>
      </c>
      <c r="AB79" s="338">
        <f>IF(Z79=0, "    ---- ", IF(ABS(ROUND(100/Z79*AA79-100,1))&lt;999,ROUND(100/Z79*AA79-100,1),IF(ROUND(100/Z79*AA79-100,1)&gt;999,999,-999)))</f>
        <v>4.8</v>
      </c>
      <c r="AC79" s="403"/>
      <c r="AD79" s="401"/>
      <c r="AE79" s="338"/>
      <c r="AF79" s="403">
        <f>SUM(AF73:AF78)</f>
        <v>23610.182869700002</v>
      </c>
      <c r="AG79" s="401">
        <f>SUM(AG73:AG78)</f>
        <v>25420.270011629997</v>
      </c>
      <c r="AH79" s="338">
        <f t="shared" si="19"/>
        <v>7.7</v>
      </c>
      <c r="AI79" s="403">
        <f>SUM(AI73:AI78)</f>
        <v>186760.69999999998</v>
      </c>
      <c r="AJ79" s="401">
        <f>SUM(AJ73:AJ78)</f>
        <v>189431</v>
      </c>
      <c r="AK79" s="338">
        <f t="shared" si="25"/>
        <v>1.4</v>
      </c>
      <c r="AL79" s="398">
        <f t="shared" si="37"/>
        <v>1076369.30078916</v>
      </c>
      <c r="AM79" s="398">
        <f t="shared" si="37"/>
        <v>1125845.9176157801</v>
      </c>
      <c r="AN79" s="338">
        <f t="shared" si="21"/>
        <v>4.5999999999999996</v>
      </c>
      <c r="AO79" s="398">
        <f t="shared" si="38"/>
        <v>1076420.30078916</v>
      </c>
      <c r="AP79" s="398">
        <f t="shared" si="38"/>
        <v>1125899.97255495</v>
      </c>
      <c r="AQ79" s="402">
        <f t="shared" si="23"/>
        <v>4.5999999999999996</v>
      </c>
      <c r="AR79" s="453"/>
      <c r="AS79" s="453"/>
      <c r="AT79" s="457"/>
    </row>
    <row r="80" spans="1:46" s="426" customFormat="1" ht="20.100000000000001" customHeight="1" x14ac:dyDescent="0.3">
      <c r="A80" s="420" t="s">
        <v>248</v>
      </c>
      <c r="B80" s="403"/>
      <c r="C80" s="401"/>
      <c r="D80" s="338"/>
      <c r="E80" s="403"/>
      <c r="F80" s="401"/>
      <c r="G80" s="338"/>
      <c r="H80" s="403"/>
      <c r="I80" s="401"/>
      <c r="J80" s="338"/>
      <c r="K80" s="403"/>
      <c r="L80" s="401"/>
      <c r="M80" s="385"/>
      <c r="N80" s="403"/>
      <c r="O80" s="401"/>
      <c r="P80" s="338"/>
      <c r="Q80" s="403"/>
      <c r="R80" s="401"/>
      <c r="S80" s="338"/>
      <c r="T80" s="403"/>
      <c r="U80" s="401"/>
      <c r="V80" s="338"/>
      <c r="W80" s="403"/>
      <c r="X80" s="401"/>
      <c r="Y80" s="338"/>
      <c r="Z80" s="403"/>
      <c r="AA80" s="401"/>
      <c r="AB80" s="338"/>
      <c r="AC80" s="403"/>
      <c r="AD80" s="401"/>
      <c r="AE80" s="338"/>
      <c r="AF80" s="403"/>
      <c r="AG80" s="401"/>
      <c r="AH80" s="338"/>
      <c r="AI80" s="403"/>
      <c r="AJ80" s="401"/>
      <c r="AK80" s="338"/>
      <c r="AL80" s="387"/>
      <c r="AM80" s="387"/>
      <c r="AN80" s="338"/>
      <c r="AO80" s="387"/>
      <c r="AP80" s="387"/>
      <c r="AQ80" s="402"/>
      <c r="AR80" s="453"/>
      <c r="AS80" s="453"/>
      <c r="AT80" s="457"/>
    </row>
    <row r="81" spans="1:46" s="426" customFormat="1" ht="20.100000000000001" customHeight="1" x14ac:dyDescent="0.3">
      <c r="A81" s="420" t="s">
        <v>402</v>
      </c>
      <c r="B81" s="403">
        <v>17895.241999999998</v>
      </c>
      <c r="C81" s="401">
        <v>19631.409</v>
      </c>
      <c r="D81" s="338">
        <f>IF(B81=0, "    ---- ", IF(ABS(ROUND(100/B81*C81-100,1))&lt;999,ROUND(100/B81*C81-100,1),IF(ROUND(100/B81*C81-100,1)&gt;999,999,-999)))</f>
        <v>9.6999999999999993</v>
      </c>
      <c r="E81" s="403">
        <v>81717.044999999998</v>
      </c>
      <c r="F81" s="401">
        <v>92195.478000000003</v>
      </c>
      <c r="G81" s="338">
        <f t="shared" si="17"/>
        <v>12.8</v>
      </c>
      <c r="H81" s="403">
        <v>3471.864</v>
      </c>
      <c r="I81" s="401">
        <v>3966.9</v>
      </c>
      <c r="J81" s="338">
        <f>IF(H81=0, "    ---- ", IF(ABS(ROUND(100/H81*I81-100,1))&lt;999,ROUND(100/H81*I81-100,1),IF(ROUND(100/H81*I81-100,1)&gt;999,999,-999)))</f>
        <v>14.3</v>
      </c>
      <c r="K81" s="403">
        <v>24921.5</v>
      </c>
      <c r="L81" s="401">
        <v>27996.121999999999</v>
      </c>
      <c r="M81" s="385">
        <f>IF(K81=0, "    ---- ", IF(ABS(ROUND(100/K81*L81-100,1))&lt;999,ROUND(100/K81*L81-100,1),IF(ROUND(100/K81*L81-100,1)&gt;999,999,-999)))</f>
        <v>12.3</v>
      </c>
      <c r="N81" s="403"/>
      <c r="O81" s="401"/>
      <c r="P81" s="338"/>
      <c r="Q81" s="403">
        <v>1914.9683151500001</v>
      </c>
      <c r="R81" s="401">
        <v>2017.5879481500001</v>
      </c>
      <c r="S81" s="338">
        <f t="shared" ref="S81:S91" si="42">IF(Q81=0, "    ---- ", IF(ABS(ROUND(100/Q81*R81-100,1))&lt;999,ROUND(100/Q81*R81-100,1),IF(ROUND(100/Q81*R81-100,1)&gt;999,999,-999)))</f>
        <v>5.4</v>
      </c>
      <c r="T81" s="403">
        <v>3388</v>
      </c>
      <c r="U81" s="401">
        <v>4506.3</v>
      </c>
      <c r="V81" s="338">
        <f>IF(T81=0, "    ---- ", IF(ABS(ROUND(100/T81*U81-100,1))&lt;999,ROUND(100/T81*U81-100,1),IF(ROUND(100/T81*U81-100,1)&gt;999,999,-999)))</f>
        <v>33</v>
      </c>
      <c r="W81" s="403">
        <v>62133.84</v>
      </c>
      <c r="X81" s="401">
        <v>72267.839999999997</v>
      </c>
      <c r="Y81" s="338">
        <f t="shared" si="18"/>
        <v>16.3</v>
      </c>
      <c r="Z81" s="403"/>
      <c r="AA81" s="401"/>
      <c r="AB81" s="338"/>
      <c r="AC81" s="403">
        <v>2250</v>
      </c>
      <c r="AD81" s="401">
        <v>2377.6443239199998</v>
      </c>
      <c r="AE81" s="338">
        <f>IF(AC81=0, "    ---- ", IF(ABS(ROUND(100/AC81*AD81-100,1))&lt;999,ROUND(100/AC81*AD81-100,1),IF(ROUND(100/AC81*AD81-100,1)&gt;999,999,-999)))</f>
        <v>5.7</v>
      </c>
      <c r="AF81" s="403">
        <v>29026.815999999999</v>
      </c>
      <c r="AG81" s="401">
        <v>32866.904999999999</v>
      </c>
      <c r="AH81" s="338">
        <f t="shared" si="19"/>
        <v>13.2</v>
      </c>
      <c r="AI81" s="403">
        <v>98476.9</v>
      </c>
      <c r="AJ81" s="401">
        <v>107734</v>
      </c>
      <c r="AK81" s="338">
        <f t="shared" si="25"/>
        <v>9.4</v>
      </c>
      <c r="AL81" s="398">
        <f t="shared" ref="AL81:AM89" si="43">B81+E81+H81+K81+Q81+T81+W81+Z81+AF81+AI81</f>
        <v>322946.17531515</v>
      </c>
      <c r="AM81" s="398">
        <f t="shared" si="43"/>
        <v>363182.54194814997</v>
      </c>
      <c r="AN81" s="338">
        <f t="shared" si="21"/>
        <v>12.5</v>
      </c>
      <c r="AO81" s="398">
        <f t="shared" ref="AO81:AP89" si="44">B81+E81+H81+K81+N81+Q81+T81+W81+Z81+AC81+AF81+AI81</f>
        <v>325196.17531515</v>
      </c>
      <c r="AP81" s="398">
        <f t="shared" si="44"/>
        <v>365560.18627206993</v>
      </c>
      <c r="AQ81" s="402">
        <f t="shared" si="23"/>
        <v>12.4</v>
      </c>
      <c r="AR81" s="453"/>
      <c r="AS81" s="453"/>
      <c r="AT81" s="457"/>
    </row>
    <row r="82" spans="1:46" s="426" customFormat="1" ht="20.100000000000001" customHeight="1" x14ac:dyDescent="0.3">
      <c r="A82" s="420" t="s">
        <v>403</v>
      </c>
      <c r="B82" s="403"/>
      <c r="C82" s="401"/>
      <c r="D82" s="338"/>
      <c r="E82" s="403"/>
      <c r="F82" s="401"/>
      <c r="G82" s="338"/>
      <c r="H82" s="403"/>
      <c r="I82" s="401"/>
      <c r="J82" s="338"/>
      <c r="K82" s="403"/>
      <c r="L82" s="401"/>
      <c r="M82" s="338"/>
      <c r="N82" s="403"/>
      <c r="O82" s="401"/>
      <c r="P82" s="338"/>
      <c r="Q82" s="403">
        <v>140.040133</v>
      </c>
      <c r="R82" s="401">
        <v>99.874167999999997</v>
      </c>
      <c r="S82" s="338">
        <f t="shared" si="42"/>
        <v>-28.7</v>
      </c>
      <c r="T82" s="403"/>
      <c r="U82" s="401"/>
      <c r="V82" s="338"/>
      <c r="W82" s="403"/>
      <c r="X82" s="401"/>
      <c r="Y82" s="338"/>
      <c r="Z82" s="403"/>
      <c r="AA82" s="401"/>
      <c r="AB82" s="338"/>
      <c r="AC82" s="403"/>
      <c r="AD82" s="401"/>
      <c r="AE82" s="338"/>
      <c r="AF82" s="403"/>
      <c r="AG82" s="401"/>
      <c r="AH82" s="338"/>
      <c r="AI82" s="403"/>
      <c r="AJ82" s="401"/>
      <c r="AK82" s="338"/>
      <c r="AL82" s="398">
        <f t="shared" si="43"/>
        <v>140.040133</v>
      </c>
      <c r="AM82" s="398">
        <f t="shared" si="43"/>
        <v>99.874167999999997</v>
      </c>
      <c r="AN82" s="338">
        <f t="shared" si="21"/>
        <v>-28.7</v>
      </c>
      <c r="AO82" s="398">
        <f t="shared" si="44"/>
        <v>140.040133</v>
      </c>
      <c r="AP82" s="398">
        <f t="shared" si="44"/>
        <v>99.874167999999997</v>
      </c>
      <c r="AQ82" s="402">
        <f t="shared" si="23"/>
        <v>-28.7</v>
      </c>
      <c r="AR82" s="453"/>
      <c r="AS82" s="453"/>
      <c r="AT82" s="457"/>
    </row>
    <row r="83" spans="1:46" s="426" customFormat="1" ht="20.100000000000001" customHeight="1" x14ac:dyDescent="0.3">
      <c r="A83" s="420" t="s">
        <v>404</v>
      </c>
      <c r="B83" s="408">
        <v>63.192999999999998</v>
      </c>
      <c r="C83" s="338">
        <v>62.332999999999998</v>
      </c>
      <c r="D83" s="338">
        <f>IF(B83=0, "    ---- ", IF(ABS(ROUND(100/B83*C83-100,1))&lt;999,ROUND(100/B83*C83-100,1),IF(ROUND(100/B83*C83-100,1)&gt;999,999,-999)))</f>
        <v>-1.4</v>
      </c>
      <c r="E83" s="408">
        <v>663.34</v>
      </c>
      <c r="F83" s="338">
        <v>661.41200000000003</v>
      </c>
      <c r="G83" s="338">
        <f t="shared" si="17"/>
        <v>-0.3</v>
      </c>
      <c r="H83" s="408"/>
      <c r="I83" s="338"/>
      <c r="J83" s="338"/>
      <c r="K83" s="408">
        <v>315.8</v>
      </c>
      <c r="L83" s="338">
        <v>293.42399999999998</v>
      </c>
      <c r="M83" s="338">
        <f>IF(K83=0, "    ---- ", IF(ABS(ROUND(100/K83*L83-100,1))&lt;999,ROUND(100/K83*L83-100,1),IF(ROUND(100/K83*L83-100,1)&gt;999,999,-999)))</f>
        <v>-7.1</v>
      </c>
      <c r="N83" s="408"/>
      <c r="O83" s="338"/>
      <c r="P83" s="338"/>
      <c r="Q83" s="408">
        <v>391.07409999999999</v>
      </c>
      <c r="R83" s="338">
        <v>389.04245300000002</v>
      </c>
      <c r="S83" s="338">
        <f t="shared" si="42"/>
        <v>-0.5</v>
      </c>
      <c r="T83" s="408">
        <v>18.2</v>
      </c>
      <c r="U83" s="338">
        <v>14.5</v>
      </c>
      <c r="V83" s="338">
        <f>IF(T83=0, "    ---- ", IF(ABS(ROUND(100/T83*U83-100,1))&lt;999,ROUND(100/T83*U83-100,1),IF(ROUND(100/T83*U83-100,1)&gt;999,999,-999)))</f>
        <v>-20.3</v>
      </c>
      <c r="W83" s="408"/>
      <c r="X83" s="338"/>
      <c r="Y83" s="338"/>
      <c r="Z83" s="408"/>
      <c r="AA83" s="338"/>
      <c r="AB83" s="338"/>
      <c r="AC83" s="408"/>
      <c r="AD83" s="338"/>
      <c r="AE83" s="338"/>
      <c r="AF83" s="408">
        <v>497.916</v>
      </c>
      <c r="AG83" s="338">
        <v>502.89100000000002</v>
      </c>
      <c r="AH83" s="338">
        <f t="shared" si="19"/>
        <v>1</v>
      </c>
      <c r="AI83" s="408"/>
      <c r="AJ83" s="338"/>
      <c r="AK83" s="338"/>
      <c r="AL83" s="398">
        <f t="shared" si="43"/>
        <v>1949.5231000000001</v>
      </c>
      <c r="AM83" s="398">
        <f t="shared" si="43"/>
        <v>1923.602453</v>
      </c>
      <c r="AN83" s="338">
        <f t="shared" si="21"/>
        <v>-1.3</v>
      </c>
      <c r="AO83" s="398">
        <f t="shared" si="44"/>
        <v>1949.5231000000001</v>
      </c>
      <c r="AP83" s="398">
        <f t="shared" si="44"/>
        <v>1923.602453</v>
      </c>
      <c r="AQ83" s="402">
        <f t="shared" si="23"/>
        <v>-1.3</v>
      </c>
      <c r="AR83" s="453"/>
      <c r="AS83" s="453"/>
      <c r="AT83" s="457"/>
    </row>
    <row r="84" spans="1:46" s="426" customFormat="1" ht="20.100000000000001" customHeight="1" x14ac:dyDescent="0.3">
      <c r="A84" s="420" t="s">
        <v>246</v>
      </c>
      <c r="B84" s="403"/>
      <c r="C84" s="401"/>
      <c r="D84" s="401"/>
      <c r="E84" s="403"/>
      <c r="F84" s="401"/>
      <c r="G84" s="401"/>
      <c r="H84" s="403"/>
      <c r="I84" s="401"/>
      <c r="J84" s="401"/>
      <c r="K84" s="403"/>
      <c r="L84" s="401"/>
      <c r="M84" s="385"/>
      <c r="N84" s="403"/>
      <c r="O84" s="401"/>
      <c r="P84" s="338"/>
      <c r="Q84" s="403">
        <v>32.744748999999999</v>
      </c>
      <c r="R84" s="401">
        <v>138.03692100000001</v>
      </c>
      <c r="S84" s="338">
        <f t="shared" si="42"/>
        <v>321.60000000000002</v>
      </c>
      <c r="T84" s="403"/>
      <c r="U84" s="401"/>
      <c r="V84" s="338"/>
      <c r="W84" s="403"/>
      <c r="X84" s="401"/>
      <c r="Y84" s="338"/>
      <c r="Z84" s="403"/>
      <c r="AA84" s="401"/>
      <c r="AB84" s="338"/>
      <c r="AC84" s="403"/>
      <c r="AD84" s="401"/>
      <c r="AE84" s="401"/>
      <c r="AF84" s="403"/>
      <c r="AG84" s="401"/>
      <c r="AH84" s="338"/>
      <c r="AI84" s="403"/>
      <c r="AJ84" s="401"/>
      <c r="AK84" s="338"/>
      <c r="AL84" s="398">
        <f t="shared" si="43"/>
        <v>32.744748999999999</v>
      </c>
      <c r="AM84" s="398">
        <f t="shared" si="43"/>
        <v>138.03692100000001</v>
      </c>
      <c r="AN84" s="338">
        <f t="shared" si="21"/>
        <v>321.60000000000002</v>
      </c>
      <c r="AO84" s="398">
        <f t="shared" si="44"/>
        <v>32.744748999999999</v>
      </c>
      <c r="AP84" s="398">
        <f t="shared" si="44"/>
        <v>138.03692100000001</v>
      </c>
      <c r="AQ84" s="402">
        <f t="shared" si="23"/>
        <v>321.60000000000002</v>
      </c>
      <c r="AR84" s="453"/>
      <c r="AS84" s="453"/>
      <c r="AT84" s="457"/>
    </row>
    <row r="85" spans="1:46" s="426" customFormat="1" ht="20.100000000000001" customHeight="1" x14ac:dyDescent="0.3">
      <c r="A85" s="421" t="s">
        <v>249</v>
      </c>
      <c r="B85" s="403">
        <f>SUM(B81:B84)</f>
        <v>17958.434999999998</v>
      </c>
      <c r="C85" s="401">
        <f>SUM(C81:C84)</f>
        <v>19693.741999999998</v>
      </c>
      <c r="D85" s="401">
        <f>IF(B85=0, "    ---- ", IF(ABS(ROUND(100/B85*C85-100,1))&lt;999,ROUND(100/B85*C85-100,1),IF(ROUND(100/B85*C85-100,1)&gt;999,999,-999)))</f>
        <v>9.6999999999999993</v>
      </c>
      <c r="E85" s="403">
        <f>SUM(E81:E84)</f>
        <v>82380.384999999995</v>
      </c>
      <c r="F85" s="401">
        <f>SUM(F81:F84)</f>
        <v>92856.89</v>
      </c>
      <c r="G85" s="401">
        <f t="shared" si="17"/>
        <v>12.7</v>
      </c>
      <c r="H85" s="403">
        <f>SUM(H81:H84)</f>
        <v>3471.864</v>
      </c>
      <c r="I85" s="401">
        <f>SUM(I81:I84)</f>
        <v>3966.9</v>
      </c>
      <c r="J85" s="401">
        <f>IF(H85=0, "    ---- ", IF(ABS(ROUND(100/H85*I85-100,1))&lt;999,ROUND(100/H85*I85-100,1),IF(ROUND(100/H85*I85-100,1)&gt;999,999,-999)))</f>
        <v>14.3</v>
      </c>
      <c r="K85" s="403">
        <f>SUM(K81:K84)</f>
        <v>25237.3</v>
      </c>
      <c r="L85" s="401">
        <f>SUM(L81:L84)</f>
        <v>28289.545999999998</v>
      </c>
      <c r="M85" s="385">
        <f>IF(K85=0, "    ---- ", IF(ABS(ROUND(100/K85*L85-100,1))&lt;999,ROUND(100/K85*L85-100,1),IF(ROUND(100/K85*L85-100,1)&gt;999,999,-999)))</f>
        <v>12.1</v>
      </c>
      <c r="N85" s="403"/>
      <c r="O85" s="401"/>
      <c r="P85" s="338"/>
      <c r="Q85" s="403">
        <f>SUM(Q81:Q84)</f>
        <v>2478.82729715</v>
      </c>
      <c r="R85" s="401">
        <v>2644.5414901499998</v>
      </c>
      <c r="S85" s="338">
        <f t="shared" si="42"/>
        <v>6.7</v>
      </c>
      <c r="T85" s="403">
        <f>SUM(T81:T84)</f>
        <v>3406.2</v>
      </c>
      <c r="U85" s="401">
        <f>SUM(U81:U84)</f>
        <v>4520.8</v>
      </c>
      <c r="V85" s="338">
        <f>IF(T85=0, "    ---- ", IF(ABS(ROUND(100/T85*U85-100,1))&lt;999,ROUND(100/T85*U85-100,1),IF(ROUND(100/T85*U85-100,1)&gt;999,999,-999)))</f>
        <v>32.700000000000003</v>
      </c>
      <c r="W85" s="403">
        <f>SUM(W81:W84)</f>
        <v>62133.84</v>
      </c>
      <c r="X85" s="401">
        <f>SUM(X81:X84)</f>
        <v>72267.839999999997</v>
      </c>
      <c r="Y85" s="338">
        <f t="shared" si="18"/>
        <v>16.3</v>
      </c>
      <c r="Z85" s="403"/>
      <c r="AA85" s="401"/>
      <c r="AB85" s="338"/>
      <c r="AC85" s="403">
        <f>SUM(AC81:AC84)</f>
        <v>2250</v>
      </c>
      <c r="AD85" s="401">
        <f>SUM(AD81:AD84)</f>
        <v>2377.6443239199998</v>
      </c>
      <c r="AE85" s="401">
        <f>IF(AC85=0, "    ---- ", IF(ABS(ROUND(100/AC85*AD85-100,1))&lt;999,ROUND(100/AC85*AD85-100,1),IF(ROUND(100/AC85*AD85-100,1)&gt;999,999,-999)))</f>
        <v>5.7</v>
      </c>
      <c r="AF85" s="403">
        <f>SUM(AF81:AF84)</f>
        <v>29524.732</v>
      </c>
      <c r="AG85" s="401">
        <f>SUM(AG81:AG84)</f>
        <v>33369.796000000002</v>
      </c>
      <c r="AH85" s="338">
        <f t="shared" si="19"/>
        <v>13</v>
      </c>
      <c r="AI85" s="403">
        <f>SUM(AI81:AI84)</f>
        <v>98476.9</v>
      </c>
      <c r="AJ85" s="401">
        <f>SUM(AJ81:AJ84)</f>
        <v>107734</v>
      </c>
      <c r="AK85" s="338">
        <f t="shared" si="25"/>
        <v>9.4</v>
      </c>
      <c r="AL85" s="398">
        <f t="shared" si="43"/>
        <v>325068.48329715</v>
      </c>
      <c r="AM85" s="398">
        <f t="shared" si="43"/>
        <v>365344.05549015</v>
      </c>
      <c r="AN85" s="338">
        <f t="shared" si="21"/>
        <v>12.4</v>
      </c>
      <c r="AO85" s="398">
        <f t="shared" si="44"/>
        <v>327318.48329715</v>
      </c>
      <c r="AP85" s="398">
        <f t="shared" si="44"/>
        <v>367721.69981406996</v>
      </c>
      <c r="AQ85" s="402">
        <f t="shared" si="23"/>
        <v>12.3</v>
      </c>
      <c r="AR85" s="453"/>
      <c r="AS85" s="453"/>
      <c r="AT85" s="457"/>
    </row>
    <row r="86" spans="1:46" s="426" customFormat="1" ht="20.100000000000001" customHeight="1" x14ac:dyDescent="0.3">
      <c r="A86" s="420" t="s">
        <v>250</v>
      </c>
      <c r="B86" s="403">
        <v>30.869</v>
      </c>
      <c r="C86" s="401">
        <v>54.418999999999997</v>
      </c>
      <c r="D86" s="338">
        <f>IF(B86=0, "    ---- ", IF(ABS(ROUND(100/B86*C86-100,1))&lt;999,ROUND(100/B86*C86-100,1),IF(ROUND(100/B86*C86-100,1)&gt;999,999,-999)))</f>
        <v>76.3</v>
      </c>
      <c r="E86" s="403">
        <v>1161.0160000000001</v>
      </c>
      <c r="F86" s="401">
        <v>1301.1110000000001</v>
      </c>
      <c r="G86" s="338">
        <f t="shared" si="17"/>
        <v>12.1</v>
      </c>
      <c r="H86" s="403"/>
      <c r="I86" s="401"/>
      <c r="J86" s="338"/>
      <c r="K86" s="403">
        <v>50.3</v>
      </c>
      <c r="L86" s="401">
        <v>81.98</v>
      </c>
      <c r="M86" s="338">
        <f>IF(K86=0, "    ---- ", IF(ABS(ROUND(100/K86*L86-100,1))&lt;999,ROUND(100/K86*L86-100,1),IF(ROUND(100/K86*L86-100,1)&gt;999,999,-999)))</f>
        <v>63</v>
      </c>
      <c r="N86" s="403">
        <v>1</v>
      </c>
      <c r="O86" s="401">
        <v>1.7814554</v>
      </c>
      <c r="P86" s="338">
        <f>IF(N86=0, "    ---- ", IF(ABS(ROUND(100/N86*O86-100,1))&lt;999,ROUND(100/N86*O86-100,1),IF(ROUND(100/N86*O86-100,1)&gt;999,999,-999)))</f>
        <v>78.099999999999994</v>
      </c>
      <c r="Q86" s="403">
        <v>1570.6675162700001</v>
      </c>
      <c r="R86" s="401">
        <v>1923.33755019</v>
      </c>
      <c r="S86" s="338">
        <f t="shared" si="42"/>
        <v>22.5</v>
      </c>
      <c r="T86" s="403">
        <v>8.1999999999999993</v>
      </c>
      <c r="U86" s="401">
        <v>9.6999999999999993</v>
      </c>
      <c r="V86" s="338">
        <f>IF(T86=0, "    ---- ", IF(ABS(ROUND(100/T86*U86-100,1))&lt;999,ROUND(100/T86*U86-100,1),IF(ROUND(100/T86*U86-100,1)&gt;999,999,-999)))</f>
        <v>18.3</v>
      </c>
      <c r="W86" s="403">
        <v>535.79999999999995</v>
      </c>
      <c r="X86" s="401">
        <v>881.41</v>
      </c>
      <c r="Y86" s="338">
        <f t="shared" si="18"/>
        <v>64.5</v>
      </c>
      <c r="Z86" s="403">
        <v>1160</v>
      </c>
      <c r="AA86" s="401">
        <f>1123+163+49-1</f>
        <v>1334</v>
      </c>
      <c r="AB86" s="338">
        <f>IF(Z86=0, "    ---- ", IF(ABS(ROUND(100/Z86*AA86-100,1))&lt;999,ROUND(100/Z86*AA86-100,1),IF(ROUND(100/Z86*AA86-100,1)&gt;999,999,-999)))</f>
        <v>15</v>
      </c>
      <c r="AC86" s="403"/>
      <c r="AD86" s="401"/>
      <c r="AE86" s="338"/>
      <c r="AF86" s="403">
        <v>960.29600000000005</v>
      </c>
      <c r="AG86" s="401">
        <v>1073.9259999999999</v>
      </c>
      <c r="AH86" s="338">
        <f t="shared" si="19"/>
        <v>11.8</v>
      </c>
      <c r="AI86" s="403">
        <v>41.6</v>
      </c>
      <c r="AJ86" s="401">
        <v>12</v>
      </c>
      <c r="AK86" s="338">
        <f t="shared" si="25"/>
        <v>-71.2</v>
      </c>
      <c r="AL86" s="398">
        <f t="shared" si="43"/>
        <v>5518.7485162700004</v>
      </c>
      <c r="AM86" s="398">
        <f t="shared" si="43"/>
        <v>6671.8835501899994</v>
      </c>
      <c r="AN86" s="338">
        <f t="shared" si="21"/>
        <v>20.9</v>
      </c>
      <c r="AO86" s="398">
        <f t="shared" si="44"/>
        <v>5519.7485162700004</v>
      </c>
      <c r="AP86" s="398">
        <f t="shared" si="44"/>
        <v>6673.6650055899991</v>
      </c>
      <c r="AQ86" s="402">
        <f t="shared" si="23"/>
        <v>20.9</v>
      </c>
      <c r="AR86" s="453"/>
      <c r="AS86" s="453"/>
      <c r="AT86" s="457"/>
    </row>
    <row r="87" spans="1:46" s="426" customFormat="1" ht="20.100000000000001" customHeight="1" x14ac:dyDescent="0.3">
      <c r="A87" s="420" t="s">
        <v>251</v>
      </c>
      <c r="B87" s="403"/>
      <c r="C87" s="401"/>
      <c r="D87" s="338"/>
      <c r="E87" s="403"/>
      <c r="F87" s="401"/>
      <c r="G87" s="338"/>
      <c r="H87" s="403"/>
      <c r="I87" s="401"/>
      <c r="J87" s="338"/>
      <c r="K87" s="403"/>
      <c r="L87" s="401"/>
      <c r="M87" s="338"/>
      <c r="N87" s="403"/>
      <c r="O87" s="401"/>
      <c r="P87" s="338"/>
      <c r="Q87" s="403"/>
      <c r="R87" s="401">
        <v>0</v>
      </c>
      <c r="S87" s="338" t="str">
        <f t="shared" si="42"/>
        <v xml:space="preserve">    ---- </v>
      </c>
      <c r="T87" s="403"/>
      <c r="U87" s="401"/>
      <c r="V87" s="338"/>
      <c r="W87" s="403">
        <v>0</v>
      </c>
      <c r="X87" s="401">
        <v>0</v>
      </c>
      <c r="Y87" s="338" t="str">
        <f t="shared" si="18"/>
        <v xml:space="preserve">    ---- </v>
      </c>
      <c r="Z87" s="403"/>
      <c r="AA87" s="401"/>
      <c r="AB87" s="338"/>
      <c r="AC87" s="403"/>
      <c r="AD87" s="401"/>
      <c r="AE87" s="338"/>
      <c r="AF87" s="403">
        <v>271.80799999999999</v>
      </c>
      <c r="AG87" s="401">
        <v>363.81700000000001</v>
      </c>
      <c r="AH87" s="338">
        <f t="shared" si="19"/>
        <v>33.9</v>
      </c>
      <c r="AI87" s="403"/>
      <c r="AJ87" s="401"/>
      <c r="AK87" s="338"/>
      <c r="AL87" s="398">
        <f t="shared" si="43"/>
        <v>271.80799999999999</v>
      </c>
      <c r="AM87" s="398">
        <f t="shared" si="43"/>
        <v>363.81700000000001</v>
      </c>
      <c r="AN87" s="338">
        <f t="shared" si="21"/>
        <v>33.9</v>
      </c>
      <c r="AO87" s="398">
        <f t="shared" si="44"/>
        <v>271.80799999999999</v>
      </c>
      <c r="AP87" s="398">
        <f t="shared" si="44"/>
        <v>363.81700000000001</v>
      </c>
      <c r="AQ87" s="402">
        <f t="shared" si="23"/>
        <v>33.9</v>
      </c>
      <c r="AR87" s="453"/>
      <c r="AS87" s="453"/>
      <c r="AT87" s="457"/>
    </row>
    <row r="88" spans="1:46" s="426" customFormat="1" ht="20.100000000000001" customHeight="1" x14ac:dyDescent="0.3">
      <c r="A88" s="420" t="s">
        <v>252</v>
      </c>
      <c r="B88" s="403">
        <v>65.302000000000007</v>
      </c>
      <c r="C88" s="401">
        <v>65.730999999999995</v>
      </c>
      <c r="D88" s="401">
        <f>IF(B88=0, "    ---- ", IF(ABS(ROUND(100/B88*C88-100,1))&lt;999,ROUND(100/B88*C88-100,1),IF(ROUND(100/B88*C88-100,1)&gt;999,999,-999)))</f>
        <v>0.7</v>
      </c>
      <c r="E88" s="403">
        <v>1685.221</v>
      </c>
      <c r="F88" s="401">
        <v>1377.838</v>
      </c>
      <c r="G88" s="401">
        <f t="shared" si="17"/>
        <v>-18.2</v>
      </c>
      <c r="H88" s="403">
        <v>93.409000000000006</v>
      </c>
      <c r="I88" s="401">
        <v>40.200000000000003</v>
      </c>
      <c r="J88" s="397">
        <f t="shared" ref="J88" si="45">IF(H88=0, "    ---- ", IF(ABS(ROUND(100/H88*I88-100,1))&lt;999,ROUND(100/H88*I88-100,1),IF(ROUND(100/H88*I88-100,1)&gt;999,999,-999)))</f>
        <v>-57</v>
      </c>
      <c r="K88" s="403">
        <v>92.5</v>
      </c>
      <c r="L88" s="401">
        <v>113.44199999999999</v>
      </c>
      <c r="M88" s="385">
        <f>IF(K88=0, "    ---- ", IF(ABS(ROUND(100/K88*L88-100,1))&lt;999,ROUND(100/K88*L88-100,1),IF(ROUND(100/K88*L88-100,1)&gt;999,999,-999)))</f>
        <v>22.6</v>
      </c>
      <c r="N88" s="403">
        <v>10</v>
      </c>
      <c r="O88" s="401">
        <v>0.89946952000000002</v>
      </c>
      <c r="P88" s="338">
        <f>IF(N88=0, "    ---- ", IF(ABS(ROUND(100/N88*O88-100,1))&lt;999,ROUND(100/N88*O88-100,1),IF(ROUND(100/N88*O88-100,1)&gt;999,999,-999)))</f>
        <v>-91</v>
      </c>
      <c r="Q88" s="403">
        <v>6838.17597682</v>
      </c>
      <c r="R88" s="401">
        <v>9588.6514037199995</v>
      </c>
      <c r="S88" s="338">
        <f t="shared" si="42"/>
        <v>40.200000000000003</v>
      </c>
      <c r="T88" s="403">
        <v>57.6</v>
      </c>
      <c r="U88" s="401">
        <v>7.2</v>
      </c>
      <c r="V88" s="338">
        <f>IF(T88=0, "    ---- ", IF(ABS(ROUND(100/T88*U88-100,1))&lt;999,ROUND(100/T88*U88-100,1),IF(ROUND(100/T88*U88-100,1)&gt;999,999,-999)))</f>
        <v>-87.5</v>
      </c>
      <c r="W88" s="403">
        <v>169.9</v>
      </c>
      <c r="X88" s="401">
        <v>287.10000000000002</v>
      </c>
      <c r="Y88" s="338">
        <f t="shared" si="18"/>
        <v>69</v>
      </c>
      <c r="Z88" s="403">
        <v>381</v>
      </c>
      <c r="AA88" s="401"/>
      <c r="AB88" s="338">
        <f>IF(Z88=0, "    ---- ", IF(ABS(ROUND(100/Z88*AA88-100,1))&lt;999,ROUND(100/Z88*AA88-100,1),IF(ROUND(100/Z88*AA88-100,1)&gt;999,999,-999)))</f>
        <v>-100</v>
      </c>
      <c r="AC88" s="403">
        <v>9</v>
      </c>
      <c r="AD88" s="401">
        <v>12.77518117</v>
      </c>
      <c r="AE88" s="338">
        <f>IF(AC88=0, "    ---- ", IF(ABS(ROUND(100/AC88*AD88-100,1))&lt;999,ROUND(100/AC88*AD88-100,1),IF(ROUND(100/AC88*AD88-100,1)&gt;999,999,-999)))</f>
        <v>41.9</v>
      </c>
      <c r="AF88" s="403">
        <v>285.01799999999997</v>
      </c>
      <c r="AG88" s="401">
        <v>600.51099999999997</v>
      </c>
      <c r="AH88" s="338">
        <f t="shared" si="19"/>
        <v>110.7</v>
      </c>
      <c r="AI88" s="403">
        <v>3452.2</v>
      </c>
      <c r="AJ88" s="401">
        <v>3363</v>
      </c>
      <c r="AK88" s="338">
        <f t="shared" si="25"/>
        <v>-2.6</v>
      </c>
      <c r="AL88" s="398">
        <f t="shared" si="43"/>
        <v>13120.325976820001</v>
      </c>
      <c r="AM88" s="398">
        <f t="shared" si="43"/>
        <v>15443.67340372</v>
      </c>
      <c r="AN88" s="338">
        <f t="shared" si="21"/>
        <v>17.7</v>
      </c>
      <c r="AO88" s="398">
        <f t="shared" si="44"/>
        <v>13139.325976820001</v>
      </c>
      <c r="AP88" s="398">
        <f t="shared" si="44"/>
        <v>15457.34805441</v>
      </c>
      <c r="AQ88" s="402">
        <f t="shared" si="23"/>
        <v>17.600000000000001</v>
      </c>
      <c r="AR88" s="453"/>
      <c r="AS88" s="453"/>
      <c r="AT88" s="457"/>
    </row>
    <row r="89" spans="1:46" s="426" customFormat="1" ht="20.100000000000001" customHeight="1" x14ac:dyDescent="0.3">
      <c r="A89" s="420" t="s">
        <v>253</v>
      </c>
      <c r="B89" s="403">
        <v>30.972999999999999</v>
      </c>
      <c r="C89" s="401">
        <v>37.896000000000001</v>
      </c>
      <c r="D89" s="401">
        <f>IF(B89=0, "    ---- ", IF(ABS(ROUND(100/B89*C89-100,1))&lt;999,ROUND(100/B89*C89-100,1),IF(ROUND(100/B89*C89-100,1)&gt;999,999,-999)))</f>
        <v>22.4</v>
      </c>
      <c r="E89" s="403">
        <v>158.708</v>
      </c>
      <c r="F89" s="401">
        <v>146.352</v>
      </c>
      <c r="G89" s="401">
        <f t="shared" si="17"/>
        <v>-7.8</v>
      </c>
      <c r="H89" s="403">
        <v>12.872999999999999</v>
      </c>
      <c r="I89" s="401">
        <v>16.399999999999999</v>
      </c>
      <c r="J89" s="401">
        <f>IF(H89=0, "    ---- ", IF(ABS(ROUND(100/H89*I89-100,1))&lt;999,ROUND(100/H89*I89-100,1),IF(ROUND(100/H89*I89-100,1)&gt;999,999,-999)))</f>
        <v>27.4</v>
      </c>
      <c r="K89" s="403">
        <v>12.5</v>
      </c>
      <c r="L89" s="401">
        <v>16.977</v>
      </c>
      <c r="M89" s="338">
        <f>IF(K89=0, "    ---- ", IF(ABS(ROUND(100/K89*L89-100,1))&lt;999,ROUND(100/K89*L89-100,1),IF(ROUND(100/K89*L89-100,1)&gt;999,999,-999)))</f>
        <v>35.799999999999997</v>
      </c>
      <c r="N89" s="403"/>
      <c r="O89" s="401"/>
      <c r="P89" s="338"/>
      <c r="Q89" s="403">
        <v>67.934467670000004</v>
      </c>
      <c r="R89" s="401">
        <v>82.930822860000006</v>
      </c>
      <c r="S89" s="338">
        <f t="shared" si="42"/>
        <v>22.1</v>
      </c>
      <c r="T89" s="403">
        <v>5.9</v>
      </c>
      <c r="U89" s="401">
        <v>5.0999999999999996</v>
      </c>
      <c r="V89" s="338">
        <f>IF(T89=0, "    ---- ", IF(ABS(ROUND(100/T89*U89-100,1))&lt;999,ROUND(100/T89*U89-100,1),IF(ROUND(100/T89*U89-100,1)&gt;999,999,-999)))</f>
        <v>-13.6</v>
      </c>
      <c r="W89" s="403">
        <v>43.95</v>
      </c>
      <c r="X89" s="401">
        <v>43.839999999999996</v>
      </c>
      <c r="Y89" s="338">
        <f t="shared" si="18"/>
        <v>-0.3</v>
      </c>
      <c r="Z89" s="403">
        <v>54</v>
      </c>
      <c r="AA89" s="401"/>
      <c r="AB89" s="338">
        <f>IF(Z89=0, "    ---- ", IF(ABS(ROUND(100/Z89*AA89-100,1))&lt;999,ROUND(100/Z89*AA89-100,1),IF(ROUND(100/Z89*AA89-100,1)&gt;999,999,-999)))</f>
        <v>-100</v>
      </c>
      <c r="AC89" s="403"/>
      <c r="AD89" s="401">
        <v>0.27700697000000002</v>
      </c>
      <c r="AE89" s="338" t="str">
        <f>IF(AC89=0, "    ---- ", IF(ABS(ROUND(100/AC89*AD89-100,1))&lt;999,ROUND(100/AC89*AD89-100,1),IF(ROUND(100/AC89*AD89-100,1)&gt;999,999,-999)))</f>
        <v xml:space="preserve">    ---- </v>
      </c>
      <c r="AF89" s="403">
        <v>118.027</v>
      </c>
      <c r="AG89" s="401">
        <v>79.826999999999998</v>
      </c>
      <c r="AH89" s="338">
        <f t="shared" si="19"/>
        <v>-32.4</v>
      </c>
      <c r="AI89" s="403">
        <v>138.30000000000001</v>
      </c>
      <c r="AJ89" s="401">
        <v>158</v>
      </c>
      <c r="AK89" s="338">
        <f t="shared" si="25"/>
        <v>14.2</v>
      </c>
      <c r="AL89" s="398">
        <f t="shared" si="43"/>
        <v>643.16546767</v>
      </c>
      <c r="AM89" s="398">
        <f t="shared" si="43"/>
        <v>587.32282286000009</v>
      </c>
      <c r="AN89" s="338">
        <f t="shared" si="21"/>
        <v>-8.6999999999999993</v>
      </c>
      <c r="AO89" s="398">
        <f t="shared" si="44"/>
        <v>643.16546767</v>
      </c>
      <c r="AP89" s="398">
        <f t="shared" si="44"/>
        <v>587.59982983000009</v>
      </c>
      <c r="AQ89" s="402">
        <f t="shared" si="23"/>
        <v>-8.6</v>
      </c>
      <c r="AR89" s="453"/>
      <c r="AS89" s="453"/>
      <c r="AT89" s="457"/>
    </row>
    <row r="90" spans="1:46" s="426" customFormat="1" ht="20.100000000000001" customHeight="1" x14ac:dyDescent="0.3">
      <c r="A90" s="420"/>
      <c r="B90" s="403"/>
      <c r="C90" s="401"/>
      <c r="D90" s="338"/>
      <c r="E90" s="403"/>
      <c r="F90" s="401"/>
      <c r="G90" s="338"/>
      <c r="H90" s="403"/>
      <c r="I90" s="401"/>
      <c r="J90" s="338"/>
      <c r="K90" s="403"/>
      <c r="L90" s="401"/>
      <c r="M90" s="338"/>
      <c r="N90" s="403"/>
      <c r="O90" s="401"/>
      <c r="P90" s="338"/>
      <c r="Q90" s="403"/>
      <c r="R90" s="401"/>
      <c r="S90" s="338"/>
      <c r="T90" s="403"/>
      <c r="U90" s="401"/>
      <c r="V90" s="338"/>
      <c r="W90" s="403"/>
      <c r="X90" s="401"/>
      <c r="Y90" s="338"/>
      <c r="Z90" s="403"/>
      <c r="AA90" s="401"/>
      <c r="AB90" s="338"/>
      <c r="AC90" s="403"/>
      <c r="AD90" s="401"/>
      <c r="AE90" s="338"/>
      <c r="AF90" s="403"/>
      <c r="AG90" s="401"/>
      <c r="AH90" s="338"/>
      <c r="AI90" s="403"/>
      <c r="AJ90" s="401"/>
      <c r="AK90" s="338"/>
      <c r="AL90" s="387"/>
      <c r="AM90" s="387"/>
      <c r="AN90" s="338"/>
      <c r="AO90" s="387"/>
      <c r="AP90" s="387"/>
      <c r="AQ90" s="402"/>
      <c r="AR90" s="453"/>
      <c r="AS90" s="453"/>
      <c r="AT90" s="457"/>
    </row>
    <row r="91" spans="1:46" s="461" customFormat="1" ht="20.100000000000001" customHeight="1" x14ac:dyDescent="0.3">
      <c r="A91" s="423" t="s">
        <v>254</v>
      </c>
      <c r="B91" s="411">
        <f>SUM(B68+B69+B71+B79+B85+B86+B87+B88+B89)</f>
        <v>19662.719999999998</v>
      </c>
      <c r="C91" s="409">
        <f>SUM(C68+C69+C71+C79+C85+C86+C87+C88+C89)</f>
        <v>21619.635999999999</v>
      </c>
      <c r="D91" s="410">
        <f>IF(B91=0, "    ---- ", IF(ABS(ROUND(100/B91*C91-100,1))&lt;999,ROUND(100/B91*C91-100,1),IF(ROUND(100/B91*C91-100,1)&gt;999,999,-999)))</f>
        <v>10</v>
      </c>
      <c r="E91" s="411">
        <f>SUM(E68+E69+E71+E79+E85+E86+E87+E88+E89)</f>
        <v>322437.51699999999</v>
      </c>
      <c r="F91" s="409">
        <f>SUM(F68+F69+F71+F79+F85+F86+F87+F88+F89)</f>
        <v>332228.77999999997</v>
      </c>
      <c r="G91" s="410">
        <f t="shared" si="17"/>
        <v>3</v>
      </c>
      <c r="H91" s="411">
        <f>SUM(H68+H69+H71+H79+H85+H86+H87+H88+H89)</f>
        <v>4999.0459999999994</v>
      </c>
      <c r="I91" s="409">
        <f>SUM(I68+I69+I71+I79+I85+I86+I87+I88+I89)</f>
        <v>5657.2999999999993</v>
      </c>
      <c r="J91" s="410">
        <f>IF(H91=0, "    ---- ", IF(ABS(ROUND(100/H91*I91-100,1))&lt;999,ROUND(100/H91*I91-100,1),IF(ROUND(100/H91*I91-100,1)&gt;999,999,-999)))</f>
        <v>13.2</v>
      </c>
      <c r="K91" s="411">
        <f>SUM(K68+K69+K71+K79+K85+K86+K87+K88+K89)</f>
        <v>32978.800000000003</v>
      </c>
      <c r="L91" s="409">
        <f>SUM(L68+L69+L71+L79+L85+L86+L87+L88+L89)</f>
        <v>36740.476000000002</v>
      </c>
      <c r="M91" s="410">
        <f>IF(K91=0, "    ---- ", IF(ABS(ROUND(100/K91*L91-100,1))&lt;999,ROUND(100/K91*L91-100,1),IF(ROUND(100/K91*L91-100,1)&gt;999,999,-999)))</f>
        <v>11.4</v>
      </c>
      <c r="N91" s="411">
        <f>SUM(N68+N69+N71+N79+N85+N86+N87+N88+N89)</f>
        <v>147</v>
      </c>
      <c r="O91" s="409">
        <f>SUM(O68+O69+O71+O79+O85+O86+O87+O88+O89)</f>
        <v>146.71234178999998</v>
      </c>
      <c r="P91" s="410">
        <f>IF(N91=0, "    ---- ", IF(ABS(ROUND(100/N91*O91-100,1))&lt;999,ROUND(100/N91*O91-100,1),IF(ROUND(100/N91*O91-100,1)&gt;999,999,-999)))</f>
        <v>-0.2</v>
      </c>
      <c r="Q91" s="411">
        <f>SUM(Q68+Q69+Q71+Q79+Q85+Q86+Q87+Q88+Q89)</f>
        <v>563532.37508746004</v>
      </c>
      <c r="R91" s="409">
        <v>610573.32094320003</v>
      </c>
      <c r="S91" s="410">
        <f t="shared" si="42"/>
        <v>8.3000000000000007</v>
      </c>
      <c r="T91" s="411">
        <f>SUM(T68+T69+T71+T79+T85+T86+T87+T88+T89)</f>
        <v>5671.3</v>
      </c>
      <c r="U91" s="409">
        <f>SUM(U68+U69+U71+U79+U85+U86+U87+U88+U89)</f>
        <v>6779.3</v>
      </c>
      <c r="V91" s="410">
        <f>IF(T91=0, "    ---- ", IF(ABS(ROUND(100/T91*U91-100,1))&lt;999,ROUND(100/T91*U91-100,1),IF(ROUND(100/T91*U91-100,1)&gt;999,999,-999)))</f>
        <v>19.5</v>
      </c>
      <c r="W91" s="411">
        <f>SUM(W68+W69+W71+W79+W85+W86+W87+W88+W89)</f>
        <v>123360.85</v>
      </c>
      <c r="X91" s="409">
        <f>SUM(X68+X69+X71+X79+X85+X86+X87+X88+X89)</f>
        <v>135397.18</v>
      </c>
      <c r="Y91" s="410">
        <f t="shared" si="18"/>
        <v>9.8000000000000007</v>
      </c>
      <c r="Z91" s="411">
        <f>SUM(Z68+Z69+Z71+Z79+Z85+Z86+Z87+Z88+Z89)</f>
        <v>97219</v>
      </c>
      <c r="AA91" s="409">
        <f>SUM(AA68+AA69+AA71+AA79+AA85+AA86+AA87+AA88+AA89)</f>
        <v>101797</v>
      </c>
      <c r="AB91" s="410">
        <f>IF(Z91=0, "    ---- ", IF(ABS(ROUND(100/Z91*AA91-100,1))&lt;999,ROUND(100/Z91*AA91-100,1),IF(ROUND(100/Z91*AA91-100,1)&gt;999,999,-999)))</f>
        <v>4.7</v>
      </c>
      <c r="AC91" s="411">
        <f>SUM(AC68+AC69+AC71+AC79+AC85+AC86+AC87+AC88+AC89)</f>
        <v>2307</v>
      </c>
      <c r="AD91" s="409">
        <f>SUM(AD68+AD69+AD71+AD79+AD85+AD86+AD87+AD88+AD89)</f>
        <v>2452.5968934799994</v>
      </c>
      <c r="AE91" s="410">
        <f>IF(AC91=0, "    ---- ", IF(ABS(ROUND(100/AC91*AD91-100,1))&lt;999,ROUND(100/AC91*AD91-100,1),IF(ROUND(100/AC91*AD91-100,1)&gt;999,999,-999)))</f>
        <v>6.3</v>
      </c>
      <c r="AF91" s="411">
        <f>SUM(AF68+AF69+AF71+AF79+AF85+AF86+AF87+AF88+AF89)</f>
        <v>59708.957869700003</v>
      </c>
      <c r="AG91" s="409">
        <f>SUM(AG68+AG69+AG71+AG79+AG85+AG86+AG87+AG88+AG89)</f>
        <v>67103.419011630001</v>
      </c>
      <c r="AH91" s="410">
        <f t="shared" si="19"/>
        <v>12.4</v>
      </c>
      <c r="AI91" s="411">
        <f>SUM(AI68+AI69+AI71+AI79+AI85+AI86+AI87+AI88+AI89)</f>
        <v>323193.79999999993</v>
      </c>
      <c r="AJ91" s="409">
        <f>SUM(AJ68+AJ69+AJ71+AJ79+AJ85+AJ86+AJ87+AJ88+AJ89)</f>
        <v>336212</v>
      </c>
      <c r="AK91" s="410">
        <f t="shared" si="25"/>
        <v>4</v>
      </c>
      <c r="AL91" s="412">
        <f>B91+E91+H91+K91+Q91+T91+W91+Z91+AF91+AI91</f>
        <v>1552764.36595716</v>
      </c>
      <c r="AM91" s="412">
        <f>C91+F91+I91+L91+R91+U91+X91+AA91+AG91+AJ91</f>
        <v>1654108.4119548299</v>
      </c>
      <c r="AN91" s="410">
        <f t="shared" si="21"/>
        <v>6.5</v>
      </c>
      <c r="AO91" s="413">
        <f>B91+E91+H91+K91+N91+Q91+T91+W91+Z91+AC91+AF91+AI91</f>
        <v>1555218.36595716</v>
      </c>
      <c r="AP91" s="413">
        <f>C91+F91+I91+L91+O91+R91+U91+X91+AA91+AD91+AG91+AJ91</f>
        <v>1656707.7211901001</v>
      </c>
      <c r="AQ91" s="414">
        <f t="shared" si="23"/>
        <v>6.5</v>
      </c>
      <c r="AR91" s="459"/>
      <c r="AS91" s="453"/>
      <c r="AT91" s="457"/>
    </row>
    <row r="92" spans="1:46" ht="18.75" customHeight="1" x14ac:dyDescent="0.3">
      <c r="A92" s="424" t="s">
        <v>255</v>
      </c>
      <c r="B92" s="424"/>
      <c r="Q92" s="424"/>
      <c r="R92" s="426"/>
      <c r="X92" s="427"/>
      <c r="Y92" s="427"/>
      <c r="Z92" s="427"/>
      <c r="AA92" s="427"/>
      <c r="AB92" s="427"/>
      <c r="AC92" s="427"/>
      <c r="AD92" s="427"/>
      <c r="AE92" s="427"/>
      <c r="AF92" s="424"/>
      <c r="AI92" s="424"/>
    </row>
    <row r="93" spans="1:46" ht="18.75" customHeight="1" x14ac:dyDescent="0.3">
      <c r="A93" s="424" t="s">
        <v>256</v>
      </c>
      <c r="Q93" s="424"/>
      <c r="R93" s="426"/>
      <c r="X93" s="427"/>
      <c r="Y93" s="427"/>
      <c r="Z93" s="427"/>
      <c r="AA93" s="427"/>
      <c r="AB93" s="427"/>
      <c r="AC93" s="427"/>
      <c r="AD93" s="427"/>
      <c r="AE93" s="427"/>
      <c r="AF93" s="424"/>
      <c r="AI93" s="424"/>
    </row>
    <row r="94" spans="1:46" s="428" customFormat="1" ht="18.75" customHeight="1" x14ac:dyDescent="0.3">
      <c r="A94" s="424" t="s">
        <v>257</v>
      </c>
      <c r="Q94" s="424"/>
      <c r="R94" s="424"/>
      <c r="Y94" s="429"/>
      <c r="Z94" s="429"/>
      <c r="AA94" s="429"/>
      <c r="AB94" s="429"/>
      <c r="AC94" s="429"/>
      <c r="AD94" s="429"/>
      <c r="AE94" s="429"/>
      <c r="AR94" s="462"/>
      <c r="AS94" s="462"/>
    </row>
    <row r="95" spans="1:46" s="428" customFormat="1" ht="18.75" x14ac:dyDescent="0.3">
      <c r="Q95" s="424"/>
      <c r="R95" s="424"/>
      <c r="AR95" s="462"/>
      <c r="AS95" s="462"/>
    </row>
    <row r="96" spans="1:46" s="428" customFormat="1" ht="18.75" x14ac:dyDescent="0.3">
      <c r="H96" s="463"/>
      <c r="Q96" s="424"/>
      <c r="R96" s="424"/>
    </row>
    <row r="97" spans="17:18" s="428" customFormat="1" ht="18.75" x14ac:dyDescent="0.3">
      <c r="Q97" s="424"/>
      <c r="R97" s="424"/>
    </row>
    <row r="98" spans="17:18" s="428" customFormat="1" ht="18.75" x14ac:dyDescent="0.3">
      <c r="Q98" s="424"/>
      <c r="R98" s="424"/>
    </row>
    <row r="99" spans="17:18" s="428" customFormat="1" ht="18.75" x14ac:dyDescent="0.3">
      <c r="Q99" s="424"/>
      <c r="R99" s="424"/>
    </row>
    <row r="100" spans="17:18" s="428" customFormat="1" ht="18.75" x14ac:dyDescent="0.3">
      <c r="Q100" s="424"/>
      <c r="R100" s="424"/>
    </row>
    <row r="101" spans="17:18" s="428" customFormat="1" ht="18.75" x14ac:dyDescent="0.3">
      <c r="Q101" s="424"/>
      <c r="R101" s="424"/>
    </row>
    <row r="102" spans="17:18" s="428" customFormat="1" ht="18.75" x14ac:dyDescent="0.3">
      <c r="Q102" s="424"/>
      <c r="R102" s="424"/>
    </row>
    <row r="103" spans="17:18" s="428" customFormat="1" ht="18.75" x14ac:dyDescent="0.3">
      <c r="Q103" s="424"/>
      <c r="R103" s="424"/>
    </row>
    <row r="104" spans="17:18" s="428" customFormat="1" ht="18.75" x14ac:dyDescent="0.3">
      <c r="Q104" s="424"/>
      <c r="R104" s="424"/>
    </row>
    <row r="105" spans="17:18" s="428" customFormat="1" ht="18.75" x14ac:dyDescent="0.3">
      <c r="Q105" s="424"/>
      <c r="R105" s="424"/>
    </row>
    <row r="106" spans="17:18" s="428" customFormat="1" ht="18.75" x14ac:dyDescent="0.3">
      <c r="Q106" s="424"/>
      <c r="R106" s="424"/>
    </row>
    <row r="107" spans="17:18" s="428" customFormat="1" ht="18.75" x14ac:dyDescent="0.3">
      <c r="Q107" s="424"/>
      <c r="R107" s="424"/>
    </row>
    <row r="108" spans="17:18" s="428" customFormat="1" ht="18.75" x14ac:dyDescent="0.3">
      <c r="Q108" s="424"/>
      <c r="R108" s="424"/>
    </row>
    <row r="109" spans="17:18" s="428" customFormat="1" ht="18.75" x14ac:dyDescent="0.3">
      <c r="Q109" s="424"/>
      <c r="R109" s="424"/>
    </row>
    <row r="110" spans="17:18" s="428" customFormat="1" ht="18.75" x14ac:dyDescent="0.3">
      <c r="Q110" s="424"/>
      <c r="R110" s="424"/>
    </row>
    <row r="111" spans="17:18" s="428" customFormat="1" ht="18.75" x14ac:dyDescent="0.3">
      <c r="Q111" s="424"/>
      <c r="R111" s="424"/>
    </row>
    <row r="112" spans="17:18" s="428" customFormat="1" ht="18.75" x14ac:dyDescent="0.3">
      <c r="Q112" s="424"/>
      <c r="R112" s="424"/>
    </row>
    <row r="113" spans="17:18" s="465" customFormat="1" ht="15.75" x14ac:dyDescent="0.25">
      <c r="Q113" s="464"/>
      <c r="R113" s="464"/>
    </row>
    <row r="114" spans="17:18" s="465" customFormat="1" ht="15.75" x14ac:dyDescent="0.25">
      <c r="Q114" s="464"/>
      <c r="R114" s="464"/>
    </row>
    <row r="115" spans="17:18" x14ac:dyDescent="0.2">
      <c r="Q115" s="426"/>
      <c r="R115" s="426"/>
    </row>
    <row r="116" spans="17:18" x14ac:dyDescent="0.2">
      <c r="Q116" s="426"/>
      <c r="R116" s="426"/>
    </row>
    <row r="117" spans="17:18" x14ac:dyDescent="0.2">
      <c r="Q117" s="426"/>
      <c r="R117" s="426"/>
    </row>
    <row r="118" spans="17:18" x14ac:dyDescent="0.2">
      <c r="Q118" s="426"/>
      <c r="R118" s="426"/>
    </row>
    <row r="119" spans="17:18" x14ac:dyDescent="0.2">
      <c r="Q119" s="426"/>
      <c r="R119" s="426"/>
    </row>
    <row r="120" spans="17:18" x14ac:dyDescent="0.2">
      <c r="Q120" s="426"/>
      <c r="R120" s="426"/>
    </row>
    <row r="121" spans="17:18" x14ac:dyDescent="0.2">
      <c r="Q121" s="426"/>
      <c r="R121" s="426"/>
    </row>
    <row r="122" spans="17:18" x14ac:dyDescent="0.2">
      <c r="Q122" s="426"/>
      <c r="R122" s="426"/>
    </row>
    <row r="123" spans="17:18" x14ac:dyDescent="0.2">
      <c r="Q123" s="426"/>
      <c r="R123" s="426"/>
    </row>
    <row r="124" spans="17:18" x14ac:dyDescent="0.2">
      <c r="Q124" s="426"/>
      <c r="R124" s="426"/>
    </row>
    <row r="125" spans="17:18" x14ac:dyDescent="0.2">
      <c r="Q125" s="426"/>
      <c r="R125" s="426"/>
    </row>
    <row r="126" spans="17:18" x14ac:dyDescent="0.2">
      <c r="Q126" s="426"/>
      <c r="R126" s="426"/>
    </row>
    <row r="127" spans="17:18" x14ac:dyDescent="0.2">
      <c r="Q127" s="426"/>
      <c r="R127" s="426"/>
    </row>
    <row r="128" spans="17:18" x14ac:dyDescent="0.2">
      <c r="Q128" s="426"/>
      <c r="R128" s="426"/>
    </row>
    <row r="129" spans="17:18" x14ac:dyDescent="0.2">
      <c r="Q129" s="426"/>
      <c r="R129" s="426"/>
    </row>
    <row r="130" spans="17:18" x14ac:dyDescent="0.2">
      <c r="Q130" s="426"/>
      <c r="R130" s="426"/>
    </row>
    <row r="131" spans="17:18" x14ac:dyDescent="0.2">
      <c r="Q131" s="426"/>
      <c r="R131" s="426"/>
    </row>
    <row r="132" spans="17:18" x14ac:dyDescent="0.2">
      <c r="Q132" s="426"/>
      <c r="R132" s="426"/>
    </row>
  </sheetData>
  <mergeCells count="35">
    <mergeCell ref="T5:V5"/>
    <mergeCell ref="BF5:BH5"/>
    <mergeCell ref="Z5:AB5"/>
    <mergeCell ref="AF5:AH5"/>
    <mergeCell ref="AI5:AK5"/>
    <mergeCell ref="AL5:AN5"/>
    <mergeCell ref="AO5:AQ5"/>
    <mergeCell ref="K6:M6"/>
    <mergeCell ref="N6:P6"/>
    <mergeCell ref="H5:J5"/>
    <mergeCell ref="K5:M5"/>
    <mergeCell ref="N5:P5"/>
    <mergeCell ref="B5:D5"/>
    <mergeCell ref="E5:G5"/>
    <mergeCell ref="AZ5:BB5"/>
    <mergeCell ref="BC5:BE5"/>
    <mergeCell ref="Q6:S6"/>
    <mergeCell ref="T6:V6"/>
    <mergeCell ref="W6:Y6"/>
    <mergeCell ref="Z6:AB6"/>
    <mergeCell ref="AC6:AE6"/>
    <mergeCell ref="AZ6:BB6"/>
    <mergeCell ref="BC6:BE6"/>
    <mergeCell ref="AT5:AV5"/>
    <mergeCell ref="AW5:AY5"/>
    <mergeCell ref="B6:D6"/>
    <mergeCell ref="E6:G6"/>
    <mergeCell ref="H6:J6"/>
    <mergeCell ref="BF6:BH6"/>
    <mergeCell ref="AF6:AH6"/>
    <mergeCell ref="AI6:AK6"/>
    <mergeCell ref="AL6:AN6"/>
    <mergeCell ref="AO6:AQ6"/>
    <mergeCell ref="AT6:AV6"/>
    <mergeCell ref="AW6:AY6"/>
  </mergeCells>
  <conditionalFormatting sqref="K39">
    <cfRule type="expression" dxfId="155" priority="271">
      <formula>#REF! ="39≠40+41+42+43+44"</formula>
    </cfRule>
  </conditionalFormatting>
  <conditionalFormatting sqref="K45">
    <cfRule type="expression" dxfId="154" priority="272">
      <formula>#REF! ="45≠33+34+35+39"</formula>
    </cfRule>
  </conditionalFormatting>
  <conditionalFormatting sqref="K50">
    <cfRule type="expression" dxfId="153" priority="273">
      <formula>#REF! ="50≠51+53"</formula>
    </cfRule>
  </conditionalFormatting>
  <conditionalFormatting sqref="K54">
    <cfRule type="expression" dxfId="152" priority="274">
      <formula>#REF! ="54≠55+56+57+58+59"</formula>
    </cfRule>
  </conditionalFormatting>
  <conditionalFormatting sqref="K60">
    <cfRule type="expression" dxfId="151" priority="275">
      <formula>#REF! ="60≠48+49+50+54"</formula>
    </cfRule>
  </conditionalFormatting>
  <conditionalFormatting sqref="K62">
    <cfRule type="expression" dxfId="150" priority="276">
      <formula>#REF! ="62≠45+46+60+61"</formula>
    </cfRule>
  </conditionalFormatting>
  <conditionalFormatting sqref="K64">
    <cfRule type="expression" dxfId="149" priority="277">
      <formula>#REF! ="64≠29+62"</formula>
    </cfRule>
  </conditionalFormatting>
  <conditionalFormatting sqref="K79">
    <cfRule type="expression" dxfId="148" priority="278">
      <formula>#REF! ="80≠73+74+75+76+77+78+79"</formula>
    </cfRule>
  </conditionalFormatting>
  <conditionalFormatting sqref="K85">
    <cfRule type="expression" dxfId="147" priority="279">
      <formula>#REF! ="88≠82+83+84+85+86+87"</formula>
    </cfRule>
  </conditionalFormatting>
  <conditionalFormatting sqref="K91">
    <cfRule type="expression" dxfId="146" priority="280">
      <formula>#REF! = "64≠94"</formula>
    </cfRule>
  </conditionalFormatting>
  <conditionalFormatting sqref="K91">
    <cfRule type="expression" dxfId="145" priority="281">
      <formula>#REF! = "94≠68+69+71+80+88+89+90+91+92"</formula>
    </cfRule>
  </conditionalFormatting>
  <conditionalFormatting sqref="K35">
    <cfRule type="expression" dxfId="144" priority="282">
      <formula>#REF! ="35≠36+38"</formula>
    </cfRule>
  </conditionalFormatting>
  <conditionalFormatting sqref="T39">
    <cfRule type="expression" dxfId="143" priority="247">
      <formula>#REF! ="39≠40+41+42+43+44"</formula>
    </cfRule>
  </conditionalFormatting>
  <conditionalFormatting sqref="T45">
    <cfRule type="expression" dxfId="142" priority="248">
      <formula>#REF! ="45≠33+34+35+39"</formula>
    </cfRule>
  </conditionalFormatting>
  <conditionalFormatting sqref="T50">
    <cfRule type="expression" dxfId="141" priority="249">
      <formula>#REF! ="50≠51+53"</formula>
    </cfRule>
  </conditionalFormatting>
  <conditionalFormatting sqref="T54">
    <cfRule type="expression" dxfId="140" priority="250">
      <formula>#REF! ="54≠55+56+57+58+59"</formula>
    </cfRule>
  </conditionalFormatting>
  <conditionalFormatting sqref="T60">
    <cfRule type="expression" dxfId="139" priority="251">
      <formula>#REF! ="60≠48+49+50+54"</formula>
    </cfRule>
  </conditionalFormatting>
  <conditionalFormatting sqref="T62">
    <cfRule type="expression" dxfId="138" priority="252">
      <formula>#REF! ="62≠45+46+60+61"</formula>
    </cfRule>
  </conditionalFormatting>
  <conditionalFormatting sqref="T64">
    <cfRule type="expression" dxfId="137" priority="253">
      <formula>#REF! ="64≠29+62"</formula>
    </cfRule>
  </conditionalFormatting>
  <conditionalFormatting sqref="T79">
    <cfRule type="expression" dxfId="136" priority="254">
      <formula>#REF! ="80≠73+74+75+76+77+78+79"</formula>
    </cfRule>
  </conditionalFormatting>
  <conditionalFormatting sqref="T85">
    <cfRule type="expression" dxfId="135" priority="255">
      <formula>#REF! ="88≠82+83+84+85+86+87"</formula>
    </cfRule>
  </conditionalFormatting>
  <conditionalFormatting sqref="T91">
    <cfRule type="expression" dxfId="134" priority="256">
      <formula>#REF! = "64≠94"</formula>
    </cfRule>
  </conditionalFormatting>
  <conditionalFormatting sqref="T91">
    <cfRule type="expression" dxfId="133" priority="257">
      <formula>#REF! = "94≠68+69+71+80+88+89+90+91+92"</formula>
    </cfRule>
  </conditionalFormatting>
  <conditionalFormatting sqref="T35">
    <cfRule type="expression" dxfId="132" priority="258">
      <formula>#REF! ="35≠36+38"</formula>
    </cfRule>
  </conditionalFormatting>
  <conditionalFormatting sqref="E39">
    <cfRule type="expression" dxfId="131" priority="223">
      <formula>#REF! ="39≠40+41+42+43+44"</formula>
    </cfRule>
  </conditionalFormatting>
  <conditionalFormatting sqref="E45">
    <cfRule type="expression" dxfId="130" priority="224">
      <formula>#REF! ="45≠33+34+35+39"</formula>
    </cfRule>
  </conditionalFormatting>
  <conditionalFormatting sqref="E50">
    <cfRule type="expression" dxfId="129" priority="225">
      <formula>#REF! ="50≠51+53"</formula>
    </cfRule>
  </conditionalFormatting>
  <conditionalFormatting sqref="E54">
    <cfRule type="expression" dxfId="128" priority="226">
      <formula>#REF! ="54≠55+56+57+58+59"</formula>
    </cfRule>
  </conditionalFormatting>
  <conditionalFormatting sqref="E60">
    <cfRule type="expression" dxfId="127" priority="227">
      <formula>#REF! ="60≠48+49+50+54"</formula>
    </cfRule>
  </conditionalFormatting>
  <conditionalFormatting sqref="E62">
    <cfRule type="expression" dxfId="126" priority="228">
      <formula>#REF! ="62≠45+46+60+61"</formula>
    </cfRule>
  </conditionalFormatting>
  <conditionalFormatting sqref="E64">
    <cfRule type="expression" dxfId="125" priority="229">
      <formula>#REF! ="64≠29+62"</formula>
    </cfRule>
  </conditionalFormatting>
  <conditionalFormatting sqref="E79">
    <cfRule type="expression" dxfId="124" priority="230">
      <formula>#REF! ="80≠73+74+75+76+77+78+79"</formula>
    </cfRule>
  </conditionalFormatting>
  <conditionalFormatting sqref="E85">
    <cfRule type="expression" dxfId="123" priority="231">
      <formula>#REF! ="88≠82+83+84+85+86+87"</formula>
    </cfRule>
  </conditionalFormatting>
  <conditionalFormatting sqref="E91">
    <cfRule type="expression" dxfId="122" priority="232">
      <formula>#REF! = "64≠94"</formula>
    </cfRule>
  </conditionalFormatting>
  <conditionalFormatting sqref="E91">
    <cfRule type="expression" dxfId="121" priority="233">
      <formula>#REF! = "94≠68+69+71+80+88+89+90+91+92"</formula>
    </cfRule>
  </conditionalFormatting>
  <conditionalFormatting sqref="E35">
    <cfRule type="expression" dxfId="120" priority="234">
      <formula>#REF! ="35≠36+38"</formula>
    </cfRule>
  </conditionalFormatting>
  <conditionalFormatting sqref="N39">
    <cfRule type="expression" dxfId="119" priority="199">
      <formula>#REF! ="39≠40+41+42+43+44"</formula>
    </cfRule>
  </conditionalFormatting>
  <conditionalFormatting sqref="N45">
    <cfRule type="expression" dxfId="118" priority="200">
      <formula>#REF! ="45≠33+34+35+39"</formula>
    </cfRule>
  </conditionalFormatting>
  <conditionalFormatting sqref="N50">
    <cfRule type="expression" dxfId="117" priority="201">
      <formula>#REF! ="50≠51+53"</formula>
    </cfRule>
  </conditionalFormatting>
  <conditionalFormatting sqref="N54">
    <cfRule type="expression" dxfId="116" priority="202">
      <formula>#REF! ="54≠55+56+57+58+59"</formula>
    </cfRule>
  </conditionalFormatting>
  <conditionalFormatting sqref="N60">
    <cfRule type="expression" dxfId="115" priority="203">
      <formula>#REF! ="60≠48+49+50+54"</formula>
    </cfRule>
  </conditionalFormatting>
  <conditionalFormatting sqref="N62">
    <cfRule type="expression" dxfId="114" priority="204">
      <formula>#REF! ="62≠45+46+60+61"</formula>
    </cfRule>
  </conditionalFormatting>
  <conditionalFormatting sqref="N64">
    <cfRule type="expression" dxfId="113" priority="205">
      <formula>#REF! ="64≠29+62"</formula>
    </cfRule>
  </conditionalFormatting>
  <conditionalFormatting sqref="N79">
    <cfRule type="expression" dxfId="112" priority="206">
      <formula>#REF! ="80≠73+74+75+76+77+78+79"</formula>
    </cfRule>
  </conditionalFormatting>
  <conditionalFormatting sqref="N85">
    <cfRule type="expression" dxfId="111" priority="207">
      <formula>#REF! ="88≠82+83+84+85+86+87"</formula>
    </cfRule>
  </conditionalFormatting>
  <conditionalFormatting sqref="N91">
    <cfRule type="expression" dxfId="110" priority="208">
      <formula>#REF! = "64≠94"</formula>
    </cfRule>
  </conditionalFormatting>
  <conditionalFormatting sqref="N91">
    <cfRule type="expression" dxfId="109" priority="209">
      <formula>#REF! = "94≠68+69+71+80+88+89+90+91+92"</formula>
    </cfRule>
  </conditionalFormatting>
  <conditionalFormatting sqref="N35">
    <cfRule type="expression" dxfId="108" priority="210">
      <formula>#REF! ="35≠36+38"</formula>
    </cfRule>
  </conditionalFormatting>
  <conditionalFormatting sqref="AC39">
    <cfRule type="expression" dxfId="107" priority="175">
      <formula>#REF! ="39≠40+41+42+43+44"</formula>
    </cfRule>
  </conditionalFormatting>
  <conditionalFormatting sqref="AC45">
    <cfRule type="expression" dxfId="106" priority="176">
      <formula>#REF! ="45≠33+34+35+39"</formula>
    </cfRule>
  </conditionalFormatting>
  <conditionalFormatting sqref="AC50">
    <cfRule type="expression" dxfId="105" priority="177">
      <formula>#REF! ="50≠51+53"</formula>
    </cfRule>
  </conditionalFormatting>
  <conditionalFormatting sqref="AC54">
    <cfRule type="expression" dxfId="104" priority="178">
      <formula>#REF! ="54≠55+56+57+58+59"</formula>
    </cfRule>
  </conditionalFormatting>
  <conditionalFormatting sqref="AC60">
    <cfRule type="expression" dxfId="103" priority="179">
      <formula>#REF! ="60≠48+49+50+54"</formula>
    </cfRule>
  </conditionalFormatting>
  <conditionalFormatting sqref="AC62">
    <cfRule type="expression" dxfId="102" priority="180">
      <formula>#REF! ="62≠45+46+60+61"</formula>
    </cfRule>
  </conditionalFormatting>
  <conditionalFormatting sqref="AC64">
    <cfRule type="expression" dxfId="101" priority="181">
      <formula>#REF! ="64≠29+62"</formula>
    </cfRule>
  </conditionalFormatting>
  <conditionalFormatting sqref="AC79">
    <cfRule type="expression" dxfId="100" priority="182">
      <formula>#REF! ="80≠73+74+75+76+77+78+79"</formula>
    </cfRule>
  </conditionalFormatting>
  <conditionalFormatting sqref="AC85">
    <cfRule type="expression" dxfId="99" priority="183">
      <formula>#REF! ="88≠82+83+84+85+86+87"</formula>
    </cfRule>
  </conditionalFormatting>
  <conditionalFormatting sqref="AC91">
    <cfRule type="expression" dxfId="98" priority="184">
      <formula>#REF! = "64≠94"</formula>
    </cfRule>
  </conditionalFormatting>
  <conditionalFormatting sqref="AC91">
    <cfRule type="expression" dxfId="97" priority="185">
      <formula>#REF! = "94≠68+69+71+80+88+89+90+91+92"</formula>
    </cfRule>
  </conditionalFormatting>
  <conditionalFormatting sqref="AC35">
    <cfRule type="expression" dxfId="96" priority="186">
      <formula>#REF! ="35≠36+38"</formula>
    </cfRule>
  </conditionalFormatting>
  <conditionalFormatting sqref="AF39">
    <cfRule type="expression" dxfId="95" priority="162">
      <formula>#REF! ="39≠40+41+42+43+44"</formula>
    </cfRule>
  </conditionalFormatting>
  <conditionalFormatting sqref="AF45">
    <cfRule type="expression" dxfId="94" priority="161">
      <formula>#REF! ="45≠33+34+35+39"</formula>
    </cfRule>
  </conditionalFormatting>
  <conditionalFormatting sqref="AF50">
    <cfRule type="expression" dxfId="93" priority="160">
      <formula>#REF! ="50≠51+53"</formula>
    </cfRule>
  </conditionalFormatting>
  <conditionalFormatting sqref="AF54">
    <cfRule type="expression" dxfId="92" priority="159">
      <formula>#REF! ="54≠55+56+57+58+59"</formula>
    </cfRule>
  </conditionalFormatting>
  <conditionalFormatting sqref="AF60">
    <cfRule type="expression" dxfId="91" priority="158">
      <formula>#REF! ="60≠48+49+50+54"</formula>
    </cfRule>
  </conditionalFormatting>
  <conditionalFormatting sqref="AF62">
    <cfRule type="expression" dxfId="90" priority="157">
      <formula>#REF! ="62≠45+46+60+61"</formula>
    </cfRule>
  </conditionalFormatting>
  <conditionalFormatting sqref="AF64">
    <cfRule type="expression" dxfId="89" priority="1339">
      <formula>#REF! ="64≠29+62"</formula>
    </cfRule>
  </conditionalFormatting>
  <conditionalFormatting sqref="AF79">
    <cfRule type="expression" dxfId="88" priority="1340">
      <formula>#REF! ="80≠73+74+75+76+77+78+79"</formula>
    </cfRule>
  </conditionalFormatting>
  <conditionalFormatting sqref="AF85">
    <cfRule type="expression" dxfId="87" priority="1341">
      <formula>#REF! ="88≠82+83+84+85+86+87"</formula>
    </cfRule>
  </conditionalFormatting>
  <conditionalFormatting sqref="AF91">
    <cfRule type="expression" dxfId="86" priority="1342">
      <formula>#REF! = "64≠94"</formula>
    </cfRule>
  </conditionalFormatting>
  <conditionalFormatting sqref="AF91">
    <cfRule type="expression" dxfId="85" priority="1343">
      <formula>#REF! = "94≠68+69+71+80+88+89+90+91+92"</formula>
    </cfRule>
  </conditionalFormatting>
  <conditionalFormatting sqref="AF35">
    <cfRule type="expression" dxfId="84" priority="1344">
      <formula>#REF! ="35≠36+38"</formula>
    </cfRule>
  </conditionalFormatting>
  <conditionalFormatting sqref="W39">
    <cfRule type="expression" dxfId="83" priority="127">
      <formula>#REF! ="39≠40+41+42+43+44"</formula>
    </cfRule>
  </conditionalFormatting>
  <conditionalFormatting sqref="W45">
    <cfRule type="expression" dxfId="82" priority="128">
      <formula>#REF! ="45≠33+34+35+39"</formula>
    </cfRule>
  </conditionalFormatting>
  <conditionalFormatting sqref="W50">
    <cfRule type="expression" dxfId="81" priority="129">
      <formula>#REF! ="50≠51+53"</formula>
    </cfRule>
  </conditionalFormatting>
  <conditionalFormatting sqref="W54">
    <cfRule type="expression" dxfId="80" priority="130">
      <formula>#REF! ="54≠55+56+57+58+59"</formula>
    </cfRule>
  </conditionalFormatting>
  <conditionalFormatting sqref="W60">
    <cfRule type="expression" dxfId="79" priority="131">
      <formula>#REF! ="60≠48+49+50+54"</formula>
    </cfRule>
  </conditionalFormatting>
  <conditionalFormatting sqref="W62">
    <cfRule type="expression" dxfId="78" priority="132">
      <formula>#REF! ="62≠45+46+60+61"</formula>
    </cfRule>
  </conditionalFormatting>
  <conditionalFormatting sqref="W64">
    <cfRule type="expression" dxfId="77" priority="133">
      <formula>#REF! ="64≠29+62"</formula>
    </cfRule>
  </conditionalFormatting>
  <conditionalFormatting sqref="W79">
    <cfRule type="expression" dxfId="76" priority="134">
      <formula>#REF! ="80≠73+74+75+76+77+78+79"</formula>
    </cfRule>
  </conditionalFormatting>
  <conditionalFormatting sqref="W85">
    <cfRule type="expression" dxfId="75" priority="135">
      <formula>#REF! ="88≠82+83+84+85+86+87"</formula>
    </cfRule>
  </conditionalFormatting>
  <conditionalFormatting sqref="W91">
    <cfRule type="expression" dxfId="74" priority="136">
      <formula>#REF! = "64≠94"</formula>
    </cfRule>
  </conditionalFormatting>
  <conditionalFormatting sqref="W91">
    <cfRule type="expression" dxfId="73" priority="137">
      <formula>#REF! = "94≠68+69+71+80+88+89+90+91+92"</formula>
    </cfRule>
  </conditionalFormatting>
  <conditionalFormatting sqref="W35">
    <cfRule type="expression" dxfId="72" priority="138">
      <formula>#REF! ="35≠36+38"</formula>
    </cfRule>
  </conditionalFormatting>
  <conditionalFormatting sqref="AI39">
    <cfRule type="expression" dxfId="71" priority="103">
      <formula>#REF! ="39≠40+41+42+43+44"</formula>
    </cfRule>
  </conditionalFormatting>
  <conditionalFormatting sqref="AI45">
    <cfRule type="expression" dxfId="70" priority="104">
      <formula>#REF! ="45≠33+34+35+39"</formula>
    </cfRule>
  </conditionalFormatting>
  <conditionalFormatting sqref="AI50">
    <cfRule type="expression" dxfId="69" priority="105">
      <formula>#REF! ="50≠51+53"</formula>
    </cfRule>
  </conditionalFormatting>
  <conditionalFormatting sqref="AI54">
    <cfRule type="expression" dxfId="68" priority="106">
      <formula>#REF! ="54≠55+56+57+58+59"</formula>
    </cfRule>
  </conditionalFormatting>
  <conditionalFormatting sqref="AI60">
    <cfRule type="expression" dxfId="67" priority="107">
      <formula>#REF! ="60≠48+49+50+54"</formula>
    </cfRule>
  </conditionalFormatting>
  <conditionalFormatting sqref="AI62">
    <cfRule type="expression" dxfId="66" priority="108">
      <formula>#REF! ="62≠45+46+60+61"</formula>
    </cfRule>
  </conditionalFormatting>
  <conditionalFormatting sqref="AI64">
    <cfRule type="expression" dxfId="65" priority="109">
      <formula>#REF! ="64≠29+62"</formula>
    </cfRule>
  </conditionalFormatting>
  <conditionalFormatting sqref="AI79">
    <cfRule type="expression" dxfId="64" priority="110">
      <formula>#REF! ="80≠73+74+75+76+77+78+79"</formula>
    </cfRule>
  </conditionalFormatting>
  <conditionalFormatting sqref="AI85">
    <cfRule type="expression" dxfId="63" priority="111">
      <formula>#REF! ="88≠82+83+84+85+86+87"</formula>
    </cfRule>
  </conditionalFormatting>
  <conditionalFormatting sqref="AI91">
    <cfRule type="expression" dxfId="62" priority="112">
      <formula>#REF! = "64≠94"</formula>
    </cfRule>
  </conditionalFormatting>
  <conditionalFormatting sqref="AI91">
    <cfRule type="expression" dxfId="61" priority="113">
      <formula>#REF! = "94≠68+69+71+80+88+89+90+91+92"</formula>
    </cfRule>
  </conditionalFormatting>
  <conditionalFormatting sqref="AI35">
    <cfRule type="expression" dxfId="60" priority="114">
      <formula>#REF! ="35≠36+38"</formula>
    </cfRule>
  </conditionalFormatting>
  <conditionalFormatting sqref="H39">
    <cfRule type="expression" dxfId="59" priority="79">
      <formula>#REF! ="39≠40+41+42+43+44"</formula>
    </cfRule>
  </conditionalFormatting>
  <conditionalFormatting sqref="H45">
    <cfRule type="expression" dxfId="58" priority="80">
      <formula>#REF! ="45≠33+34+35+39"</formula>
    </cfRule>
  </conditionalFormatting>
  <conditionalFormatting sqref="H50">
    <cfRule type="expression" dxfId="57" priority="81">
      <formula>#REF! ="50≠51+53"</formula>
    </cfRule>
  </conditionalFormatting>
  <conditionalFormatting sqref="H54">
    <cfRule type="expression" dxfId="56" priority="82">
      <formula>#REF! ="54≠55+56+57+58+59"</formula>
    </cfRule>
  </conditionalFormatting>
  <conditionalFormatting sqref="H60">
    <cfRule type="expression" dxfId="55" priority="83">
      <formula>#REF! ="60≠48+49+50+54"</formula>
    </cfRule>
  </conditionalFormatting>
  <conditionalFormatting sqref="H62">
    <cfRule type="expression" dxfId="54" priority="84">
      <formula>#REF! ="62≠45+46+60+61"</formula>
    </cfRule>
  </conditionalFormatting>
  <conditionalFormatting sqref="H64">
    <cfRule type="expression" dxfId="53" priority="85">
      <formula>#REF! ="64≠29+62"</formula>
    </cfRule>
  </conditionalFormatting>
  <conditionalFormatting sqref="H79">
    <cfRule type="expression" dxfId="52" priority="86">
      <formula>#REF! ="80≠73+74+75+76+77+78+79"</formula>
    </cfRule>
  </conditionalFormatting>
  <conditionalFormatting sqref="H85">
    <cfRule type="expression" dxfId="51" priority="87">
      <formula>#REF! ="88≠82+83+84+85+86+87"</formula>
    </cfRule>
  </conditionalFormatting>
  <conditionalFormatting sqref="H91">
    <cfRule type="expression" dxfId="50" priority="88">
      <formula>#REF! = "64≠94"</formula>
    </cfRule>
  </conditionalFormatting>
  <conditionalFormatting sqref="H91">
    <cfRule type="expression" dxfId="49" priority="89">
      <formula>#REF! = "94≠68+69+71+80+88+89+90+91+92"</formula>
    </cfRule>
  </conditionalFormatting>
  <conditionalFormatting sqref="H35">
    <cfRule type="expression" dxfId="48" priority="90">
      <formula>#REF! ="35≠36+38"</formula>
    </cfRule>
  </conditionalFormatting>
  <conditionalFormatting sqref="Z39">
    <cfRule type="expression" dxfId="47" priority="55">
      <formula>#REF! ="39≠40+41+42+43+44"</formula>
    </cfRule>
  </conditionalFormatting>
  <conditionalFormatting sqref="Z45">
    <cfRule type="expression" dxfId="46" priority="56">
      <formula>#REF! ="45≠33+34+35+39"</formula>
    </cfRule>
  </conditionalFormatting>
  <conditionalFormatting sqref="Z50">
    <cfRule type="expression" dxfId="45" priority="57">
      <formula>#REF! ="50≠51+53"</formula>
    </cfRule>
  </conditionalFormatting>
  <conditionalFormatting sqref="Z54">
    <cfRule type="expression" dxfId="44" priority="58">
      <formula>#REF! ="54≠55+56+57+58+59"</formula>
    </cfRule>
  </conditionalFormatting>
  <conditionalFormatting sqref="Z60">
    <cfRule type="expression" dxfId="43" priority="59">
      <formula>#REF! ="60≠48+49+50+54"</formula>
    </cfRule>
  </conditionalFormatting>
  <conditionalFormatting sqref="Z62">
    <cfRule type="expression" dxfId="42" priority="60">
      <formula>#REF! ="62≠45+46+60+61"</formula>
    </cfRule>
  </conditionalFormatting>
  <conditionalFormatting sqref="Z64">
    <cfRule type="expression" dxfId="41" priority="61">
      <formula>#REF! ="64≠29+62"</formula>
    </cfRule>
  </conditionalFormatting>
  <conditionalFormatting sqref="Z79">
    <cfRule type="expression" dxfId="40" priority="62">
      <formula>#REF! ="80≠73+74+75+76+77+78+79"</formula>
    </cfRule>
  </conditionalFormatting>
  <conditionalFormatting sqref="Z85">
    <cfRule type="expression" dxfId="39" priority="63">
      <formula>#REF! ="88≠82+83+84+85+86+87"</formula>
    </cfRule>
  </conditionalFormatting>
  <conditionalFormatting sqref="Z91">
    <cfRule type="expression" dxfId="38" priority="64">
      <formula>#REF! = "64≠94"</formula>
    </cfRule>
  </conditionalFormatting>
  <conditionalFormatting sqref="Z91">
    <cfRule type="expression" dxfId="37" priority="65">
      <formula>#REF! = "94≠68+69+71+80+88+89+90+91+92"</formula>
    </cfRule>
  </conditionalFormatting>
  <conditionalFormatting sqref="Z35">
    <cfRule type="expression" dxfId="36" priority="66">
      <formula>#REF! ="35≠36+38"</formula>
    </cfRule>
  </conditionalFormatting>
  <conditionalFormatting sqref="Q39">
    <cfRule type="expression" dxfId="35" priority="31">
      <formula>#REF! ="39≠40+41+42+43+44"</formula>
    </cfRule>
  </conditionalFormatting>
  <conditionalFormatting sqref="Q45">
    <cfRule type="expression" dxfId="34" priority="32">
      <formula>#REF! ="45≠33+34+35+39"</formula>
    </cfRule>
  </conditionalFormatting>
  <conditionalFormatting sqref="Q50">
    <cfRule type="expression" dxfId="33" priority="33">
      <formula>#REF! ="50≠51+53"</formula>
    </cfRule>
  </conditionalFormatting>
  <conditionalFormatting sqref="Q54">
    <cfRule type="expression" dxfId="32" priority="34">
      <formula>#REF! ="54≠55+56+57+58+59"</formula>
    </cfRule>
  </conditionalFormatting>
  <conditionalFormatting sqref="Q60">
    <cfRule type="expression" dxfId="31" priority="35">
      <formula>#REF! ="60≠48+49+50+54"</formula>
    </cfRule>
  </conditionalFormatting>
  <conditionalFormatting sqref="Q62">
    <cfRule type="expression" dxfId="30" priority="36">
      <formula>#REF! ="62≠45+46+60+61"</formula>
    </cfRule>
  </conditionalFormatting>
  <conditionalFormatting sqref="Q64">
    <cfRule type="expression" dxfId="29" priority="37">
      <formula>#REF! ="64≠29+62"</formula>
    </cfRule>
  </conditionalFormatting>
  <conditionalFormatting sqref="Q79">
    <cfRule type="expression" dxfId="28" priority="38">
      <formula>#REF! ="80≠73+74+75+76+77+78+79"</formula>
    </cfRule>
  </conditionalFormatting>
  <conditionalFormatting sqref="Q85">
    <cfRule type="expression" dxfId="27" priority="39">
      <formula>#REF! ="88≠82+83+84+85+86+87"</formula>
    </cfRule>
  </conditionalFormatting>
  <conditionalFormatting sqref="Q91">
    <cfRule type="expression" dxfId="26" priority="40">
      <formula>#REF! = "64≠94"</formula>
    </cfRule>
  </conditionalFormatting>
  <conditionalFormatting sqref="Q91">
    <cfRule type="expression" dxfId="25" priority="41">
      <formula>#REF! = "94≠68+69+71+80+88+89+90+91+92"</formula>
    </cfRule>
  </conditionalFormatting>
  <conditionalFormatting sqref="Q35">
    <cfRule type="expression" dxfId="24" priority="42">
      <formula>#REF! ="35≠36+38"</formula>
    </cfRule>
  </conditionalFormatting>
  <conditionalFormatting sqref="B39">
    <cfRule type="expression" dxfId="23" priority="7">
      <formula>#REF! ="39≠40+41+42+43+44"</formula>
    </cfRule>
  </conditionalFormatting>
  <conditionalFormatting sqref="B45">
    <cfRule type="expression" dxfId="22" priority="8">
      <formula>#REF! ="45≠33+34+35+39"</formula>
    </cfRule>
  </conditionalFormatting>
  <conditionalFormatting sqref="B50">
    <cfRule type="expression" dxfId="21" priority="9">
      <formula>#REF! ="50≠51+53"</formula>
    </cfRule>
  </conditionalFormatting>
  <conditionalFormatting sqref="B54">
    <cfRule type="expression" dxfId="20" priority="10">
      <formula>#REF! ="54≠55+56+57+58+59"</formula>
    </cfRule>
  </conditionalFormatting>
  <conditionalFormatting sqref="B60">
    <cfRule type="expression" dxfId="19" priority="11">
      <formula>#REF! ="60≠48+49+50+54"</formula>
    </cfRule>
  </conditionalFormatting>
  <conditionalFormatting sqref="B62">
    <cfRule type="expression" dxfId="18" priority="12">
      <formula>#REF! ="62≠45+46+60+61"</formula>
    </cfRule>
  </conditionalFormatting>
  <conditionalFormatting sqref="B64">
    <cfRule type="expression" dxfId="17" priority="13">
      <formula>#REF! ="64≠29+62"</formula>
    </cfRule>
  </conditionalFormatting>
  <conditionalFormatting sqref="B79">
    <cfRule type="expression" dxfId="16" priority="14">
      <formula>#REF! ="80≠73+74+75+76+77+78+79"</formula>
    </cfRule>
  </conditionalFormatting>
  <conditionalFormatting sqref="B85">
    <cfRule type="expression" dxfId="15" priority="15">
      <formula>#REF! ="88≠82+83+84+85+86+87"</formula>
    </cfRule>
  </conditionalFormatting>
  <conditionalFormatting sqref="B91">
    <cfRule type="expression" dxfId="14" priority="16">
      <formula>#REF! = "64≠94"</formula>
    </cfRule>
  </conditionalFormatting>
  <conditionalFormatting sqref="B91">
    <cfRule type="expression" dxfId="13" priority="17">
      <formula>#REF! = "94≠68+69+71+80+88+89+90+91+92"</formula>
    </cfRule>
  </conditionalFormatting>
  <conditionalFormatting sqref="B35">
    <cfRule type="expression" dxfId="12" priority="18">
      <formula>#REF! ="35≠36+38"</formula>
    </cfRule>
  </conditionalFormatting>
  <conditionalFormatting sqref="L64 U64 F64 O64 AD64 AG64 X64 AJ64 I64 AA64 R64 C64 AL64:AM64 AO64:AP64">
    <cfRule type="expression" dxfId="11" priority="1346">
      <formula>#REF! ="64≠29+62"</formula>
    </cfRule>
  </conditionalFormatting>
  <conditionalFormatting sqref="L91 U91 F91 O91 AD91 AG91 X91 AJ91 I91 AA91 R91 C91 AL91:AM91 AO91:AP91">
    <cfRule type="expression" dxfId="10" priority="1348">
      <formula>#REF! = "64≠94"</formula>
    </cfRule>
  </conditionalFormatting>
  <conditionalFormatting sqref="L91 U91 F91 O91 AD91 AG91 X91 AJ91 I91 AA91 R91 C91 AL91:AM91 AO91:AP91">
    <cfRule type="expression" dxfId="9" priority="1350">
      <formula>#REF! = "94≠68+69+71+80+88+89+90+91+92"</formula>
    </cfRule>
  </conditionalFormatting>
  <conditionalFormatting sqref="L35 U35 F35 O35 AD35 AG35 X35 AJ35 I35 AA35 R35 C35">
    <cfRule type="expression" dxfId="8" priority="1352">
      <formula>#REF! ="35≠36+38"</formula>
    </cfRule>
  </conditionalFormatting>
  <conditionalFormatting sqref="L39 U39 F39 O39 AD39 AG39 X39 AJ39 I39 AA39 R39 C39">
    <cfRule type="expression" dxfId="7" priority="1353">
      <formula>#REF! ="39≠40+41+42+43+44"</formula>
    </cfRule>
  </conditionalFormatting>
  <conditionalFormatting sqref="L45 U45 F45 O45 AD45 AG45 X45 AJ45 I45 AA45 R45 C45">
    <cfRule type="expression" dxfId="6" priority="1354">
      <formula>#REF! ="45≠33+34+35+39"</formula>
    </cfRule>
  </conditionalFormatting>
  <conditionalFormatting sqref="L50 U50 F50 O50 AD50 AG50 X50 AJ50 I50 AA50 R50 C50">
    <cfRule type="expression" dxfId="5" priority="1355">
      <formula>#REF! ="50≠51+53"</formula>
    </cfRule>
  </conditionalFormatting>
  <conditionalFormatting sqref="L54 U54 F54 O54 AD54 AG54 X54 AJ54 I54 AA54 R54 C54">
    <cfRule type="expression" dxfId="4" priority="1356">
      <formula>#REF! ="54≠55+56+57+58+59"</formula>
    </cfRule>
  </conditionalFormatting>
  <conditionalFormatting sqref="L60 U60 F60 O60 AD60 AG60 X60 AJ60 I60 AA60 R60 C60">
    <cfRule type="expression" dxfId="3" priority="1357">
      <formula>#REF! ="60≠48+49+50+54"</formula>
    </cfRule>
  </conditionalFormatting>
  <conditionalFormatting sqref="L62 U62 F62 O62 AD62 AG62 X62 AJ62 I62 AA62 R62 C62">
    <cfRule type="expression" dxfId="2" priority="1358">
      <formula>#REF! ="62≠45+46+60+61"</formula>
    </cfRule>
  </conditionalFormatting>
  <conditionalFormatting sqref="L79 U79 F79 O79 AD79 AG79 X79 AJ79 I79 AA79 R79 C79">
    <cfRule type="expression" dxfId="1" priority="1360">
      <formula>#REF! ="80≠73+74+75+76+77+78+79"</formula>
    </cfRule>
  </conditionalFormatting>
  <conditionalFormatting sqref="L85 U85 F85 O85 AD85 AG85 X85 AJ85 I85 AA85 R85 C85">
    <cfRule type="expression" dxfId="0" priority="1361">
      <formula>#REF! ="88≠82+83+84+85+86+87"</formula>
    </cfRule>
  </conditionalFormatting>
  <hyperlinks>
    <hyperlink ref="B1" location="Innhold!A1" display="Tilbake" xr:uid="{00000000-0004-0000-22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B68E4-B7EE-4C97-B6A8-E1943C584D6E}">
  <dimension ref="A1:AY46"/>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617" customWidth="1"/>
    <col min="2" max="34" width="11.7109375" style="617" customWidth="1"/>
    <col min="35" max="253" width="11.42578125" style="617"/>
    <col min="254" max="254" width="62" style="617" customWidth="1"/>
    <col min="255" max="290" width="11.7109375" style="617" customWidth="1"/>
    <col min="291" max="509" width="11.42578125" style="617"/>
    <col min="510" max="510" width="62" style="617" customWidth="1"/>
    <col min="511" max="546" width="11.7109375" style="617" customWidth="1"/>
    <col min="547" max="765" width="11.42578125" style="617"/>
    <col min="766" max="766" width="62" style="617" customWidth="1"/>
    <col min="767" max="802" width="11.7109375" style="617" customWidth="1"/>
    <col min="803" max="1021" width="11.42578125" style="617"/>
    <col min="1022" max="1022" width="62" style="617" customWidth="1"/>
    <col min="1023" max="1058" width="11.7109375" style="617" customWidth="1"/>
    <col min="1059" max="1277" width="11.42578125" style="617"/>
    <col min="1278" max="1278" width="62" style="617" customWidth="1"/>
    <col min="1279" max="1314" width="11.7109375" style="617" customWidth="1"/>
    <col min="1315" max="1533" width="11.42578125" style="617"/>
    <col min="1534" max="1534" width="62" style="617" customWidth="1"/>
    <col min="1535" max="1570" width="11.7109375" style="617" customWidth="1"/>
    <col min="1571" max="1789" width="11.42578125" style="617"/>
    <col min="1790" max="1790" width="62" style="617" customWidth="1"/>
    <col min="1791" max="1826" width="11.7109375" style="617" customWidth="1"/>
    <col min="1827" max="2045" width="11.42578125" style="617"/>
    <col min="2046" max="2046" width="62" style="617" customWidth="1"/>
    <col min="2047" max="2082" width="11.7109375" style="617" customWidth="1"/>
    <col min="2083" max="2301" width="11.42578125" style="617"/>
    <col min="2302" max="2302" width="62" style="617" customWidth="1"/>
    <col min="2303" max="2338" width="11.7109375" style="617" customWidth="1"/>
    <col min="2339" max="2557" width="11.42578125" style="617"/>
    <col min="2558" max="2558" width="62" style="617" customWidth="1"/>
    <col min="2559" max="2594" width="11.7109375" style="617" customWidth="1"/>
    <col min="2595" max="2813" width="11.42578125" style="617"/>
    <col min="2814" max="2814" width="62" style="617" customWidth="1"/>
    <col min="2815" max="2850" width="11.7109375" style="617" customWidth="1"/>
    <col min="2851" max="3069" width="11.42578125" style="617"/>
    <col min="3070" max="3070" width="62" style="617" customWidth="1"/>
    <col min="3071" max="3106" width="11.7109375" style="617" customWidth="1"/>
    <col min="3107" max="3325" width="11.42578125" style="617"/>
    <col min="3326" max="3326" width="62" style="617" customWidth="1"/>
    <col min="3327" max="3362" width="11.7109375" style="617" customWidth="1"/>
    <col min="3363" max="3581" width="11.42578125" style="617"/>
    <col min="3582" max="3582" width="62" style="617" customWidth="1"/>
    <col min="3583" max="3618" width="11.7109375" style="617" customWidth="1"/>
    <col min="3619" max="3837" width="11.42578125" style="617"/>
    <col min="3838" max="3838" width="62" style="617" customWidth="1"/>
    <col min="3839" max="3874" width="11.7109375" style="617" customWidth="1"/>
    <col min="3875" max="4093" width="11.42578125" style="617"/>
    <col min="4094" max="4094" width="62" style="617" customWidth="1"/>
    <col min="4095" max="4130" width="11.7109375" style="617" customWidth="1"/>
    <col min="4131" max="4349" width="11.42578125" style="617"/>
    <col min="4350" max="4350" width="62" style="617" customWidth="1"/>
    <col min="4351" max="4386" width="11.7109375" style="617" customWidth="1"/>
    <col min="4387" max="4605" width="11.42578125" style="617"/>
    <col min="4606" max="4606" width="62" style="617" customWidth="1"/>
    <col min="4607" max="4642" width="11.7109375" style="617" customWidth="1"/>
    <col min="4643" max="4861" width="11.42578125" style="617"/>
    <col min="4862" max="4862" width="62" style="617" customWidth="1"/>
    <col min="4863" max="4898" width="11.7109375" style="617" customWidth="1"/>
    <col min="4899" max="5117" width="11.42578125" style="617"/>
    <col min="5118" max="5118" width="62" style="617" customWidth="1"/>
    <col min="5119" max="5154" width="11.7109375" style="617" customWidth="1"/>
    <col min="5155" max="5373" width="11.42578125" style="617"/>
    <col min="5374" max="5374" width="62" style="617" customWidth="1"/>
    <col min="5375" max="5410" width="11.7109375" style="617" customWidth="1"/>
    <col min="5411" max="5629" width="11.42578125" style="617"/>
    <col min="5630" max="5630" width="62" style="617" customWidth="1"/>
    <col min="5631" max="5666" width="11.7109375" style="617" customWidth="1"/>
    <col min="5667" max="5885" width="11.42578125" style="617"/>
    <col min="5886" max="5886" width="62" style="617" customWidth="1"/>
    <col min="5887" max="5922" width="11.7109375" style="617" customWidth="1"/>
    <col min="5923" max="6141" width="11.42578125" style="617"/>
    <col min="6142" max="6142" width="62" style="617" customWidth="1"/>
    <col min="6143" max="6178" width="11.7109375" style="617" customWidth="1"/>
    <col min="6179" max="6397" width="11.42578125" style="617"/>
    <col min="6398" max="6398" width="62" style="617" customWidth="1"/>
    <col min="6399" max="6434" width="11.7109375" style="617" customWidth="1"/>
    <col min="6435" max="6653" width="11.42578125" style="617"/>
    <col min="6654" max="6654" width="62" style="617" customWidth="1"/>
    <col min="6655" max="6690" width="11.7109375" style="617" customWidth="1"/>
    <col min="6691" max="6909" width="11.42578125" style="617"/>
    <col min="6910" max="6910" width="62" style="617" customWidth="1"/>
    <col min="6911" max="6946" width="11.7109375" style="617" customWidth="1"/>
    <col min="6947" max="7165" width="11.42578125" style="617"/>
    <col min="7166" max="7166" width="62" style="617" customWidth="1"/>
    <col min="7167" max="7202" width="11.7109375" style="617" customWidth="1"/>
    <col min="7203" max="7421" width="11.42578125" style="617"/>
    <col min="7422" max="7422" width="62" style="617" customWidth="1"/>
    <col min="7423" max="7458" width="11.7109375" style="617" customWidth="1"/>
    <col min="7459" max="7677" width="11.42578125" style="617"/>
    <col min="7678" max="7678" width="62" style="617" customWidth="1"/>
    <col min="7679" max="7714" width="11.7109375" style="617" customWidth="1"/>
    <col min="7715" max="7933" width="11.42578125" style="617"/>
    <col min="7934" max="7934" width="62" style="617" customWidth="1"/>
    <col min="7935" max="7970" width="11.7109375" style="617" customWidth="1"/>
    <col min="7971" max="8189" width="11.42578125" style="617"/>
    <col min="8190" max="8190" width="62" style="617" customWidth="1"/>
    <col min="8191" max="8226" width="11.7109375" style="617" customWidth="1"/>
    <col min="8227" max="8445" width="11.42578125" style="617"/>
    <col min="8446" max="8446" width="62" style="617" customWidth="1"/>
    <col min="8447" max="8482" width="11.7109375" style="617" customWidth="1"/>
    <col min="8483" max="8701" width="11.42578125" style="617"/>
    <col min="8702" max="8702" width="62" style="617" customWidth="1"/>
    <col min="8703" max="8738" width="11.7109375" style="617" customWidth="1"/>
    <col min="8739" max="8957" width="11.42578125" style="617"/>
    <col min="8958" max="8958" width="62" style="617" customWidth="1"/>
    <col min="8959" max="8994" width="11.7109375" style="617" customWidth="1"/>
    <col min="8995" max="9213" width="11.42578125" style="617"/>
    <col min="9214" max="9214" width="62" style="617" customWidth="1"/>
    <col min="9215" max="9250" width="11.7109375" style="617" customWidth="1"/>
    <col min="9251" max="9469" width="11.42578125" style="617"/>
    <col min="9470" max="9470" width="62" style="617" customWidth="1"/>
    <col min="9471" max="9506" width="11.7109375" style="617" customWidth="1"/>
    <col min="9507" max="9725" width="11.42578125" style="617"/>
    <col min="9726" max="9726" width="62" style="617" customWidth="1"/>
    <col min="9727" max="9762" width="11.7109375" style="617" customWidth="1"/>
    <col min="9763" max="9981" width="11.42578125" style="617"/>
    <col min="9982" max="9982" width="62" style="617" customWidth="1"/>
    <col min="9983" max="10018" width="11.7109375" style="617" customWidth="1"/>
    <col min="10019" max="10237" width="11.42578125" style="617"/>
    <col min="10238" max="10238" width="62" style="617" customWidth="1"/>
    <col min="10239" max="10274" width="11.7109375" style="617" customWidth="1"/>
    <col min="10275" max="10493" width="11.42578125" style="617"/>
    <col min="10494" max="10494" width="62" style="617" customWidth="1"/>
    <col min="10495" max="10530" width="11.7109375" style="617" customWidth="1"/>
    <col min="10531" max="10749" width="11.42578125" style="617"/>
    <col min="10750" max="10750" width="62" style="617" customWidth="1"/>
    <col min="10751" max="10786" width="11.7109375" style="617" customWidth="1"/>
    <col min="10787" max="11005" width="11.42578125" style="617"/>
    <col min="11006" max="11006" width="62" style="617" customWidth="1"/>
    <col min="11007" max="11042" width="11.7109375" style="617" customWidth="1"/>
    <col min="11043" max="11261" width="11.42578125" style="617"/>
    <col min="11262" max="11262" width="62" style="617" customWidth="1"/>
    <col min="11263" max="11298" width="11.7109375" style="617" customWidth="1"/>
    <col min="11299" max="11517" width="11.42578125" style="617"/>
    <col min="11518" max="11518" width="62" style="617" customWidth="1"/>
    <col min="11519" max="11554" width="11.7109375" style="617" customWidth="1"/>
    <col min="11555" max="11773" width="11.42578125" style="617"/>
    <col min="11774" max="11774" width="62" style="617" customWidth="1"/>
    <col min="11775" max="11810" width="11.7109375" style="617" customWidth="1"/>
    <col min="11811" max="12029" width="11.42578125" style="617"/>
    <col min="12030" max="12030" width="62" style="617" customWidth="1"/>
    <col min="12031" max="12066" width="11.7109375" style="617" customWidth="1"/>
    <col min="12067" max="12285" width="11.42578125" style="617"/>
    <col min="12286" max="12286" width="62" style="617" customWidth="1"/>
    <col min="12287" max="12322" width="11.7109375" style="617" customWidth="1"/>
    <col min="12323" max="12541" width="11.42578125" style="617"/>
    <col min="12542" max="12542" width="62" style="617" customWidth="1"/>
    <col min="12543" max="12578" width="11.7109375" style="617" customWidth="1"/>
    <col min="12579" max="12797" width="11.42578125" style="617"/>
    <col min="12798" max="12798" width="62" style="617" customWidth="1"/>
    <col min="12799" max="12834" width="11.7109375" style="617" customWidth="1"/>
    <col min="12835" max="13053" width="11.42578125" style="617"/>
    <col min="13054" max="13054" width="62" style="617" customWidth="1"/>
    <col min="13055" max="13090" width="11.7109375" style="617" customWidth="1"/>
    <col min="13091" max="13309" width="11.42578125" style="617"/>
    <col min="13310" max="13310" width="62" style="617" customWidth="1"/>
    <col min="13311" max="13346" width="11.7109375" style="617" customWidth="1"/>
    <col min="13347" max="13565" width="11.42578125" style="617"/>
    <col min="13566" max="13566" width="62" style="617" customWidth="1"/>
    <col min="13567" max="13602" width="11.7109375" style="617" customWidth="1"/>
    <col min="13603" max="13821" width="11.42578125" style="617"/>
    <col min="13822" max="13822" width="62" style="617" customWidth="1"/>
    <col min="13823" max="13858" width="11.7109375" style="617" customWidth="1"/>
    <col min="13859" max="14077" width="11.42578125" style="617"/>
    <col min="14078" max="14078" width="62" style="617" customWidth="1"/>
    <col min="14079" max="14114" width="11.7109375" style="617" customWidth="1"/>
    <col min="14115" max="14333" width="11.42578125" style="617"/>
    <col min="14334" max="14334" width="62" style="617" customWidth="1"/>
    <col min="14335" max="14370" width="11.7109375" style="617" customWidth="1"/>
    <col min="14371" max="14589" width="11.42578125" style="617"/>
    <col min="14590" max="14590" width="62" style="617" customWidth="1"/>
    <col min="14591" max="14626" width="11.7109375" style="617" customWidth="1"/>
    <col min="14627" max="14845" width="11.42578125" style="617"/>
    <col min="14846" max="14846" width="62" style="617" customWidth="1"/>
    <col min="14847" max="14882" width="11.7109375" style="617" customWidth="1"/>
    <col min="14883" max="15101" width="11.42578125" style="617"/>
    <col min="15102" max="15102" width="62" style="617" customWidth="1"/>
    <col min="15103" max="15138" width="11.7109375" style="617" customWidth="1"/>
    <col min="15139" max="15357" width="11.42578125" style="617"/>
    <col min="15358" max="15358" width="62" style="617" customWidth="1"/>
    <col min="15359" max="15394" width="11.7109375" style="617" customWidth="1"/>
    <col min="15395" max="15613" width="11.42578125" style="617"/>
    <col min="15614" max="15614" width="62" style="617" customWidth="1"/>
    <col min="15615" max="15650" width="11.7109375" style="617" customWidth="1"/>
    <col min="15651" max="15869" width="11.42578125" style="617"/>
    <col min="15870" max="15870" width="62" style="617" customWidth="1"/>
    <col min="15871" max="15906" width="11.7109375" style="617" customWidth="1"/>
    <col min="15907" max="16125" width="11.42578125" style="617"/>
    <col min="16126" max="16126" width="62" style="617" customWidth="1"/>
    <col min="16127" max="16162" width="11.7109375" style="617" customWidth="1"/>
    <col min="16163" max="16384" width="11.42578125" style="617"/>
  </cols>
  <sheetData>
    <row r="1" spans="1:51" ht="20.25" x14ac:dyDescent="0.3">
      <c r="A1" s="543" t="s">
        <v>174</v>
      </c>
      <c r="B1" s="431" t="s">
        <v>52</v>
      </c>
      <c r="AI1" s="618"/>
    </row>
    <row r="2" spans="1:51" ht="20.25" x14ac:dyDescent="0.3">
      <c r="A2" s="543" t="s">
        <v>272</v>
      </c>
      <c r="AI2" s="618"/>
    </row>
    <row r="3" spans="1:51" ht="18.75" x14ac:dyDescent="0.3">
      <c r="A3" s="619" t="s">
        <v>340</v>
      </c>
      <c r="AI3" s="620"/>
    </row>
    <row r="4" spans="1:51" ht="18.75" x14ac:dyDescent="0.3">
      <c r="A4" s="621" t="s">
        <v>409</v>
      </c>
      <c r="B4" s="622"/>
      <c r="C4" s="623"/>
      <c r="D4" s="624"/>
      <c r="E4" s="622"/>
      <c r="F4" s="623"/>
      <c r="G4" s="624"/>
      <c r="H4" s="623"/>
      <c r="I4" s="623"/>
      <c r="J4" s="624"/>
      <c r="K4" s="622"/>
      <c r="L4" s="623"/>
      <c r="M4" s="624"/>
      <c r="N4" s="622"/>
      <c r="O4" s="623"/>
      <c r="P4" s="624"/>
      <c r="Q4" s="622"/>
      <c r="R4" s="623"/>
      <c r="S4" s="624"/>
      <c r="T4" s="622"/>
      <c r="U4" s="623"/>
      <c r="V4" s="624"/>
      <c r="W4" s="622"/>
      <c r="X4" s="623"/>
      <c r="Y4" s="624"/>
      <c r="Z4" s="622"/>
      <c r="AA4" s="623"/>
      <c r="AB4" s="624"/>
      <c r="AC4" s="622"/>
      <c r="AD4" s="623"/>
      <c r="AE4" s="624"/>
      <c r="AF4" s="622"/>
      <c r="AG4" s="625"/>
      <c r="AH4" s="624"/>
      <c r="AI4" s="626"/>
      <c r="AJ4" s="627"/>
      <c r="AK4" s="627"/>
      <c r="AL4" s="627"/>
      <c r="AM4" s="627"/>
      <c r="AN4" s="627"/>
      <c r="AO4" s="627"/>
      <c r="AP4" s="627"/>
      <c r="AQ4" s="627"/>
      <c r="AR4" s="627"/>
      <c r="AS4" s="627"/>
      <c r="AT4" s="627"/>
      <c r="AU4" s="627"/>
      <c r="AV4" s="627"/>
      <c r="AW4" s="627"/>
      <c r="AX4" s="627"/>
      <c r="AY4" s="627"/>
    </row>
    <row r="5" spans="1:51" ht="18.75" x14ac:dyDescent="0.3">
      <c r="A5" s="545"/>
      <c r="B5" s="701" t="s">
        <v>177</v>
      </c>
      <c r="C5" s="702"/>
      <c r="D5" s="703"/>
      <c r="E5" s="701" t="s">
        <v>178</v>
      </c>
      <c r="F5" s="702"/>
      <c r="G5" s="703"/>
      <c r="H5" s="702" t="s">
        <v>179</v>
      </c>
      <c r="I5" s="702"/>
      <c r="J5" s="703"/>
      <c r="K5" s="701" t="s">
        <v>180</v>
      </c>
      <c r="L5" s="702"/>
      <c r="M5" s="703"/>
      <c r="N5" s="614" t="s">
        <v>181</v>
      </c>
      <c r="O5" s="615"/>
      <c r="P5" s="616"/>
      <c r="Q5" s="701" t="s">
        <v>63</v>
      </c>
      <c r="R5" s="702"/>
      <c r="S5" s="703"/>
      <c r="T5" s="614"/>
      <c r="U5" s="615"/>
      <c r="V5" s="616"/>
      <c r="W5" s="701" t="s">
        <v>182</v>
      </c>
      <c r="X5" s="702"/>
      <c r="Y5" s="703"/>
      <c r="Z5" s="701"/>
      <c r="AA5" s="702"/>
      <c r="AB5" s="703"/>
      <c r="AC5" s="701" t="s">
        <v>73</v>
      </c>
      <c r="AD5" s="702"/>
      <c r="AE5" s="703"/>
      <c r="AF5" s="701" t="s">
        <v>290</v>
      </c>
      <c r="AG5" s="702"/>
      <c r="AH5" s="703"/>
      <c r="AI5" s="628"/>
      <c r="AJ5" s="629"/>
      <c r="AK5" s="697"/>
      <c r="AL5" s="697"/>
      <c r="AM5" s="697"/>
      <c r="AN5" s="697"/>
      <c r="AO5" s="697"/>
      <c r="AP5" s="697"/>
      <c r="AQ5" s="697"/>
      <c r="AR5" s="697"/>
      <c r="AS5" s="697"/>
      <c r="AT5" s="697"/>
      <c r="AU5" s="697"/>
      <c r="AV5" s="697"/>
      <c r="AW5" s="697"/>
      <c r="AX5" s="697"/>
      <c r="AY5" s="697"/>
    </row>
    <row r="6" spans="1:51" ht="18.75" x14ac:dyDescent="0.3">
      <c r="A6" s="546"/>
      <c r="B6" s="698" t="s">
        <v>183</v>
      </c>
      <c r="C6" s="699"/>
      <c r="D6" s="700"/>
      <c r="E6" s="698" t="s">
        <v>184</v>
      </c>
      <c r="F6" s="699"/>
      <c r="G6" s="700"/>
      <c r="H6" s="699" t="s">
        <v>184</v>
      </c>
      <c r="I6" s="699"/>
      <c r="J6" s="700"/>
      <c r="K6" s="698" t="s">
        <v>185</v>
      </c>
      <c r="L6" s="699"/>
      <c r="M6" s="700"/>
      <c r="N6" s="698" t="s">
        <v>63</v>
      </c>
      <c r="O6" s="699"/>
      <c r="P6" s="700"/>
      <c r="Q6" s="698" t="s">
        <v>186</v>
      </c>
      <c r="R6" s="699"/>
      <c r="S6" s="700"/>
      <c r="T6" s="698" t="s">
        <v>66</v>
      </c>
      <c r="U6" s="699"/>
      <c r="V6" s="700"/>
      <c r="W6" s="698" t="s">
        <v>183</v>
      </c>
      <c r="X6" s="699"/>
      <c r="Y6" s="700"/>
      <c r="Z6" s="698" t="s">
        <v>68</v>
      </c>
      <c r="AA6" s="699"/>
      <c r="AB6" s="700"/>
      <c r="AC6" s="698" t="s">
        <v>184</v>
      </c>
      <c r="AD6" s="699"/>
      <c r="AE6" s="700"/>
      <c r="AF6" s="698" t="s">
        <v>291</v>
      </c>
      <c r="AG6" s="699"/>
      <c r="AH6" s="700"/>
      <c r="AI6" s="628"/>
      <c r="AJ6" s="629"/>
      <c r="AK6" s="697"/>
      <c r="AL6" s="697"/>
      <c r="AM6" s="697"/>
      <c r="AN6" s="697"/>
      <c r="AO6" s="697"/>
      <c r="AP6" s="697"/>
      <c r="AQ6" s="697"/>
      <c r="AR6" s="697"/>
      <c r="AS6" s="697"/>
      <c r="AT6" s="697"/>
      <c r="AU6" s="697"/>
      <c r="AV6" s="697"/>
      <c r="AW6" s="697"/>
      <c r="AX6" s="697"/>
      <c r="AY6" s="697"/>
    </row>
    <row r="7" spans="1:51" ht="18.75" x14ac:dyDescent="0.3">
      <c r="A7" s="546"/>
      <c r="B7" s="547"/>
      <c r="C7" s="547"/>
      <c r="D7" s="548" t="s">
        <v>81</v>
      </c>
      <c r="E7" s="547"/>
      <c r="F7" s="547"/>
      <c r="G7" s="548" t="s">
        <v>81</v>
      </c>
      <c r="H7" s="547"/>
      <c r="I7" s="547"/>
      <c r="J7" s="548" t="s">
        <v>81</v>
      </c>
      <c r="K7" s="547"/>
      <c r="L7" s="547"/>
      <c r="M7" s="548" t="s">
        <v>81</v>
      </c>
      <c r="N7" s="547"/>
      <c r="O7" s="547"/>
      <c r="P7" s="548" t="s">
        <v>81</v>
      </c>
      <c r="Q7" s="547"/>
      <c r="R7" s="547"/>
      <c r="S7" s="548" t="s">
        <v>81</v>
      </c>
      <c r="T7" s="547"/>
      <c r="U7" s="547"/>
      <c r="V7" s="548" t="s">
        <v>81</v>
      </c>
      <c r="W7" s="547"/>
      <c r="X7" s="547"/>
      <c r="Y7" s="548" t="s">
        <v>81</v>
      </c>
      <c r="Z7" s="547"/>
      <c r="AA7" s="547"/>
      <c r="AB7" s="548" t="s">
        <v>81</v>
      </c>
      <c r="AC7" s="547"/>
      <c r="AD7" s="547"/>
      <c r="AE7" s="548" t="s">
        <v>81</v>
      </c>
      <c r="AF7" s="547"/>
      <c r="AG7" s="547"/>
      <c r="AH7" s="548" t="s">
        <v>81</v>
      </c>
      <c r="AI7" s="628"/>
      <c r="AJ7" s="629"/>
      <c r="AK7" s="629"/>
      <c r="AL7" s="629"/>
      <c r="AM7" s="629"/>
      <c r="AN7" s="629"/>
      <c r="AO7" s="629"/>
      <c r="AP7" s="629"/>
      <c r="AQ7" s="629"/>
      <c r="AR7" s="629"/>
      <c r="AS7" s="629"/>
      <c r="AT7" s="629"/>
      <c r="AU7" s="629"/>
      <c r="AV7" s="629"/>
      <c r="AW7" s="629"/>
      <c r="AX7" s="629"/>
      <c r="AY7" s="629"/>
    </row>
    <row r="8" spans="1:51" ht="15.75" x14ac:dyDescent="0.25">
      <c r="A8" s="630" t="s">
        <v>293</v>
      </c>
      <c r="B8" s="549">
        <v>2018</v>
      </c>
      <c r="C8" s="549">
        <v>2019</v>
      </c>
      <c r="D8" s="550" t="s">
        <v>83</v>
      </c>
      <c r="E8" s="549">
        <v>2018</v>
      </c>
      <c r="F8" s="549">
        <v>2019</v>
      </c>
      <c r="G8" s="550" t="s">
        <v>83</v>
      </c>
      <c r="H8" s="549">
        <v>2018</v>
      </c>
      <c r="I8" s="549">
        <v>2019</v>
      </c>
      <c r="J8" s="550" t="s">
        <v>83</v>
      </c>
      <c r="K8" s="549">
        <v>2018</v>
      </c>
      <c r="L8" s="549">
        <v>2019</v>
      </c>
      <c r="M8" s="550" t="s">
        <v>83</v>
      </c>
      <c r="N8" s="549">
        <v>2018</v>
      </c>
      <c r="O8" s="549">
        <v>2019</v>
      </c>
      <c r="P8" s="550" t="s">
        <v>83</v>
      </c>
      <c r="Q8" s="549">
        <v>2018</v>
      </c>
      <c r="R8" s="549">
        <v>2019</v>
      </c>
      <c r="S8" s="550" t="s">
        <v>83</v>
      </c>
      <c r="T8" s="549">
        <v>2018</v>
      </c>
      <c r="U8" s="549">
        <v>2019</v>
      </c>
      <c r="V8" s="550" t="s">
        <v>83</v>
      </c>
      <c r="W8" s="549">
        <v>2018</v>
      </c>
      <c r="X8" s="549">
        <v>2019</v>
      </c>
      <c r="Y8" s="550" t="s">
        <v>83</v>
      </c>
      <c r="Z8" s="549">
        <v>2018</v>
      </c>
      <c r="AA8" s="549">
        <v>2019</v>
      </c>
      <c r="AB8" s="550" t="s">
        <v>83</v>
      </c>
      <c r="AC8" s="549">
        <v>2018</v>
      </c>
      <c r="AD8" s="549">
        <v>2019</v>
      </c>
      <c r="AE8" s="550" t="s">
        <v>83</v>
      </c>
      <c r="AF8" s="549">
        <v>2018</v>
      </c>
      <c r="AG8" s="549">
        <v>2019</v>
      </c>
      <c r="AH8" s="550" t="s">
        <v>83</v>
      </c>
      <c r="AI8" s="628"/>
      <c r="AJ8" s="631"/>
      <c r="AK8" s="632"/>
      <c r="AL8" s="632"/>
      <c r="AM8" s="631"/>
      <c r="AN8" s="632"/>
      <c r="AO8" s="632"/>
      <c r="AP8" s="631"/>
      <c r="AQ8" s="632"/>
      <c r="AR8" s="632"/>
      <c r="AS8" s="631"/>
      <c r="AT8" s="632"/>
      <c r="AU8" s="632"/>
      <c r="AV8" s="631"/>
      <c r="AW8" s="632"/>
      <c r="AX8" s="632"/>
      <c r="AY8" s="631"/>
    </row>
    <row r="9" spans="1:51" s="638" customFormat="1" ht="18.75" x14ac:dyDescent="0.3">
      <c r="A9" s="633"/>
      <c r="B9" s="634"/>
      <c r="C9" s="635"/>
      <c r="D9" s="635"/>
      <c r="E9" s="581"/>
      <c r="F9" s="579"/>
      <c r="G9" s="579"/>
      <c r="H9" s="581"/>
      <c r="I9" s="579"/>
      <c r="J9" s="579"/>
      <c r="K9" s="636"/>
      <c r="L9" s="576"/>
      <c r="M9" s="579"/>
      <c r="N9" s="581"/>
      <c r="O9" s="579"/>
      <c r="P9" s="579"/>
      <c r="Q9" s="636"/>
      <c r="R9" s="576"/>
      <c r="S9" s="579"/>
      <c r="T9" s="636"/>
      <c r="U9" s="576"/>
      <c r="V9" s="579"/>
      <c r="W9" s="581"/>
      <c r="X9" s="579"/>
      <c r="Y9" s="579"/>
      <c r="Z9" s="581"/>
      <c r="AA9" s="579"/>
      <c r="AB9" s="579"/>
      <c r="AC9" s="581"/>
      <c r="AD9" s="579"/>
      <c r="AE9" s="579"/>
      <c r="AF9" s="635"/>
      <c r="AG9" s="635"/>
      <c r="AH9" s="635"/>
      <c r="AI9" s="637"/>
      <c r="AJ9" s="637"/>
    </row>
    <row r="10" spans="1:51" s="640" customFormat="1" ht="18.75" x14ac:dyDescent="0.3">
      <c r="A10" s="551" t="s">
        <v>417</v>
      </c>
      <c r="B10" s="581"/>
      <c r="C10" s="579"/>
      <c r="D10" s="579"/>
      <c r="E10" s="581"/>
      <c r="F10" s="579"/>
      <c r="G10" s="579"/>
      <c r="H10" s="581"/>
      <c r="I10" s="579"/>
      <c r="J10" s="579"/>
      <c r="K10" s="636"/>
      <c r="L10" s="576"/>
      <c r="M10" s="579"/>
      <c r="N10" s="581"/>
      <c r="O10" s="579"/>
      <c r="P10" s="579"/>
      <c r="Q10" s="636"/>
      <c r="R10" s="576"/>
      <c r="S10" s="579"/>
      <c r="T10" s="636"/>
      <c r="U10" s="576"/>
      <c r="V10" s="579"/>
      <c r="W10" s="636"/>
      <c r="X10" s="576"/>
      <c r="Y10" s="579"/>
      <c r="Z10" s="636"/>
      <c r="AA10" s="576"/>
      <c r="AB10" s="579"/>
      <c r="AC10" s="636"/>
      <c r="AD10" s="576"/>
      <c r="AE10" s="579"/>
      <c r="AF10" s="579"/>
      <c r="AG10" s="579"/>
      <c r="AH10" s="580"/>
      <c r="AI10" s="639"/>
      <c r="AJ10" s="639"/>
    </row>
    <row r="11" spans="1:51" s="640" customFormat="1" ht="22.5" x14ac:dyDescent="0.3">
      <c r="A11" s="551" t="s">
        <v>418</v>
      </c>
      <c r="B11" s="581">
        <v>1.7</v>
      </c>
      <c r="C11" s="579">
        <v>1.48</v>
      </c>
      <c r="D11" s="580">
        <f>IF(B11=0, "    ---- ", IF(ABS(ROUND(100/B11*C11-100,1))&lt;999,ROUND(100/B11*C11-100,1),IF(ROUND(100/B11*C11-100,1)&gt;999,999,-999)))</f>
        <v>-12.9</v>
      </c>
      <c r="E11" s="581">
        <v>2.56</v>
      </c>
      <c r="F11" s="579">
        <v>2.9</v>
      </c>
      <c r="G11" s="580">
        <f>IF(E11=0, "    ---- ", IF(ABS(ROUND(100/E11*F11-100,1))&lt;999,ROUND(100/E11*F11-100,1),IF(ROUND(100/E11*F11-100,1)&gt;999,999,-999)))</f>
        <v>13.3</v>
      </c>
      <c r="H11" s="581"/>
      <c r="I11" s="579"/>
      <c r="J11" s="579"/>
      <c r="K11" s="636">
        <v>4.22</v>
      </c>
      <c r="L11" s="576">
        <v>2.86</v>
      </c>
      <c r="M11" s="580">
        <f>IF(K11=0, "    ---- ", IF(ABS(ROUND(100/K11*L11-100,1))&lt;999,ROUND(100/K11*L11-100,1),IF(ROUND(100/K11*L11-100,1)&gt;999,999,-999)))</f>
        <v>-32.200000000000003</v>
      </c>
      <c r="N11" s="581">
        <v>3.11</v>
      </c>
      <c r="O11" s="579">
        <v>2.6987502087078701</v>
      </c>
      <c r="P11" s="580">
        <f>IF(N11=0, "    ---- ", IF(ABS(ROUND(100/N11*O11-100,1))&lt;999,ROUND(100/N11*O11-100,1),IF(ROUND(100/N11*O11-100,1)&gt;999,999,-999)))</f>
        <v>-13.2</v>
      </c>
      <c r="Q11" s="636">
        <v>3.57</v>
      </c>
      <c r="R11" s="576">
        <v>2.44</v>
      </c>
      <c r="S11" s="580">
        <f>IF(Q11=0, "    ---- ", IF(ABS(ROUND(100/Q11*R11-100,1))&lt;999,ROUND(100/Q11*R11-100,1),IF(ROUND(100/Q11*R11-100,1)&gt;999,999,-999)))</f>
        <v>-31.7</v>
      </c>
      <c r="T11" s="636">
        <v>2.9</v>
      </c>
      <c r="U11" s="576">
        <v>2.5</v>
      </c>
      <c r="V11" s="580">
        <f>IF(T11=0, "    ---- ", IF(ABS(ROUND(100/T11*U11-100,1))&lt;999,ROUND(100/T11*U11-100,1),IF(ROUND(100/T11*U11-100,1)&gt;999,999,-999)))</f>
        <v>-13.8</v>
      </c>
      <c r="W11" s="636">
        <v>4.08</v>
      </c>
      <c r="X11" s="576">
        <v>1.36</v>
      </c>
      <c r="Y11" s="580">
        <f>IF(W11=0, "    ---- ", IF(ABS(ROUND(100/W11*X11-100,1))&lt;999,ROUND(100/W11*X11-100,1),IF(ROUND(100/W11*X11-100,1)&gt;999,999,-999)))</f>
        <v>-66.7</v>
      </c>
      <c r="Z11" s="636">
        <v>2.48195938878197</v>
      </c>
      <c r="AA11" s="576">
        <v>5.6475669069215204</v>
      </c>
      <c r="AB11" s="580">
        <f>IF(Z11=0, "    ---- ", IF(ABS(ROUND(100/Z11*AA11-100,1))&lt;999,ROUND(100/Z11*AA11-100,1),IF(ROUND(100/Z11*AA11-100,1)&gt;999,999,-999)))</f>
        <v>127.5</v>
      </c>
      <c r="AC11" s="636">
        <v>2.79</v>
      </c>
      <c r="AD11" s="576">
        <v>2.61</v>
      </c>
      <c r="AE11" s="580">
        <f>IF(AC11=0, "    ---- ", IF(ABS(ROUND(100/AC11*AD11-100,1))&lt;999,ROUND(100/AC11*AD11-100,1),IF(ROUND(100/AC11*AD11-100,1)&gt;999,999,-999)))</f>
        <v>-6.5</v>
      </c>
      <c r="AF11" s="580"/>
      <c r="AG11" s="580"/>
      <c r="AH11" s="580" t="str">
        <f>IF(AF11=0, "    ---- ", IF(ABS(ROUND(100/AF11*AG11-100,1))&lt;999,ROUND(100/AF11*AG11-100,1),IF(ROUND(100/AF11*AG11-100,1)&gt;999,999,-999)))</f>
        <v xml:space="preserve">    ---- </v>
      </c>
      <c r="AI11" s="639"/>
      <c r="AJ11" s="639"/>
    </row>
    <row r="12" spans="1:51" s="640" customFormat="1" ht="18.75" x14ac:dyDescent="0.3">
      <c r="A12" s="551" t="s">
        <v>419</v>
      </c>
      <c r="B12" s="581">
        <v>1.26</v>
      </c>
      <c r="C12" s="579">
        <v>4.13</v>
      </c>
      <c r="D12" s="580">
        <f>IF(B12=0, "    ---- ", IF(ABS(ROUND(100/B12*C12-100,1))&lt;999,ROUND(100/B12*C12-100,1),IF(ROUND(100/B12*C12-100,1)&gt;999,999,-999)))</f>
        <v>227.8</v>
      </c>
      <c r="E12" s="581">
        <v>2.96</v>
      </c>
      <c r="F12" s="579">
        <v>4.47</v>
      </c>
      <c r="G12" s="580">
        <f>IF(E12=0, "    ---- ", IF(ABS(ROUND(100/E12*F12-100,1))&lt;999,ROUND(100/E12*F12-100,1),IF(ROUND(100/E12*F12-100,1)&gt;999,999,-999)))</f>
        <v>51</v>
      </c>
      <c r="H12" s="581"/>
      <c r="I12" s="579"/>
      <c r="J12" s="579"/>
      <c r="K12" s="636">
        <v>3.08</v>
      </c>
      <c r="L12" s="576">
        <v>3.17</v>
      </c>
      <c r="M12" s="580">
        <f>IF(K12=0, "    ---- ", IF(ABS(ROUND(100/K12*L12-100,1))&lt;999,ROUND(100/K12*L12-100,1),IF(ROUND(100/K12*L12-100,1)&gt;999,999,-999)))</f>
        <v>2.9</v>
      </c>
      <c r="N12" s="581">
        <v>2.92</v>
      </c>
      <c r="O12" s="579">
        <v>6.6323422204499698</v>
      </c>
      <c r="P12" s="580">
        <f>IF(N12=0, "    ---- ", IF(ABS(ROUND(100/N12*O12-100,1))&lt;999,ROUND(100/N12*O12-100,1),IF(ROUND(100/N12*O12-100,1)&gt;999,999,-999)))</f>
        <v>127.1</v>
      </c>
      <c r="Q12" s="636">
        <v>2.38</v>
      </c>
      <c r="R12" s="576">
        <v>2.93</v>
      </c>
      <c r="S12" s="580">
        <f>IF(Q12=0, "    ---- ", IF(ABS(ROUND(100/Q12*R12-100,1))&lt;999,ROUND(100/Q12*R12-100,1),IF(ROUND(100/Q12*R12-100,1)&gt;999,999,-999)))</f>
        <v>23.1</v>
      </c>
      <c r="T12" s="636">
        <v>3.3</v>
      </c>
      <c r="U12" s="576">
        <v>4.3</v>
      </c>
      <c r="V12" s="580">
        <f>IF(T12=0, "    ---- ", IF(ABS(ROUND(100/T12*U12-100,1))&lt;999,ROUND(100/T12*U12-100,1),IF(ROUND(100/T12*U12-100,1)&gt;999,999,-999)))</f>
        <v>30.3</v>
      </c>
      <c r="W12" s="636">
        <v>3.92</v>
      </c>
      <c r="X12" s="576">
        <v>6.68</v>
      </c>
      <c r="Y12" s="580">
        <f>IF(W12=0, "    ---- ", IF(ABS(ROUND(100/W12*X12-100,1))&lt;999,ROUND(100/W12*X12-100,1),IF(ROUND(100/W12*X12-100,1)&gt;999,999,-999)))</f>
        <v>70.400000000000006</v>
      </c>
      <c r="Z12" s="636">
        <v>3.0627684264964201</v>
      </c>
      <c r="AA12" s="576">
        <v>8.5755970154294303</v>
      </c>
      <c r="AB12" s="580">
        <f>IF(Z12=0, "    ---- ", IF(ABS(ROUND(100/Z12*AA12-100,1))&lt;999,ROUND(100/Z12*AA12-100,1),IF(ROUND(100/Z12*AA12-100,1)&gt;999,999,-999)))</f>
        <v>180</v>
      </c>
      <c r="AC12" s="636">
        <v>2.27</v>
      </c>
      <c r="AD12" s="576">
        <v>4.55</v>
      </c>
      <c r="AE12" s="580">
        <f>IF(AC12=0, "    ---- ", IF(ABS(ROUND(100/AC12*AD12-100,1))&lt;999,ROUND(100/AC12*AD12-100,1),IF(ROUND(100/AC12*AD12-100,1)&gt;999,999,-999)))</f>
        <v>100.4</v>
      </c>
      <c r="AF12" s="580"/>
      <c r="AG12" s="580"/>
      <c r="AH12" s="580" t="str">
        <f>IF(AF12=0, "    ---- ", IF(ABS(ROUND(100/AF12*AG12-100,1))&lt;999,ROUND(100/AF12*AG12-100,1),IF(ROUND(100/AF12*AG12-100,1)&gt;999,999,-999)))</f>
        <v xml:space="preserve">    ---- </v>
      </c>
      <c r="AI12" s="639"/>
      <c r="AJ12" s="639"/>
    </row>
    <row r="13" spans="1:51" s="640" customFormat="1" ht="18.75" x14ac:dyDescent="0.3">
      <c r="A13" s="551"/>
      <c r="B13" s="581"/>
      <c r="C13" s="579"/>
      <c r="D13" s="579"/>
      <c r="E13" s="581"/>
      <c r="F13" s="579"/>
      <c r="G13" s="579"/>
      <c r="H13" s="581"/>
      <c r="I13" s="579"/>
      <c r="J13" s="579"/>
      <c r="K13" s="636"/>
      <c r="L13" s="576"/>
      <c r="M13" s="579"/>
      <c r="N13" s="581"/>
      <c r="O13" s="579"/>
      <c r="P13" s="579"/>
      <c r="Q13" s="636"/>
      <c r="R13" s="576"/>
      <c r="S13" s="579"/>
      <c r="T13" s="636"/>
      <c r="U13" s="576"/>
      <c r="V13" s="579"/>
      <c r="W13" s="636"/>
      <c r="X13" s="576"/>
      <c r="Y13" s="579"/>
      <c r="Z13" s="636"/>
      <c r="AA13" s="576"/>
      <c r="AB13" s="579"/>
      <c r="AC13" s="636"/>
      <c r="AD13" s="576"/>
      <c r="AE13" s="579"/>
      <c r="AF13" s="579"/>
      <c r="AG13" s="579"/>
      <c r="AH13" s="579"/>
      <c r="AI13" s="639"/>
      <c r="AJ13" s="639"/>
    </row>
    <row r="14" spans="1:51" s="640" customFormat="1" ht="18.75" x14ac:dyDescent="0.3">
      <c r="A14" s="551" t="s">
        <v>420</v>
      </c>
      <c r="B14" s="581"/>
      <c r="C14" s="579"/>
      <c r="D14" s="580"/>
      <c r="E14" s="641">
        <v>23.23</v>
      </c>
      <c r="F14" s="579">
        <v>24.96</v>
      </c>
      <c r="G14" s="580">
        <f>IF(E14=0, "    ---- ", IF(ABS(ROUND(100/E14*F14-100,1))&lt;999,ROUND(100/E14*F14-100,1),IF(ROUND(100/E14*F14-100,1)&gt;999,999,-999)))</f>
        <v>7.4</v>
      </c>
      <c r="H14" s="581">
        <v>35.299999999999997</v>
      </c>
      <c r="I14" s="579">
        <v>38.700000000000003</v>
      </c>
      <c r="J14" s="580">
        <f>IF(H14=0, "    ---- ", IF(ABS(ROUND(100/H14*I14-100,1))&lt;999,ROUND(100/H14*I14-100,1),IF(ROUND(100/H14*I14-100,1)&gt;999,999,-999)))</f>
        <v>9.6</v>
      </c>
      <c r="K14" s="636">
        <v>18.32</v>
      </c>
      <c r="L14" s="576">
        <v>19.7</v>
      </c>
      <c r="M14" s="580">
        <f>IF(K14=0, "    ---- ", IF(ABS(ROUND(100/K14*L14-100,1))&lt;999,ROUND(100/K14*L14-100,1),IF(ROUND(100/K14*L14-100,1)&gt;999,999,-999)))</f>
        <v>7.5</v>
      </c>
      <c r="N14" s="581">
        <v>27.4</v>
      </c>
      <c r="O14" s="579">
        <v>28.604399224903055</v>
      </c>
      <c r="P14" s="580">
        <f>IF(N14=0, "    ---- ", IF(ABS(ROUND(100/N14*O14-100,1))&lt;999,ROUND(100/N14*O14-100,1),IF(ROUND(100/N14*O14-100,1)&gt;999,999,-999)))</f>
        <v>4.4000000000000004</v>
      </c>
      <c r="Q14" s="636">
        <v>40.799999999999997</v>
      </c>
      <c r="R14" s="576">
        <v>42.8</v>
      </c>
      <c r="S14" s="580">
        <f>IF(Q14=0, "    ---- ", IF(ABS(ROUND(100/Q14*R14-100,1))&lt;999,ROUND(100/Q14*R14-100,1),IF(ROUND(100/Q14*R14-100,1)&gt;999,999,-999)))</f>
        <v>4.9000000000000004</v>
      </c>
      <c r="T14" s="636">
        <v>30.9</v>
      </c>
      <c r="U14" s="576">
        <v>35.5</v>
      </c>
      <c r="V14" s="580">
        <f>IF(T14=0, "    ---- ", IF(ABS(ROUND(100/T14*U14-100,1))&lt;999,ROUND(100/T14*U14-100,1),IF(ROUND(100/T14*U14-100,1)&gt;999,999,-999)))</f>
        <v>14.9</v>
      </c>
      <c r="W14" s="642">
        <f>(1430+6965+1240+7101+11248+551)/(63401+2160)*100</f>
        <v>43.524351367428807</v>
      </c>
      <c r="X14" s="579">
        <f>(1430+7651+1240+7503+13966+856)/(64784+1299)*100</f>
        <v>49.401510221993554</v>
      </c>
      <c r="Y14" s="580">
        <f>IF(W14=0, "    ---- ", IF(ABS(ROUND(100/W14*X14-100,1))&lt;999,ROUND(100/W14*X14-100,1),IF(ROUND(100/W14*X14-100,1)&gt;999,999,-999)))</f>
        <v>13.5</v>
      </c>
      <c r="Z14" s="636">
        <v>36.095950280152522</v>
      </c>
      <c r="AA14" s="576">
        <f>('[2]Tabell 6'!AG68+'[2]Tabell 6'!AG69+'[2]Tabell 6'!AG71+'[2]Tabell 6'!AG74+'[2]Tabell 6'!AG75+'[2]Tabell 6'!AG78+443.253)/('[2]Tabell 6'!AG79)*100</f>
        <v>41.464465195718553</v>
      </c>
      <c r="AB14" s="580">
        <f>IF(Z14=0, "    ---- ", IF(ABS(ROUND(100/Z14*AA14-100,1))&lt;999,ROUND(100/Z14*AA14-100,1),IF(ROUND(100/Z14*AA14-100,1)&gt;999,999,-999)))</f>
        <v>14.9</v>
      </c>
      <c r="AC14" s="636">
        <v>23.4</v>
      </c>
      <c r="AD14" s="576">
        <v>24.9</v>
      </c>
      <c r="AE14" s="580">
        <f>IF(AC14=0, "    ---- ", IF(ABS(ROUND(100/AC14*AD14-100,1))&lt;999,ROUND(100/AC14*AD14-100,1),IF(ROUND(100/AC14*AD14-100,1)&gt;999,999,-999)))</f>
        <v>6.4</v>
      </c>
      <c r="AF14" s="580"/>
      <c r="AG14" s="580"/>
      <c r="AH14" s="580" t="str">
        <f>IF(AF14=0, "    ---- ", IF(ABS(ROUND(100/AF14*AG14-100,1))&lt;999,ROUND(100/AF14*AG14-100,1),IF(ROUND(100/AF14*AG14-100,1)&gt;999,999,-999)))</f>
        <v xml:space="preserve">    ---- </v>
      </c>
      <c r="AI14" s="639"/>
      <c r="AJ14" s="639"/>
    </row>
    <row r="15" spans="1:51" s="640" customFormat="1" ht="18.75" x14ac:dyDescent="0.3">
      <c r="A15" s="551"/>
      <c r="B15" s="581"/>
      <c r="C15" s="579"/>
      <c r="D15" s="579"/>
      <c r="E15" s="581"/>
      <c r="F15" s="579"/>
      <c r="G15" s="579"/>
      <c r="H15" s="581"/>
      <c r="I15" s="579"/>
      <c r="J15" s="579"/>
      <c r="K15" s="636"/>
      <c r="L15" s="576"/>
      <c r="M15" s="579"/>
      <c r="N15" s="581"/>
      <c r="O15" s="579"/>
      <c r="P15" s="579"/>
      <c r="Q15" s="636"/>
      <c r="R15" s="576"/>
      <c r="S15" s="579"/>
      <c r="T15" s="636"/>
      <c r="U15" s="576"/>
      <c r="V15" s="579"/>
      <c r="W15" s="636"/>
      <c r="X15" s="576"/>
      <c r="Y15" s="579"/>
      <c r="Z15" s="636"/>
      <c r="AA15" s="576"/>
      <c r="AB15" s="579"/>
      <c r="AC15" s="636"/>
      <c r="AD15" s="576"/>
      <c r="AE15" s="579"/>
      <c r="AF15" s="579"/>
      <c r="AG15" s="579"/>
      <c r="AH15" s="579"/>
      <c r="AI15" s="639"/>
      <c r="AJ15" s="639"/>
    </row>
    <row r="16" spans="1:51" s="640" customFormat="1" ht="18.75" x14ac:dyDescent="0.3">
      <c r="A16" s="551" t="s">
        <v>349</v>
      </c>
      <c r="B16" s="643">
        <v>37.14</v>
      </c>
      <c r="C16" s="580">
        <v>43.970999999999997</v>
      </c>
      <c r="D16" s="580">
        <f>IF(B16=0, "    ---- ", IF(ABS(ROUND(100/B16*C16-100,1))&lt;999,ROUND(100/B16*C16-100,1),IF(ROUND(100/B16*C16-100,1)&gt;999,999,-999)))</f>
        <v>18.399999999999999</v>
      </c>
      <c r="E16" s="643">
        <v>4153</v>
      </c>
      <c r="F16" s="580">
        <v>4702.4532689999996</v>
      </c>
      <c r="G16" s="580">
        <f>IF(E16=0, "    ---- ", IF(ABS(ROUND(100/E16*F16-100,1))&lt;999,ROUND(100/E16*F16-100,1),IF(ROUND(100/E16*F16-100,1)&gt;999,999,-999)))</f>
        <v>13.2</v>
      </c>
      <c r="H16" s="643"/>
      <c r="I16" s="580"/>
      <c r="J16" s="580"/>
      <c r="K16" s="644">
        <v>12.2</v>
      </c>
      <c r="L16" s="577">
        <v>22.268999999999998</v>
      </c>
      <c r="M16" s="580">
        <f>IF(K16=0, "    ---- ", IF(ABS(ROUND(100/K16*L16-100,1))&lt;999,ROUND(100/K16*L16-100,1),IF(ROUND(100/K16*L16-100,1)&gt;999,999,-999)))</f>
        <v>82.5</v>
      </c>
      <c r="N16" s="643">
        <v>42634.787819570003</v>
      </c>
      <c r="O16" s="580">
        <v>54475.754281000001</v>
      </c>
      <c r="P16" s="580">
        <f>IF(N16=0, "    ---- ", IF(ABS(ROUND(100/N16*O16-100,1))&lt;999,ROUND(100/N16*O16-100,1),IF(ROUND(100/N16*O16-100,1)&gt;999,999,-999)))</f>
        <v>27.8</v>
      </c>
      <c r="Q16" s="644">
        <v>12</v>
      </c>
      <c r="R16" s="577">
        <v>16</v>
      </c>
      <c r="S16" s="580">
        <f>IF(Q16=0, "    ---- ", IF(ABS(ROUND(100/Q16*R16-100,1))&lt;999,ROUND(100/Q16*R16-100,1),IF(ROUND(100/Q16*R16-100,1)&gt;999,999,-999)))</f>
        <v>33.299999999999997</v>
      </c>
      <c r="T16" s="644">
        <v>1587</v>
      </c>
      <c r="U16" s="577">
        <v>1899</v>
      </c>
      <c r="V16" s="580">
        <f>IF(T16=0, "    ---- ", IF(ABS(ROUND(100/T16*U16-100,1))&lt;999,ROUND(100/T16*U16-100,1),IF(ROUND(100/T16*U16-100,1)&gt;999,999,-999)))</f>
        <v>19.7</v>
      </c>
      <c r="W16" s="644">
        <v>11248</v>
      </c>
      <c r="X16" s="577">
        <v>13966</v>
      </c>
      <c r="Y16" s="580">
        <f>IF(W16=0, "    ---- ", IF(ABS(ROUND(100/W16*X16-100,1))&lt;999,ROUND(100/W16*X16-100,1),IF(ROUND(100/W16*X16-100,1)&gt;999,999,-999)))</f>
        <v>24.2</v>
      </c>
      <c r="Z16" s="644">
        <v>-126.982</v>
      </c>
      <c r="AA16" s="577">
        <v>2204.0650000000001</v>
      </c>
      <c r="AB16" s="580">
        <f>IF(Z16=0, "    ---- ", IF(ABS(ROUND(100/Z16*AA16-100,1))&lt;999,ROUND(100/Z16*AA16-100,1),IF(ROUND(100/Z16*AA16-100,1)&gt;999,999,-999)))</f>
        <v>-999</v>
      </c>
      <c r="AC16" s="644">
        <v>2841</v>
      </c>
      <c r="AD16" s="577">
        <v>5893</v>
      </c>
      <c r="AE16" s="580">
        <f>IF(AC16=0, "    ---- ", IF(ABS(ROUND(100/AC16*AD16-100,1))&lt;999,ROUND(100/AC16*AD16-100,1),IF(ROUND(100/AC16*AD16-100,1)&gt;999,999,-999)))</f>
        <v>107.4</v>
      </c>
      <c r="AF16" s="580">
        <f>B16+E16+H16+K16+N16+Q16+T16+W16+Z16+AC16</f>
        <v>62398.145819569996</v>
      </c>
      <c r="AG16" s="580">
        <f>C16+F16+I16+L16+O16+R16+U16+X16+AA16+AD16</f>
        <v>83222.512549999999</v>
      </c>
      <c r="AH16" s="580">
        <f>IF(AF16=0, "    ---- ", IF(ABS(ROUND(100/AF16*AG16-100,1))&lt;999,ROUND(100/AF16*AG16-100,1),IF(ROUND(100/AF16*AG16-100,1)&gt;999,999,-999)))</f>
        <v>33.4</v>
      </c>
      <c r="AI16" s="639"/>
      <c r="AJ16" s="639"/>
    </row>
    <row r="17" spans="1:36" s="640" customFormat="1" ht="18.75" x14ac:dyDescent="0.3">
      <c r="A17" s="551"/>
      <c r="B17" s="643"/>
      <c r="C17" s="580"/>
      <c r="D17" s="580"/>
      <c r="E17" s="643"/>
      <c r="F17" s="580"/>
      <c r="G17" s="580"/>
      <c r="H17" s="643"/>
      <c r="I17" s="580"/>
      <c r="J17" s="580"/>
      <c r="K17" s="644"/>
      <c r="L17" s="577"/>
      <c r="M17" s="580"/>
      <c r="N17" s="643"/>
      <c r="O17" s="580"/>
      <c r="P17" s="580"/>
      <c r="Q17" s="644"/>
      <c r="R17" s="577"/>
      <c r="S17" s="580"/>
      <c r="T17" s="644"/>
      <c r="U17" s="577"/>
      <c r="V17" s="580"/>
      <c r="W17" s="644"/>
      <c r="X17" s="577"/>
      <c r="Y17" s="580"/>
      <c r="Z17" s="644"/>
      <c r="AA17" s="577"/>
      <c r="AB17" s="580"/>
      <c r="AC17" s="644"/>
      <c r="AD17" s="577"/>
      <c r="AE17" s="580"/>
      <c r="AF17" s="580"/>
      <c r="AG17" s="580"/>
      <c r="AH17" s="580"/>
      <c r="AI17" s="639"/>
      <c r="AJ17" s="639"/>
    </row>
    <row r="18" spans="1:36" s="640" customFormat="1" ht="18.75" x14ac:dyDescent="0.3">
      <c r="A18" s="552" t="s">
        <v>421</v>
      </c>
      <c r="B18" s="582"/>
      <c r="C18" s="583"/>
      <c r="D18" s="583"/>
      <c r="E18" s="582">
        <v>5574.29</v>
      </c>
      <c r="F18" s="583">
        <v>6659.4449999999997</v>
      </c>
      <c r="G18" s="583">
        <f>IF(E18=0, "    ---- ", IF(ABS(ROUND(100/E18*F18-100,1))&lt;999,ROUND(100/E18*F18-100,1),IF(ROUND(100/E18*F18-100,1)&gt;999,999,-999)))</f>
        <v>19.5</v>
      </c>
      <c r="H18" s="582"/>
      <c r="I18" s="583"/>
      <c r="J18" s="583"/>
      <c r="K18" s="553"/>
      <c r="L18" s="554"/>
      <c r="M18" s="583"/>
      <c r="N18" s="582">
        <v>316</v>
      </c>
      <c r="O18" s="583">
        <v>691.26632307353998</v>
      </c>
      <c r="P18" s="583">
        <f>IF(N18=0, "    ---- ", IF(ABS(ROUND(100/N18*O18-100,1))&lt;999,ROUND(100/N18*O18-100,1),IF(ROUND(100/N18*O18-100,1)&gt;999,999,-999)))</f>
        <v>118.8</v>
      </c>
      <c r="Q18" s="645">
        <v>24</v>
      </c>
      <c r="R18" s="578">
        <v>70</v>
      </c>
      <c r="S18" s="583">
        <f>IF(Q18=0, "    ---- ", IF(ABS(ROUND(100/Q18*R18-100,1))&lt;999,ROUND(100/Q18*R18-100,1),IF(ROUND(100/Q18*R18-100,1)&gt;999,999,-999)))</f>
        <v>191.7</v>
      </c>
      <c r="T18" s="645">
        <v>890</v>
      </c>
      <c r="U18" s="578">
        <v>1854</v>
      </c>
      <c r="V18" s="583">
        <f>IF(T18=0, "    ---- ", IF(ABS(ROUND(100/T18*U18-100,1))&lt;999,ROUND(100/T18*U18-100,1),IF(ROUND(100/T18*U18-100,1)&gt;999,999,-999)))</f>
        <v>108.3</v>
      </c>
      <c r="W18" s="645">
        <v>551</v>
      </c>
      <c r="X18" s="578">
        <v>856</v>
      </c>
      <c r="Y18" s="583">
        <f>IF(W18=0, "    ---- ", IF(ABS(ROUND(100/W18*X18-100,1))&lt;999,ROUND(100/W18*X18-100,1),IF(ROUND(100/W18*X18-100,1)&gt;999,999,-999)))</f>
        <v>55.4</v>
      </c>
      <c r="Z18" s="645">
        <v>16.228000000000002</v>
      </c>
      <c r="AA18" s="578">
        <v>54.088999999999999</v>
      </c>
      <c r="AB18" s="583">
        <f>IF(Z18=0, "    ---- ", IF(ABS(ROUND(100/Z18*AA18-100,1))&lt;999,ROUND(100/Z18*AA18-100,1),IF(ROUND(100/Z18*AA18-100,1)&gt;999,999,-999)))</f>
        <v>233.3</v>
      </c>
      <c r="AC18" s="645">
        <v>5051</v>
      </c>
      <c r="AD18" s="578">
        <v>6495</v>
      </c>
      <c r="AE18" s="583">
        <f>IF(AC18=0, "    ---- ", IF(ABS(ROUND(100/AC18*AD18-100,1))&lt;999,ROUND(100/AC18*AD18-100,1),IF(ROUND(100/AC18*AD18-100,1)&gt;999,999,-999)))</f>
        <v>28.6</v>
      </c>
      <c r="AF18" s="583">
        <f>B18+E18+H18+K18+N18+Q18+T18+W18+Z18+AC18</f>
        <v>12422.518</v>
      </c>
      <c r="AG18" s="583">
        <f>C18+F18+I18+L18+O18+R18+U18+X18+AA18+AD18</f>
        <v>16679.800323073541</v>
      </c>
      <c r="AH18" s="583">
        <f>IF(AF18=0, "    ---- ", IF(ABS(ROUND(100/AF18*AG18-100,1))&lt;999,ROUND(100/AF18*AG18-100,1),IF(ROUND(100/AF18*AG18-100,1)&gt;999,999,-999)))</f>
        <v>34.299999999999997</v>
      </c>
      <c r="AI18" s="639"/>
      <c r="AJ18" s="639"/>
    </row>
    <row r="19" spans="1:36" ht="18.75" x14ac:dyDescent="0.3">
      <c r="A19" s="544"/>
      <c r="N19" s="575"/>
      <c r="T19" s="575"/>
      <c r="AC19" s="575"/>
      <c r="AF19" s="575"/>
      <c r="AJ19" s="628"/>
    </row>
    <row r="20" spans="1:36" ht="20.100000000000001" customHeight="1" x14ac:dyDescent="0.2"/>
    <row r="21" spans="1:36" ht="20.100000000000001" customHeight="1" x14ac:dyDescent="0.2"/>
    <row r="22" spans="1:36" ht="20.100000000000001" customHeight="1" x14ac:dyDescent="0.2"/>
    <row r="23" spans="1:36" ht="20.100000000000001" customHeight="1" x14ac:dyDescent="0.2"/>
    <row r="24" spans="1:36" ht="20.100000000000001" customHeight="1" x14ac:dyDescent="0.2"/>
    <row r="25" spans="1:36" ht="20.100000000000001" customHeight="1" x14ac:dyDescent="0.2"/>
    <row r="26" spans="1:36" ht="20.100000000000001" customHeight="1" x14ac:dyDescent="0.2"/>
    <row r="27" spans="1:36" ht="20.100000000000001" customHeight="1" x14ac:dyDescent="0.2"/>
    <row r="28" spans="1:36" ht="20.100000000000001" customHeight="1" x14ac:dyDescent="0.2"/>
    <row r="29" spans="1:36" ht="20.100000000000001" customHeight="1" x14ac:dyDescent="0.2"/>
    <row r="30" spans="1:36" ht="20.100000000000001" customHeight="1" x14ac:dyDescent="0.2"/>
    <row r="31" spans="1:36" ht="20.100000000000001" customHeight="1" x14ac:dyDescent="0.2"/>
    <row r="32" spans="1:3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19.5" customHeight="1" x14ac:dyDescent="0.2"/>
    <row r="46" ht="19.5" customHeight="1" x14ac:dyDescent="0.2"/>
  </sheetData>
  <protectedRanges>
    <protectedRange sqref="C9:C10 C17:C18" name="Område1_12_1"/>
    <protectedRange sqref="C11:C16" name="Område1_1_1_1"/>
    <protectedRange sqref="B9:B10 B17:B18" name="Område1"/>
    <protectedRange sqref="B11:B16" name="Område1_1"/>
    <protectedRange sqref="F9:F10" name="Område1_13_5"/>
    <protectedRange sqref="F11:F18" name="Område1_2_1_2"/>
    <protectedRange sqref="E9:E10" name="Område1_9_1"/>
    <protectedRange sqref="E11:E18" name="Område1_2_1_1_1"/>
    <protectedRange sqref="I9:I13 I15:I18" name="Område1_13_1_1"/>
    <protectedRange sqref="I14" name="Område1_4_1_2"/>
    <protectedRange sqref="H9:H13 H15:H18" name="Område1_10_2"/>
    <protectedRange sqref="H14" name="Område1_4_1_1_1"/>
    <protectedRange sqref="L9:L10" name="Område1_9_1_1_1"/>
    <protectedRange sqref="L11:L18" name="Område1_7_1_1_1"/>
    <protectedRange sqref="K9:K10" name="Område1_2_2"/>
    <protectedRange sqref="K11:K18" name="Område1_7_1_2"/>
    <protectedRange sqref="O9:O10" name="Område1_13_2_1"/>
    <protectedRange sqref="O11:O18" name="Område1_3_1_2"/>
    <protectedRange sqref="N9:N10" name="Område1_4_2"/>
    <protectedRange sqref="N11:N18" name="Område1_3_1_1_1"/>
    <protectedRange sqref="U9:U10" name="Område1_13_3_1"/>
    <protectedRange sqref="U11:U18" name="Område1_5_1_2"/>
    <protectedRange sqref="T9:T10" name="Område1_3_2"/>
    <protectedRange sqref="T11:T18" name="Område1_5_1_1_1"/>
    <protectedRange sqref="X9:X10" name="Område1_13_4_1"/>
    <protectedRange sqref="X11:X18" name="Område1_6_1_2"/>
    <protectedRange sqref="W9:W10" name="Område1_5_2"/>
    <protectedRange sqref="W11:W13 W15:W18" name="Område1_6_1_1_2"/>
    <protectedRange sqref="W14" name="Område1_6_1_1_1_1"/>
    <protectedRange sqref="AA9:AA18" name="Område1_11_1_1"/>
    <protectedRange sqref="Z9:Z18" name="Område1_6_2_1"/>
    <protectedRange sqref="AD9:AD10" name="Område1_10_1_1"/>
    <protectedRange sqref="AD11:AD18" name="Område1_8_1_1_1"/>
    <protectedRange sqref="AC9:AC10" name="Område1_7_2"/>
    <protectedRange sqref="AC11:AC18" name="Område1_8_1_2"/>
  </protectedRanges>
  <mergeCells count="30">
    <mergeCell ref="W5:Y5"/>
    <mergeCell ref="B5:D5"/>
    <mergeCell ref="E5:G5"/>
    <mergeCell ref="H5:J5"/>
    <mergeCell ref="K5:M5"/>
    <mergeCell ref="Q5:S5"/>
    <mergeCell ref="AT5:AV5"/>
    <mergeCell ref="AW5:AY5"/>
    <mergeCell ref="B6:D6"/>
    <mergeCell ref="E6:G6"/>
    <mergeCell ref="H6:J6"/>
    <mergeCell ref="K6:M6"/>
    <mergeCell ref="N6:P6"/>
    <mergeCell ref="Q6:S6"/>
    <mergeCell ref="T6:V6"/>
    <mergeCell ref="W6:Y6"/>
    <mergeCell ref="Z5:AB5"/>
    <mergeCell ref="AC5:AE5"/>
    <mergeCell ref="AF5:AH5"/>
    <mergeCell ref="AK5:AM5"/>
    <mergeCell ref="AN5:AP5"/>
    <mergeCell ref="AQ5:AS5"/>
    <mergeCell ref="AT6:AV6"/>
    <mergeCell ref="AW6:AY6"/>
    <mergeCell ref="Z6:AB6"/>
    <mergeCell ref="AC6:AE6"/>
    <mergeCell ref="AF6:AH6"/>
    <mergeCell ref="AK6:AM6"/>
    <mergeCell ref="AN6:AP6"/>
    <mergeCell ref="AQ6:AS6"/>
  </mergeCells>
  <hyperlinks>
    <hyperlink ref="B1" location="Innhold!A1" display="Tilbake" xr:uid="{DC771BAE-BA51-4419-8A33-6FE4C4764659}"/>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3" sqref="A3"/>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0"/>
      <c r="D2" s="330"/>
      <c r="E2" s="330"/>
    </row>
    <row r="3" spans="1:17" x14ac:dyDescent="0.2">
      <c r="A3" s="43" t="s">
        <v>51</v>
      </c>
    </row>
    <row r="4" spans="1:17" x14ac:dyDescent="0.2">
      <c r="C4" s="330"/>
      <c r="D4" s="330"/>
      <c r="E4" s="330"/>
      <c r="F4" s="330"/>
      <c r="G4" s="330"/>
      <c r="H4" s="330"/>
      <c r="I4" s="330"/>
      <c r="J4" s="330"/>
      <c r="K4" s="330"/>
    </row>
    <row r="6" spans="1:17" ht="15.75" x14ac:dyDescent="0.25">
      <c r="C6" s="337" t="s">
        <v>16</v>
      </c>
      <c r="D6" s="3"/>
      <c r="E6" s="337"/>
    </row>
    <row r="7" spans="1:17" ht="18.75" customHeight="1" x14ac:dyDescent="0.2">
      <c r="C7" s="3"/>
      <c r="D7" s="3"/>
      <c r="E7" s="50"/>
    </row>
    <row r="8" spans="1:17" ht="15.75" x14ac:dyDescent="0.25">
      <c r="B8" s="331">
        <v>1</v>
      </c>
      <c r="C8" s="332" t="s">
        <v>354</v>
      </c>
      <c r="E8" s="341"/>
    </row>
    <row r="9" spans="1:17" ht="31.5" x14ac:dyDescent="0.2">
      <c r="B9" s="331">
        <v>2</v>
      </c>
      <c r="C9" s="334" t="s">
        <v>280</v>
      </c>
      <c r="E9" s="8"/>
      <c r="Q9" s="3"/>
    </row>
    <row r="10" spans="1:17" ht="47.25" x14ac:dyDescent="0.2">
      <c r="B10" s="331">
        <v>3</v>
      </c>
      <c r="C10" s="332" t="s">
        <v>281</v>
      </c>
      <c r="E10" s="8"/>
    </row>
    <row r="11" spans="1:17" ht="47.25" x14ac:dyDescent="0.2">
      <c r="B11" s="331">
        <v>4</v>
      </c>
      <c r="C11" s="334" t="s">
        <v>282</v>
      </c>
      <c r="E11" s="8"/>
    </row>
    <row r="12" spans="1:17" ht="31.5" x14ac:dyDescent="0.2">
      <c r="B12" s="331">
        <v>5</v>
      </c>
      <c r="C12" s="332" t="s">
        <v>21</v>
      </c>
      <c r="E12" s="3"/>
    </row>
    <row r="13" spans="1:17" ht="15.75" x14ac:dyDescent="0.2">
      <c r="B13" s="331">
        <v>6</v>
      </c>
      <c r="C13" s="332" t="s">
        <v>355</v>
      </c>
      <c r="E13" s="3"/>
    </row>
    <row r="14" spans="1:17" ht="15.75" x14ac:dyDescent="0.2">
      <c r="B14" s="331">
        <v>7</v>
      </c>
      <c r="C14" s="332" t="s">
        <v>17</v>
      </c>
    </row>
    <row r="15" spans="1:17" ht="18.75" customHeight="1" x14ac:dyDescent="0.2">
      <c r="B15" s="331">
        <v>8</v>
      </c>
      <c r="C15" s="332" t="s">
        <v>18</v>
      </c>
    </row>
    <row r="16" spans="1:17" ht="18.75" customHeight="1" x14ac:dyDescent="0.2">
      <c r="B16" s="331">
        <v>9</v>
      </c>
      <c r="C16" s="332" t="s">
        <v>22</v>
      </c>
    </row>
    <row r="17" spans="2:9" ht="63" x14ac:dyDescent="0.25">
      <c r="B17" s="331">
        <v>10</v>
      </c>
      <c r="C17" s="332" t="s">
        <v>364</v>
      </c>
      <c r="E17" s="337"/>
    </row>
    <row r="18" spans="2:9" ht="15.75" x14ac:dyDescent="0.2">
      <c r="B18" s="331">
        <v>11</v>
      </c>
      <c r="C18" s="332" t="s">
        <v>19</v>
      </c>
      <c r="E18" s="8"/>
    </row>
    <row r="19" spans="2:9" ht="15.75" x14ac:dyDescent="0.2">
      <c r="B19" s="331">
        <v>12</v>
      </c>
      <c r="C19" s="332" t="s">
        <v>284</v>
      </c>
      <c r="E19" s="8"/>
    </row>
    <row r="20" spans="2:9" ht="15.75" x14ac:dyDescent="0.2">
      <c r="B20" s="331">
        <v>13</v>
      </c>
      <c r="C20" s="332" t="s">
        <v>20</v>
      </c>
      <c r="E20" s="3"/>
    </row>
    <row r="21" spans="2:9" ht="47.25" x14ac:dyDescent="0.2">
      <c r="B21" s="331">
        <v>14</v>
      </c>
      <c r="C21" s="332" t="s">
        <v>285</v>
      </c>
      <c r="E21" s="342"/>
    </row>
    <row r="22" spans="2:9" ht="31.5" x14ac:dyDescent="0.2">
      <c r="B22" s="331">
        <v>15</v>
      </c>
      <c r="C22" s="334" t="s">
        <v>343</v>
      </c>
      <c r="E22" s="3"/>
    </row>
    <row r="23" spans="2:9" ht="15.75" x14ac:dyDescent="0.25">
      <c r="B23" s="331">
        <v>16</v>
      </c>
      <c r="C23" s="336" t="s">
        <v>283</v>
      </c>
      <c r="D23" s="335"/>
      <c r="E23" s="330"/>
      <c r="F23" s="335"/>
      <c r="G23" s="2"/>
      <c r="H23" s="2"/>
      <c r="I23" s="2"/>
    </row>
    <row r="24" spans="2:9" ht="18.75" customHeight="1" x14ac:dyDescent="0.25">
      <c r="B24" s="333">
        <v>17</v>
      </c>
      <c r="C24" s="336" t="s">
        <v>286</v>
      </c>
    </row>
    <row r="25" spans="2:9" ht="18.75" customHeight="1" x14ac:dyDescent="0.25">
      <c r="B25" s="333"/>
      <c r="C25" s="339"/>
    </row>
    <row r="26" spans="2:9" ht="18.75" customHeight="1" x14ac:dyDescent="0.25">
      <c r="B26" s="333"/>
      <c r="C26" s="354"/>
    </row>
    <row r="27" spans="2:9" ht="18.75" customHeight="1" x14ac:dyDescent="0.2">
      <c r="C27" s="339"/>
    </row>
    <row r="28" spans="2:9" ht="18.75" customHeight="1" x14ac:dyDescent="0.2">
      <c r="C28" s="339"/>
    </row>
    <row r="29" spans="2:9" ht="18.75" customHeight="1" x14ac:dyDescent="0.2">
      <c r="C29" s="339"/>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0"/>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0"/>
      <c r="E50" s="330"/>
      <c r="F50" s="330"/>
      <c r="G50" s="330"/>
      <c r="H50" s="330"/>
      <c r="I50" s="330"/>
      <c r="J50" s="330"/>
      <c r="K50" s="330"/>
      <c r="L50" s="330"/>
      <c r="M50" s="330"/>
      <c r="N50" s="330"/>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0"/>
  <sheetViews>
    <sheetView showGridLines="0" showZeros="0" zoomScale="70" zoomScaleNormal="70" workbookViewId="0">
      <pane ySplit="7" topLeftCell="A8" activePane="bottomLeft" state="frozen"/>
      <selection activeCell="J44" sqref="J44"/>
      <selection pane="bottomLeft"/>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7" hidden="1" customWidth="1"/>
    <col min="13" max="13" width="13.85546875" style="187" hidden="1" customWidth="1"/>
    <col min="14" max="15" width="15.7109375" style="187" hidden="1" customWidth="1"/>
    <col min="16" max="16" width="11.42578125" style="87" hidden="1" customWidth="1"/>
    <col min="17" max="19" width="11.42578125" style="87" customWidth="1"/>
    <col min="20" max="16384" width="11.42578125" style="87"/>
  </cols>
  <sheetData>
    <row r="1" spans="1:16" ht="20.25" x14ac:dyDescent="0.3">
      <c r="A1" s="80" t="s">
        <v>77</v>
      </c>
      <c r="B1" s="73" t="s">
        <v>52</v>
      </c>
      <c r="C1" s="74"/>
      <c r="D1" s="74"/>
      <c r="E1" s="74"/>
      <c r="F1" s="74"/>
      <c r="G1" s="74"/>
      <c r="H1" s="74"/>
      <c r="I1" s="74"/>
      <c r="J1" s="74"/>
      <c r="K1" s="74"/>
    </row>
    <row r="2" spans="1:16" ht="20.25" x14ac:dyDescent="0.3">
      <c r="A2" s="80" t="s">
        <v>78</v>
      </c>
      <c r="B2" s="74"/>
      <c r="C2" s="74"/>
      <c r="D2" s="74"/>
      <c r="E2" s="74"/>
      <c r="F2" s="74"/>
      <c r="G2" s="74"/>
      <c r="H2" s="74"/>
      <c r="I2" s="74"/>
      <c r="J2" s="74"/>
      <c r="K2" s="74"/>
    </row>
    <row r="3" spans="1:16" ht="18.75" x14ac:dyDescent="0.3">
      <c r="A3" s="652" t="s">
        <v>79</v>
      </c>
      <c r="B3" s="652"/>
      <c r="C3" s="74"/>
      <c r="D3" s="74"/>
      <c r="E3" s="74"/>
      <c r="F3" s="74"/>
      <c r="G3" s="74"/>
      <c r="H3" s="74"/>
      <c r="I3" s="74"/>
      <c r="J3" s="74"/>
      <c r="K3" s="74"/>
    </row>
    <row r="4" spans="1:16" ht="18.75" x14ac:dyDescent="0.3">
      <c r="A4" s="82" t="s">
        <v>409</v>
      </c>
      <c r="B4" s="83"/>
      <c r="C4" s="84"/>
      <c r="D4" s="84"/>
      <c r="E4" s="85"/>
      <c r="F4" s="86"/>
      <c r="G4" s="83"/>
      <c r="H4" s="84"/>
      <c r="I4" s="84"/>
      <c r="J4" s="85"/>
      <c r="K4" s="112"/>
      <c r="L4" s="210"/>
      <c r="M4" s="211"/>
      <c r="N4" s="212"/>
      <c r="O4" s="211"/>
    </row>
    <row r="5" spans="1:16" ht="22.5" x14ac:dyDescent="0.3">
      <c r="A5" s="88"/>
      <c r="B5" s="653" t="s">
        <v>80</v>
      </c>
      <c r="C5" s="654"/>
      <c r="D5" s="654"/>
      <c r="E5" s="655"/>
      <c r="F5" s="90"/>
      <c r="G5" s="653" t="s">
        <v>398</v>
      </c>
      <c r="H5" s="654"/>
      <c r="I5" s="654"/>
      <c r="J5" s="655"/>
      <c r="K5" s="89"/>
      <c r="L5" s="656" t="s">
        <v>138</v>
      </c>
      <c r="M5" s="651"/>
      <c r="N5" s="650" t="s">
        <v>139</v>
      </c>
      <c r="O5" s="651"/>
    </row>
    <row r="6" spans="1:16" ht="18.75" x14ac:dyDescent="0.3">
      <c r="A6" s="91"/>
      <c r="B6" s="92"/>
      <c r="C6" s="93"/>
      <c r="D6" s="93" t="s">
        <v>81</v>
      </c>
      <c r="E6" s="94" t="s">
        <v>29</v>
      </c>
      <c r="F6" s="95"/>
      <c r="G6" s="92"/>
      <c r="H6" s="93"/>
      <c r="I6" s="93" t="s">
        <v>81</v>
      </c>
      <c r="J6" s="94" t="s">
        <v>29</v>
      </c>
      <c r="K6" s="100"/>
      <c r="L6" s="213"/>
      <c r="M6" s="214"/>
      <c r="N6" s="215"/>
      <c r="O6" s="214"/>
    </row>
    <row r="7" spans="1:16" ht="15.75" x14ac:dyDescent="0.25">
      <c r="A7" s="96" t="s">
        <v>82</v>
      </c>
      <c r="B7" s="97">
        <v>2018</v>
      </c>
      <c r="C7" s="97">
        <v>2019</v>
      </c>
      <c r="D7" s="98" t="s">
        <v>83</v>
      </c>
      <c r="E7" s="99" t="s">
        <v>30</v>
      </c>
      <c r="F7" s="95"/>
      <c r="G7" s="97">
        <v>2018</v>
      </c>
      <c r="H7" s="97">
        <v>2019</v>
      </c>
      <c r="I7" s="98" t="s">
        <v>83</v>
      </c>
      <c r="J7" s="99" t="s">
        <v>30</v>
      </c>
      <c r="K7" s="100"/>
      <c r="L7" s="216">
        <v>2015</v>
      </c>
      <c r="M7" s="217">
        <v>2016</v>
      </c>
      <c r="N7" s="218">
        <v>2015</v>
      </c>
      <c r="O7" s="217">
        <v>2016</v>
      </c>
      <c r="P7" s="87" t="s">
        <v>142</v>
      </c>
    </row>
    <row r="8" spans="1:16" ht="18.75" x14ac:dyDescent="0.3">
      <c r="A8" s="101"/>
      <c r="B8" s="129"/>
      <c r="C8" s="103"/>
      <c r="D8" s="104"/>
      <c r="E8" s="361"/>
      <c r="F8" s="176"/>
      <c r="G8" s="129"/>
      <c r="H8" s="129"/>
      <c r="I8" s="103"/>
      <c r="J8" s="361"/>
      <c r="K8" s="139"/>
      <c r="L8" s="219" t="s">
        <v>0</v>
      </c>
      <c r="M8" s="220"/>
      <c r="N8" s="221"/>
      <c r="O8" s="220"/>
      <c r="P8" s="87" t="s">
        <v>150</v>
      </c>
    </row>
    <row r="9" spans="1:16" ht="18.75" x14ac:dyDescent="0.3">
      <c r="A9" s="101" t="s">
        <v>0</v>
      </c>
      <c r="B9" s="176"/>
      <c r="C9" s="176"/>
      <c r="D9" s="104"/>
      <c r="E9" s="361"/>
      <c r="F9" s="103"/>
      <c r="G9" s="176"/>
      <c r="H9" s="176"/>
      <c r="I9" s="104"/>
      <c r="J9" s="361">
        <f t="shared" ref="J9" si="0">100/H$31*H9</f>
        <v>0</v>
      </c>
      <c r="K9" s="206" t="s">
        <v>146</v>
      </c>
      <c r="L9" s="222" t="e">
        <f t="shared" ref="L9:L30" ca="1" si="1">INDIRECT("'" &amp; $A9 &amp; "'!" &amp; $P$7)</f>
        <v>#REF!</v>
      </c>
      <c r="M9" s="220" t="e">
        <f t="shared" ref="M9:M30" ca="1" si="2">INDIRECT("'" &amp; $A9 &amp; "'!" &amp; $P$8)</f>
        <v>#REF!</v>
      </c>
      <c r="N9" s="222" t="e">
        <f t="shared" ref="N9:N30" ca="1" si="3">INDIRECT("'" &amp; $A9 &amp; "'!" &amp; $P$9)</f>
        <v>#REF!</v>
      </c>
      <c r="O9" s="220" t="e">
        <f t="shared" ref="O9:O30" ca="1" si="4">INDIRECT("'" &amp; $A9 &amp; "'!" &amp; $P$10)</f>
        <v>#REF!</v>
      </c>
      <c r="P9" s="87" t="s">
        <v>154</v>
      </c>
    </row>
    <row r="10" spans="1:16" ht="18.75" x14ac:dyDescent="0.3">
      <c r="A10" s="192" t="s">
        <v>84</v>
      </c>
      <c r="B10" s="176">
        <f>'Danica Pensjonsforsikring'!B7+'Danica Pensjonsforsikring'!B22+'Danica Pensjonsforsikring'!B36+'Danica Pensjonsforsikring'!B47+'Danica Pensjonsforsikring'!B66+'Danica Pensjonsforsikring'!B134</f>
        <v>311903.85599999997</v>
      </c>
      <c r="C10" s="176">
        <f>'Danica Pensjonsforsikring'!C7+'Danica Pensjonsforsikring'!C22+'Danica Pensjonsforsikring'!C36+'Danica Pensjonsforsikring'!C47+'Danica Pensjonsforsikring'!C66+'Danica Pensjonsforsikring'!C134</f>
        <v>317604.17099999997</v>
      </c>
      <c r="D10" s="104">
        <f t="shared" ref="D10:D31" si="5">IF(B10=0, "    ---- ", IF(ABS(ROUND(100/B10*C10-100,1))&lt;999,ROUND(100/B10*C10-100,1),IF(ROUND(100/B10*C10-100,1)&gt;999,999,-999)))</f>
        <v>1.8</v>
      </c>
      <c r="E10" s="361">
        <f t="shared" ref="E10:E30" si="6">100/C$31*C10</f>
        <v>0.60346953551991145</v>
      </c>
      <c r="F10" s="103"/>
      <c r="G10" s="176">
        <f>'Danica Pensjonsforsikring'!B10+'Danica Pensjonsforsikring'!B29+'Danica Pensjonsforsikring'!B37+'Danica Pensjonsforsikring'!B87+'Danica Pensjonsforsikring'!B135</f>
        <v>1087595.622</v>
      </c>
      <c r="H10" s="176">
        <f>'Danica Pensjonsforsikring'!C10+'Danica Pensjonsforsikring'!C29+'Danica Pensjonsforsikring'!C37+'Danica Pensjonsforsikring'!C87+'Danica Pensjonsforsikring'!C135</f>
        <v>1147898.6510000001</v>
      </c>
      <c r="I10" s="104">
        <f t="shared" ref="I10:I31" si="7">IF(G10=0, "    ---- ", IF(ABS(ROUND(100/G10*H10-100,1))&lt;999,ROUND(100/G10*H10-100,1),IF(ROUND(100/G10*H10-100,1)&gt;999,999,-999)))</f>
        <v>5.5</v>
      </c>
      <c r="J10" s="361">
        <f t="shared" ref="J10:J30" si="8">100/H$31*H10</f>
        <v>0.11074219534786117</v>
      </c>
      <c r="K10" s="207" t="s">
        <v>147</v>
      </c>
      <c r="L10" s="222">
        <f t="shared" ca="1" si="1"/>
        <v>0</v>
      </c>
      <c r="M10" s="220">
        <f t="shared" ca="1" si="2"/>
        <v>0</v>
      </c>
      <c r="N10" s="222">
        <f t="shared" ca="1" si="3"/>
        <v>0</v>
      </c>
      <c r="O10" s="220">
        <f t="shared" ca="1" si="4"/>
        <v>0</v>
      </c>
      <c r="P10" s="87" t="s">
        <v>159</v>
      </c>
    </row>
    <row r="11" spans="1:16" ht="18.75" x14ac:dyDescent="0.3">
      <c r="A11" s="192" t="s">
        <v>85</v>
      </c>
      <c r="B11" s="176">
        <f>'DNB Livsforsikring'!B7+'DNB Livsforsikring'!B22+'DNB Livsforsikring'!B36+'DNB Livsforsikring'!B47+'DNB Livsforsikring'!B66+'DNB Livsforsikring'!B134</f>
        <v>3693482</v>
      </c>
      <c r="C11" s="176">
        <f>'DNB Livsforsikring'!C7+'DNB Livsforsikring'!C22+'DNB Livsforsikring'!C36+'DNB Livsforsikring'!C47+'DNB Livsforsikring'!C66+'DNB Livsforsikring'!C134</f>
        <v>3715260.49223</v>
      </c>
      <c r="D11" s="104">
        <f t="shared" si="5"/>
        <v>0.6</v>
      </c>
      <c r="E11" s="361">
        <f t="shared" si="6"/>
        <v>7.0592477312947999</v>
      </c>
      <c r="F11" s="103"/>
      <c r="G11" s="176">
        <f>'DNB Livsforsikring'!B10+'DNB Livsforsikring'!B29+'DNB Livsforsikring'!B37+'DNB Livsforsikring'!B87+'DNB Livsforsikring'!B135</f>
        <v>201016641</v>
      </c>
      <c r="H11" s="176">
        <f>'DNB Livsforsikring'!C10+'DNB Livsforsikring'!C29+'DNB Livsforsikring'!C37+'DNB Livsforsikring'!C87+'DNB Livsforsikring'!C135</f>
        <v>198989780.16319001</v>
      </c>
      <c r="I11" s="104">
        <f t="shared" si="7"/>
        <v>-1</v>
      </c>
      <c r="J11" s="361">
        <f t="shared" si="8"/>
        <v>19.197309002726527</v>
      </c>
      <c r="K11" s="87" t="s">
        <v>140</v>
      </c>
      <c r="L11" s="222">
        <f t="shared" ca="1" si="1"/>
        <v>0</v>
      </c>
      <c r="M11" s="220">
        <f t="shared" ca="1" si="2"/>
        <v>0</v>
      </c>
      <c r="N11" s="222">
        <f t="shared" ca="1" si="3"/>
        <v>0</v>
      </c>
      <c r="O11" s="220">
        <f t="shared" ca="1" si="4"/>
        <v>0</v>
      </c>
    </row>
    <row r="12" spans="1:16" ht="18.75" x14ac:dyDescent="0.3">
      <c r="A12" s="192" t="s">
        <v>86</v>
      </c>
      <c r="B12" s="176">
        <f>'Eika Forsikring AS'!B7+'Eika Forsikring AS'!B22+'Eika Forsikring AS'!B36+'Eika Forsikring AS'!B47+'Eika Forsikring AS'!B66+'Eika Forsikring AS'!B134</f>
        <v>228170</v>
      </c>
      <c r="C12" s="176">
        <f>'Eika Forsikring AS'!C7+'Eika Forsikring AS'!C22+'Eika Forsikring AS'!C36+'Eika Forsikring AS'!C47+'Eika Forsikring AS'!C66+'Eika Forsikring AS'!C134</f>
        <v>252371</v>
      </c>
      <c r="D12" s="104">
        <f t="shared" si="5"/>
        <v>10.6</v>
      </c>
      <c r="E12" s="361">
        <f t="shared" si="6"/>
        <v>0.479522071984047</v>
      </c>
      <c r="F12" s="103"/>
      <c r="G12" s="176">
        <f>'Eika Forsikring AS'!B10+'Eika Forsikring AS'!B29+'Eika Forsikring AS'!B37+'Eika Forsikring AS'!B87+'Eika Forsikring AS'!B135</f>
        <v>0</v>
      </c>
      <c r="H12" s="176">
        <f>'Eika Forsikring AS'!C10+'Eika Forsikring AS'!C29+'Eika Forsikring AS'!C37+'Eika Forsikring AS'!C87+'Eika Forsikring AS'!C135</f>
        <v>0</v>
      </c>
      <c r="I12" s="104"/>
      <c r="J12" s="361">
        <f t="shared" si="8"/>
        <v>0</v>
      </c>
      <c r="K12" s="87" t="s">
        <v>148</v>
      </c>
      <c r="L12" s="222">
        <f t="shared" ca="1" si="1"/>
        <v>0</v>
      </c>
      <c r="M12" s="220">
        <f t="shared" ca="1" si="2"/>
        <v>0</v>
      </c>
      <c r="N12" s="222">
        <f t="shared" ca="1" si="3"/>
        <v>0</v>
      </c>
      <c r="O12" s="220">
        <f t="shared" ca="1" si="4"/>
        <v>0</v>
      </c>
    </row>
    <row r="13" spans="1:16" ht="18.75" x14ac:dyDescent="0.3">
      <c r="A13" s="192" t="s">
        <v>87</v>
      </c>
      <c r="B13" s="177">
        <f>'Frende Livsforsikring'!B7+'Frende Livsforsikring'!B22+'Frende Livsforsikring'!B36+'Frende Livsforsikring'!B47+'Frende Livsforsikring'!B66+'Frende Livsforsikring'!B134</f>
        <v>463177</v>
      </c>
      <c r="C13" s="177">
        <f>'Frende Livsforsikring'!C7+'Frende Livsforsikring'!C22+'Frende Livsforsikring'!C36+'Frende Livsforsikring'!C47+'Frende Livsforsikring'!C66+'Frende Livsforsikring'!C134</f>
        <v>491735</v>
      </c>
      <c r="D13" s="104">
        <f t="shared" si="5"/>
        <v>6.2</v>
      </c>
      <c r="E13" s="361">
        <f t="shared" si="6"/>
        <v>0.93432995893773596</v>
      </c>
      <c r="F13" s="103"/>
      <c r="G13" s="176">
        <f>'Frende Livsforsikring'!B10+'Frende Livsforsikring'!B29+'Frende Livsforsikring'!B37+'Frende Livsforsikring'!B87+'Frende Livsforsikring'!B135</f>
        <v>833959.8</v>
      </c>
      <c r="H13" s="176">
        <f>'Frende Livsforsikring'!C10+'Frende Livsforsikring'!C29+'Frende Livsforsikring'!C37+'Frende Livsforsikring'!C87+'Frende Livsforsikring'!C135</f>
        <v>950096</v>
      </c>
      <c r="I13" s="104">
        <f t="shared" si="7"/>
        <v>13.9</v>
      </c>
      <c r="J13" s="361">
        <f t="shared" si="8"/>
        <v>9.1659413258794314E-2</v>
      </c>
      <c r="K13" s="87" t="s">
        <v>141</v>
      </c>
      <c r="L13" s="222">
        <f t="shared" ca="1" si="1"/>
        <v>0</v>
      </c>
      <c r="M13" s="220">
        <f t="shared" ca="1" si="2"/>
        <v>0</v>
      </c>
      <c r="N13" s="222">
        <f t="shared" ca="1" si="3"/>
        <v>0</v>
      </c>
      <c r="O13" s="220">
        <f t="shared" ca="1" si="4"/>
        <v>0</v>
      </c>
    </row>
    <row r="14" spans="1:16" ht="18.75" x14ac:dyDescent="0.3">
      <c r="A14" s="192" t="s">
        <v>88</v>
      </c>
      <c r="B14" s="176">
        <f>'Frende Skadeforsikring'!B7+'Frende Skadeforsikring'!B22+'Frende Skadeforsikring'!B36+'Frende Skadeforsikring'!B47+'Frende Skadeforsikring'!B66+'Frende Skadeforsikring'!B134</f>
        <v>6101</v>
      </c>
      <c r="C14" s="176">
        <f>'Frende Skadeforsikring'!C7+'Frende Skadeforsikring'!C22+'Frende Skadeforsikring'!C36+'Frende Skadeforsikring'!C47+'Frende Skadeforsikring'!C66+'Frende Skadeforsikring'!C134</f>
        <v>6362.2570000000096</v>
      </c>
      <c r="D14" s="104">
        <f t="shared" si="5"/>
        <v>4.3</v>
      </c>
      <c r="E14" s="361">
        <f t="shared" si="6"/>
        <v>1.2088721204635286E-2</v>
      </c>
      <c r="F14" s="103"/>
      <c r="G14" s="176">
        <f>'Frende Skadeforsikring'!B10+'Frende Skadeforsikring'!B29+'Frende Skadeforsikring'!B37+'Frende Skadeforsikring'!B87+'Frende Skadeforsikring'!B135</f>
        <v>0</v>
      </c>
      <c r="H14" s="176">
        <f>'Frende Skadeforsikring'!C10+'Frende Skadeforsikring'!C29+'Frende Skadeforsikring'!C37+'Frende Skadeforsikring'!C87+'Frende Skadeforsikring'!C135</f>
        <v>0</v>
      </c>
      <c r="I14" s="104"/>
      <c r="J14" s="361">
        <f t="shared" si="8"/>
        <v>0</v>
      </c>
      <c r="K14" s="87" t="s">
        <v>149</v>
      </c>
      <c r="L14" s="222">
        <f t="shared" ca="1" si="1"/>
        <v>0</v>
      </c>
      <c r="M14" s="220">
        <f t="shared" ca="1" si="2"/>
        <v>0</v>
      </c>
      <c r="N14" s="222">
        <f t="shared" ca="1" si="3"/>
        <v>0</v>
      </c>
      <c r="O14" s="220">
        <f t="shared" ca="1" si="4"/>
        <v>0</v>
      </c>
    </row>
    <row r="15" spans="1:16" ht="18.75" x14ac:dyDescent="0.3">
      <c r="A15" s="192" t="s">
        <v>89</v>
      </c>
      <c r="B15" s="176">
        <f>'Gjensidige Forsikring'!B7+'Gjensidige Forsikring'!B22+'Gjensidige Forsikring'!B36+'Gjensidige Forsikring'!B47+'Gjensidige Forsikring'!B66+'Gjensidige Forsikring'!B134</f>
        <v>1376815</v>
      </c>
      <c r="C15" s="176">
        <f>'Gjensidige Forsikring'!C7+'Gjensidige Forsikring'!C22+'Gjensidige Forsikring'!C36+'Gjensidige Forsikring'!C47+'Gjensidige Forsikring'!C66+'Gjensidige Forsikring'!C134</f>
        <v>1365659</v>
      </c>
      <c r="D15" s="104">
        <f t="shared" si="5"/>
        <v>-0.8</v>
      </c>
      <c r="E15" s="361">
        <f t="shared" si="6"/>
        <v>2.5948450230163593</v>
      </c>
      <c r="F15" s="103"/>
      <c r="G15" s="176">
        <f>'Gjensidige Forsikring'!B10+'Gjensidige Forsikring'!B29+'Gjensidige Forsikring'!B37+'Gjensidige Forsikring'!B87+'Gjensidige Forsikring'!B135</f>
        <v>0</v>
      </c>
      <c r="H15" s="176">
        <f>'Gjensidige Forsikring'!C10+'Gjensidige Forsikring'!C29+'Gjensidige Forsikring'!C37+'Gjensidige Forsikring'!C87+'Gjensidige Forsikring'!C135</f>
        <v>0</v>
      </c>
      <c r="I15" s="104"/>
      <c r="J15" s="361">
        <f t="shared" si="8"/>
        <v>0</v>
      </c>
      <c r="K15" s="87" t="s">
        <v>142</v>
      </c>
      <c r="L15" s="222">
        <f t="shared" ca="1" si="1"/>
        <v>0</v>
      </c>
      <c r="M15" s="220">
        <f t="shared" ca="1" si="2"/>
        <v>0</v>
      </c>
      <c r="N15" s="222">
        <f t="shared" ca="1" si="3"/>
        <v>0</v>
      </c>
      <c r="O15" s="220">
        <f t="shared" ca="1" si="4"/>
        <v>0</v>
      </c>
    </row>
    <row r="16" spans="1:16" ht="18.75" x14ac:dyDescent="0.3">
      <c r="A16" s="192" t="s">
        <v>90</v>
      </c>
      <c r="B16" s="176">
        <f>'Gjensidige Pensjon'!B7+'Gjensidige Pensjon'!B22+'Gjensidige Pensjon'!B36+'Gjensidige Pensjon'!B47+'Gjensidige Pensjon'!B66+'Gjensidige Pensjon'!B134</f>
        <v>448350</v>
      </c>
      <c r="C16" s="176">
        <f>'Gjensidige Pensjon'!C7+'Gjensidige Pensjon'!C22+'Gjensidige Pensjon'!C36+'Gjensidige Pensjon'!C47+'Gjensidige Pensjon'!C66+'Gjensidige Pensjon'!C134</f>
        <v>495734</v>
      </c>
      <c r="D16" s="104">
        <f t="shared" si="5"/>
        <v>10.6</v>
      </c>
      <c r="E16" s="361">
        <f t="shared" si="6"/>
        <v>0.94192833104017326</v>
      </c>
      <c r="F16" s="103"/>
      <c r="G16" s="176">
        <f>'Gjensidige Pensjon'!B10+'Gjensidige Pensjon'!B29+'Gjensidige Pensjon'!B37+'Gjensidige Pensjon'!B87+'Gjensidige Pensjon'!B135</f>
        <v>6474253</v>
      </c>
      <c r="H16" s="176">
        <f>'Gjensidige Pensjon'!C10+'Gjensidige Pensjon'!C29+'Gjensidige Pensjon'!C37+'Gjensidige Pensjon'!C87+'Gjensidige Pensjon'!C135</f>
        <v>7082534</v>
      </c>
      <c r="I16" s="104">
        <f t="shared" si="7"/>
        <v>9.4</v>
      </c>
      <c r="J16" s="361">
        <f t="shared" si="8"/>
        <v>0.68327928001534743</v>
      </c>
      <c r="K16" s="87" t="s">
        <v>150</v>
      </c>
      <c r="L16" s="222">
        <f t="shared" ca="1" si="1"/>
        <v>0</v>
      </c>
      <c r="M16" s="220">
        <f t="shared" ca="1" si="2"/>
        <v>0</v>
      </c>
      <c r="N16" s="222">
        <f t="shared" ca="1" si="3"/>
        <v>0</v>
      </c>
      <c r="O16" s="220">
        <f t="shared" ca="1" si="4"/>
        <v>0</v>
      </c>
    </row>
    <row r="17" spans="1:21" ht="18.75" x14ac:dyDescent="0.3">
      <c r="A17" s="192" t="s">
        <v>91</v>
      </c>
      <c r="B17" s="176">
        <f>'Handelsbanken Liv'!B7+'Handelsbanken Liv'!B22+'Handelsbanken Liv'!B36+'Handelsbanken Liv'!B47+'Handelsbanken Liv'!B66+'Handelsbanken Liv'!B134</f>
        <v>27672</v>
      </c>
      <c r="C17" s="176">
        <f>'Handelsbanken Liv'!C7+'Handelsbanken Liv'!C22+'Handelsbanken Liv'!C36+'Handelsbanken Liv'!C47+'Handelsbanken Liv'!C66+'Handelsbanken Liv'!C134</f>
        <v>26625.80341</v>
      </c>
      <c r="D17" s="104">
        <f t="shared" si="5"/>
        <v>-3.8</v>
      </c>
      <c r="E17" s="361">
        <f t="shared" si="6"/>
        <v>5.0590838168423094E-2</v>
      </c>
      <c r="F17" s="103"/>
      <c r="G17" s="176">
        <f>'Handelsbanken Liv'!B10+'Handelsbanken Liv'!B29+'Handelsbanken Liv'!B37+'Handelsbanken Liv'!B87+'Handelsbanken Liv'!B135</f>
        <v>22959</v>
      </c>
      <c r="H17" s="176">
        <f>'Handelsbanken Liv'!C10+'Handelsbanken Liv'!C29+'Handelsbanken Liv'!C37+'Handelsbanken Liv'!C87+'Handelsbanken Liv'!C135</f>
        <v>28422.660874665598</v>
      </c>
      <c r="I17" s="104">
        <f t="shared" si="7"/>
        <v>23.8</v>
      </c>
      <c r="J17" s="361">
        <f t="shared" si="8"/>
        <v>2.7420433503830542E-3</v>
      </c>
      <c r="K17" s="139"/>
      <c r="L17" s="222">
        <f t="shared" ca="1" si="1"/>
        <v>0</v>
      </c>
      <c r="M17" s="220">
        <f t="shared" ca="1" si="2"/>
        <v>0</v>
      </c>
      <c r="N17" s="222">
        <f t="shared" ca="1" si="3"/>
        <v>0</v>
      </c>
      <c r="O17" s="220">
        <f t="shared" ca="1" si="4"/>
        <v>0</v>
      </c>
    </row>
    <row r="18" spans="1:21" ht="18.75" x14ac:dyDescent="0.3">
      <c r="A18" s="192" t="s">
        <v>92</v>
      </c>
      <c r="B18" s="176">
        <f>'If Skadeforsikring NUF'!B7+'If Skadeforsikring NUF'!B22+'If Skadeforsikring NUF'!B36+'If Skadeforsikring NUF'!B47+'If Skadeforsikring NUF'!B66+'If Skadeforsikring NUF'!B134</f>
        <v>354933.20600000001</v>
      </c>
      <c r="C18" s="176">
        <f>'If Skadeforsikring NUF'!C7+'If Skadeforsikring NUF'!C22+'If Skadeforsikring NUF'!C36+'If Skadeforsikring NUF'!C47+'If Skadeforsikring NUF'!C66+'If Skadeforsikring NUF'!C134</f>
        <v>368992.59400000004</v>
      </c>
      <c r="D18" s="104">
        <f t="shared" si="5"/>
        <v>4</v>
      </c>
      <c r="E18" s="361">
        <f t="shared" si="6"/>
        <v>0.70111103582284917</v>
      </c>
      <c r="F18" s="103"/>
      <c r="G18" s="176">
        <f>'If Skadeforsikring NUF'!B10+'If Skadeforsikring NUF'!B29+'If Skadeforsikring NUF'!B37+'If Skadeforsikring NUF'!B87+'If Skadeforsikring NUF'!B135</f>
        <v>0</v>
      </c>
      <c r="H18" s="176">
        <f>'If Skadeforsikring NUF'!C10+'If Skadeforsikring NUF'!C29+'If Skadeforsikring NUF'!C37+'If Skadeforsikring NUF'!C87+'If Skadeforsikring NUF'!C135</f>
        <v>0</v>
      </c>
      <c r="I18" s="104"/>
      <c r="J18" s="361">
        <f t="shared" si="8"/>
        <v>0</v>
      </c>
      <c r="K18" s="139"/>
      <c r="L18" s="222">
        <f t="shared" ca="1" si="1"/>
        <v>0</v>
      </c>
      <c r="M18" s="220">
        <f t="shared" ca="1" si="2"/>
        <v>0</v>
      </c>
      <c r="N18" s="222">
        <f t="shared" ca="1" si="3"/>
        <v>0</v>
      </c>
      <c r="O18" s="220">
        <f t="shared" ca="1" si="4"/>
        <v>0</v>
      </c>
    </row>
    <row r="19" spans="1:21" ht="18.75" x14ac:dyDescent="0.3">
      <c r="A19" s="192" t="s">
        <v>63</v>
      </c>
      <c r="B19" s="176">
        <f>KLP!B7+KLP!B22+KLP!B36+KLP!B47+KLP!B66+KLP!B134</f>
        <v>31138078.29101</v>
      </c>
      <c r="C19" s="176">
        <f>KLP!C7+KLP!C22+KLP!C36+KLP!C47+KLP!C66+KLP!C134</f>
        <v>32032545.142410003</v>
      </c>
      <c r="D19" s="104">
        <f t="shared" si="5"/>
        <v>2.9</v>
      </c>
      <c r="E19" s="361">
        <f t="shared" si="6"/>
        <v>60.864015348875128</v>
      </c>
      <c r="F19" s="103"/>
      <c r="G19" s="176">
        <f>KLP!B10+KLP!B29+KLP!B37+KLP!B87+KLP!B135</f>
        <v>469261417.09344</v>
      </c>
      <c r="H19" s="176">
        <f>KLP!C10+KLP!C29+KLP!C37+KLP!C87+KLP!C135</f>
        <v>497212120.95908999</v>
      </c>
      <c r="I19" s="104">
        <f t="shared" si="7"/>
        <v>6</v>
      </c>
      <c r="J19" s="361">
        <f t="shared" si="8"/>
        <v>47.967964576496328</v>
      </c>
      <c r="K19" s="139"/>
      <c r="L19" s="222">
        <f t="shared" ca="1" si="1"/>
        <v>0</v>
      </c>
      <c r="M19" s="220">
        <f t="shared" ca="1" si="2"/>
        <v>0</v>
      </c>
      <c r="N19" s="222">
        <f t="shared" ca="1" si="3"/>
        <v>0</v>
      </c>
      <c r="O19" s="220">
        <f t="shared" ca="1" si="4"/>
        <v>0</v>
      </c>
    </row>
    <row r="20" spans="1:21" ht="18.75" x14ac:dyDescent="0.3">
      <c r="A20" s="108" t="s">
        <v>93</v>
      </c>
      <c r="B20" s="176">
        <f>'KLP Bedriftspensjon AS'!B7+'KLP Bedriftspensjon AS'!B22+'KLP Bedriftspensjon AS'!B36+'KLP Bedriftspensjon AS'!B47+'KLP Bedriftspensjon AS'!B66+'KLP Bedriftspensjon AS'!B134</f>
        <v>66367</v>
      </c>
      <c r="C20" s="176">
        <f>'KLP Bedriftspensjon AS'!C7+'KLP Bedriftspensjon AS'!C22+'KLP Bedriftspensjon AS'!C36+'KLP Bedriftspensjon AS'!C47+'KLP Bedriftspensjon AS'!C66+'KLP Bedriftspensjon AS'!C134</f>
        <v>74207</v>
      </c>
      <c r="D20" s="104">
        <f t="shared" si="5"/>
        <v>11.8</v>
      </c>
      <c r="E20" s="361">
        <f t="shared" si="6"/>
        <v>0.14099834923870086</v>
      </c>
      <c r="F20" s="103"/>
      <c r="G20" s="176">
        <f>'KLP Bedriftspensjon AS'!B10+'KLP Bedriftspensjon AS'!B29+'KLP Bedriftspensjon AS'!B37+'KLP Bedriftspensjon AS'!B87+'KLP Bedriftspensjon AS'!B135</f>
        <v>1682836</v>
      </c>
      <c r="H20" s="176">
        <f>'KLP Bedriftspensjon AS'!C10+'KLP Bedriftspensjon AS'!C29+'KLP Bedriftspensjon AS'!C37+'KLP Bedriftspensjon AS'!C87+'KLP Bedriftspensjon AS'!C135</f>
        <v>1726673</v>
      </c>
      <c r="I20" s="104">
        <f t="shared" si="7"/>
        <v>2.6</v>
      </c>
      <c r="J20" s="361">
        <f t="shared" si="8"/>
        <v>0.16657878158607356</v>
      </c>
      <c r="K20" s="139"/>
      <c r="L20" s="222">
        <f t="shared" ca="1" si="1"/>
        <v>0</v>
      </c>
      <c r="M20" s="220">
        <f t="shared" ca="1" si="2"/>
        <v>0</v>
      </c>
      <c r="N20" s="222">
        <f t="shared" ca="1" si="3"/>
        <v>0</v>
      </c>
      <c r="O20" s="220">
        <f t="shared" ca="1" si="4"/>
        <v>0</v>
      </c>
    </row>
    <row r="21" spans="1:21" ht="18.75" x14ac:dyDescent="0.3">
      <c r="A21" s="108" t="s">
        <v>94</v>
      </c>
      <c r="B21" s="176">
        <f>'KLP Skadeforsikring AS'!B7+'KLP Skadeforsikring AS'!B22+'KLP Skadeforsikring AS'!B36+'KLP Skadeforsikring AS'!B47+'KLP Skadeforsikring AS'!B66+'KLP Skadeforsikring AS'!B134</f>
        <v>126445.98299999999</v>
      </c>
      <c r="C21" s="176">
        <f>'KLP Skadeforsikring AS'!C7+'KLP Skadeforsikring AS'!C22+'KLP Skadeforsikring AS'!C36+'KLP Skadeforsikring AS'!C47+'KLP Skadeforsikring AS'!C66+'KLP Skadeforsikring AS'!C134</f>
        <v>163742.53900000002</v>
      </c>
      <c r="D21" s="104">
        <f t="shared" si="5"/>
        <v>29.5</v>
      </c>
      <c r="E21" s="361">
        <f t="shared" si="6"/>
        <v>0.3111219655713558</v>
      </c>
      <c r="F21" s="103"/>
      <c r="G21" s="176">
        <f>'KLP Skadeforsikring AS'!B10+'KLP Skadeforsikring AS'!B29+'KLP Skadeforsikring AS'!B37+'KLP Skadeforsikring AS'!B87+'KLP Skadeforsikring AS'!B135</f>
        <v>17207.845999999998</v>
      </c>
      <c r="H21" s="176">
        <f>'KLP Skadeforsikring AS'!C10+'KLP Skadeforsikring AS'!C29+'KLP Skadeforsikring AS'!C37+'KLP Skadeforsikring AS'!C87+'KLP Skadeforsikring AS'!C135</f>
        <v>34480.175000000003</v>
      </c>
      <c r="I21" s="104">
        <f t="shared" si="7"/>
        <v>100.4</v>
      </c>
      <c r="J21" s="361">
        <f t="shared" si="8"/>
        <v>3.3264350229456267E-3</v>
      </c>
      <c r="K21" s="139"/>
      <c r="L21" s="222">
        <f t="shared" ca="1" si="1"/>
        <v>0</v>
      </c>
      <c r="M21" s="220">
        <f t="shared" ca="1" si="2"/>
        <v>0</v>
      </c>
      <c r="N21" s="222">
        <f t="shared" ca="1" si="3"/>
        <v>0</v>
      </c>
      <c r="O21" s="220">
        <f t="shared" ca="1" si="4"/>
        <v>0</v>
      </c>
    </row>
    <row r="22" spans="1:21" ht="18.75" x14ac:dyDescent="0.3">
      <c r="A22" s="108" t="s">
        <v>423</v>
      </c>
      <c r="B22" s="176">
        <f>'Landkreditt Forsikring'!B7+'Landkreditt Forsikring'!B22+'Landkreditt Forsikring'!B36+'Landkreditt Forsikring'!B47+'Landkreditt Forsikring'!B66+'Landkreditt Forsikring'!B134</f>
        <v>24377</v>
      </c>
      <c r="C22" s="176">
        <f>'Landkreditt Forsikring'!C7+'Landkreditt Forsikring'!C22+'Landkreditt Forsikring'!C36+'Landkreditt Forsikring'!C47+'Landkreditt Forsikring'!C66+'Landkreditt Forsikring'!C134</f>
        <v>28648</v>
      </c>
      <c r="D22" s="104">
        <f t="shared" si="5"/>
        <v>17.5</v>
      </c>
      <c r="E22" s="361">
        <f t="shared" si="6"/>
        <v>5.4433149284977195E-2</v>
      </c>
      <c r="F22" s="103"/>
      <c r="G22" s="176">
        <f>'Landkreditt Forsikring'!B10+'Landkreditt Forsikring'!B29+'Landkreditt Forsikring'!B37+'Landkreditt Forsikring'!B87+'Landkreditt Forsikring'!B135</f>
        <v>0</v>
      </c>
      <c r="H22" s="176">
        <f>'Landkreditt Forsikring'!C10+'Landkreditt Forsikring'!C29+'Landkreditt Forsikring'!C37+'Landkreditt Forsikring'!C87+'Landkreditt Forsikring'!C135</f>
        <v>0</v>
      </c>
      <c r="I22" s="104"/>
      <c r="J22" s="361">
        <f t="shared" si="8"/>
        <v>0</v>
      </c>
      <c r="K22" s="139"/>
      <c r="L22" s="222">
        <f t="shared" ca="1" si="1"/>
        <v>0</v>
      </c>
      <c r="M22" s="220">
        <f t="shared" ca="1" si="2"/>
        <v>0</v>
      </c>
      <c r="N22" s="222">
        <f t="shared" ca="1" si="3"/>
        <v>0</v>
      </c>
      <c r="O22" s="220">
        <f t="shared" ca="1" si="4"/>
        <v>0</v>
      </c>
    </row>
    <row r="23" spans="1:21" ht="18.75" x14ac:dyDescent="0.3">
      <c r="A23" s="192" t="s">
        <v>405</v>
      </c>
      <c r="B23" s="176">
        <f>Insr!B7+Insr!B22+Insr!B36+Insr!B47+Insr!B66+Insr!B134</f>
        <v>1079</v>
      </c>
      <c r="C23" s="176">
        <f>Insr!C7+Insr!C22+Insr!C36+Insr!C47+Insr!C66+Insr!C134</f>
        <v>12781.715</v>
      </c>
      <c r="D23" s="104">
        <f t="shared" si="5"/>
        <v>999</v>
      </c>
      <c r="E23" s="361">
        <f t="shared" si="6"/>
        <v>2.428612820137644E-2</v>
      </c>
      <c r="F23" s="103"/>
      <c r="G23" s="176">
        <f>Insr!B10+Insr!B29+Insr!B37+Insr!B87+Insr!B135</f>
        <v>0</v>
      </c>
      <c r="H23" s="176">
        <f>Insr!C10+Insr!C29+Insr!C37+Insr!C87+Insr!C135</f>
        <v>3921.4128289581399</v>
      </c>
      <c r="I23" s="104" t="str">
        <f t="shared" si="7"/>
        <v xml:space="preserve">    ---- </v>
      </c>
      <c r="J23" s="361">
        <f t="shared" si="8"/>
        <v>3.7831376939573665E-4</v>
      </c>
      <c r="K23" s="139"/>
      <c r="L23" s="222">
        <f t="shared" ca="1" si="1"/>
        <v>0</v>
      </c>
      <c r="M23" s="220">
        <f t="shared" ca="1" si="2"/>
        <v>0</v>
      </c>
      <c r="N23" s="222">
        <f t="shared" ca="1" si="3"/>
        <v>0</v>
      </c>
      <c r="O23" s="220">
        <f t="shared" ca="1" si="4"/>
        <v>0</v>
      </c>
    </row>
    <row r="24" spans="1:21" ht="18.75" x14ac:dyDescent="0.3">
      <c r="A24" s="108" t="s">
        <v>95</v>
      </c>
      <c r="B24" s="176">
        <f>'Nordea Liv '!B7+'Nordea Liv '!B22+'Nordea Liv '!B36+'Nordea Liv '!B47+'Nordea Liv '!B66+'Nordea Liv '!B134</f>
        <v>1223827.0734030721</v>
      </c>
      <c r="C24" s="176">
        <f>'Nordea Liv '!C7+'Nordea Liv '!C22+'Nordea Liv '!C36+'Nordea Liv '!C47+'Nordea Liv '!C66+'Nordea Liv '!C134</f>
        <v>1234767.86646463</v>
      </c>
      <c r="D24" s="104">
        <f t="shared" si="5"/>
        <v>0.9</v>
      </c>
      <c r="E24" s="361">
        <f t="shared" si="6"/>
        <v>2.3461429631234987</v>
      </c>
      <c r="F24" s="103"/>
      <c r="G24" s="177">
        <f>'Nordea Liv '!B10+'Nordea Liv '!B29+'Nordea Liv '!B37+'Nordea Liv '!B87+'Nordea Liv '!B135</f>
        <v>50214570.000432804</v>
      </c>
      <c r="H24" s="177">
        <f>'Nordea Liv '!C10+'Nordea Liv '!C29+'Nordea Liv '!C37+'Nordea Liv '!C87+'Nordea Liv '!C135</f>
        <v>51315530.000145264</v>
      </c>
      <c r="I24" s="104">
        <f t="shared" si="7"/>
        <v>2.2000000000000002</v>
      </c>
      <c r="J24" s="361">
        <f t="shared" si="8"/>
        <v>4.950606434378602</v>
      </c>
      <c r="K24" s="139"/>
      <c r="L24" s="222">
        <f t="shared" ca="1" si="1"/>
        <v>0</v>
      </c>
      <c r="M24" s="220">
        <f t="shared" ca="1" si="2"/>
        <v>0</v>
      </c>
      <c r="N24" s="222">
        <f t="shared" ca="1" si="3"/>
        <v>0</v>
      </c>
      <c r="O24" s="220">
        <f t="shared" ca="1" si="4"/>
        <v>0</v>
      </c>
    </row>
    <row r="25" spans="1:21" ht="18.75" x14ac:dyDescent="0.3">
      <c r="A25" s="108" t="s">
        <v>96</v>
      </c>
      <c r="B25" s="176">
        <f>'Oslo Pensjonsforsikring'!B7+'Oslo Pensjonsforsikring'!B22+'Oslo Pensjonsforsikring'!B36+'Oslo Pensjonsforsikring'!B47+'Oslo Pensjonsforsikring'!B66+'Oslo Pensjonsforsikring'!B134</f>
        <v>4003368.5150000001</v>
      </c>
      <c r="C25" s="176">
        <f>'Oslo Pensjonsforsikring'!C7+'Oslo Pensjonsforsikring'!C22+'Oslo Pensjonsforsikring'!C36+'Oslo Pensjonsforsikring'!C47+'Oslo Pensjonsforsikring'!C66+'Oslo Pensjonsforsikring'!C134</f>
        <v>4463574</v>
      </c>
      <c r="D25" s="104">
        <f t="shared" si="5"/>
        <v>11.5</v>
      </c>
      <c r="E25" s="361">
        <f t="shared" si="6"/>
        <v>8.4810943132694359</v>
      </c>
      <c r="F25" s="103"/>
      <c r="G25" s="176">
        <f>'Oslo Pensjonsforsikring'!B10+'Oslo Pensjonsforsikring'!B29+'Oslo Pensjonsforsikring'!B37+'Oslo Pensjonsforsikring'!B87+'Oslo Pensjonsforsikring'!B135</f>
        <v>74741399.903610006</v>
      </c>
      <c r="H25" s="176">
        <f>'Oslo Pensjonsforsikring'!C10+'Oslo Pensjonsforsikring'!C29+'Oslo Pensjonsforsikring'!C37+'Oslo Pensjonsforsikring'!C87+'Oslo Pensjonsforsikring'!C135</f>
        <v>76175866</v>
      </c>
      <c r="I25" s="104">
        <f t="shared" si="7"/>
        <v>1.9</v>
      </c>
      <c r="J25" s="361">
        <f t="shared" si="8"/>
        <v>7.3489786106251778</v>
      </c>
      <c r="K25" s="139"/>
      <c r="L25" s="222">
        <f t="shared" ca="1" si="1"/>
        <v>0</v>
      </c>
      <c r="M25" s="220">
        <f t="shared" ca="1" si="2"/>
        <v>0</v>
      </c>
      <c r="N25" s="222">
        <f t="shared" ca="1" si="3"/>
        <v>0</v>
      </c>
      <c r="O25" s="220">
        <f t="shared" ca="1" si="4"/>
        <v>0</v>
      </c>
    </row>
    <row r="26" spans="1:21" ht="18.75" x14ac:dyDescent="0.3">
      <c r="A26" s="108" t="s">
        <v>367</v>
      </c>
      <c r="B26" s="176">
        <f>'Protector Forsikring'!B7+'Protector Forsikring'!B22+'Protector Forsikring'!B36+'Protector Forsikring'!B47+'Protector Forsikring'!B66+'Protector Forsikring'!B134</f>
        <v>299297.71739252901</v>
      </c>
      <c r="C26" s="176">
        <f>'Protector Forsikring'!C7+'Protector Forsikring'!C22+'Protector Forsikring'!C36+'Protector Forsikring'!C47+'Protector Forsikring'!C66+'Protector Forsikring'!C134</f>
        <v>298592.88391241134</v>
      </c>
      <c r="D26" s="104">
        <f t="shared" si="5"/>
        <v>-0.2</v>
      </c>
      <c r="E26" s="361">
        <f t="shared" si="6"/>
        <v>0.5673467964757104</v>
      </c>
      <c r="F26" s="103"/>
      <c r="G26" s="176">
        <f>'Protector Forsikring'!B10+'Protector Forsikring'!B29+'Protector Forsikring'!B37+'Protector Forsikring'!B87+'Protector Forsikring'!B135</f>
        <v>0</v>
      </c>
      <c r="H26" s="176">
        <f>'Protector Forsikring'!C10+'Protector Forsikring'!C29+'Protector Forsikring'!C37+'Protector Forsikring'!C87+'Protector Forsikring'!C135</f>
        <v>0</v>
      </c>
      <c r="I26" s="104"/>
      <c r="J26" s="361">
        <f t="shared" si="8"/>
        <v>0</v>
      </c>
      <c r="K26" s="139"/>
      <c r="L26" s="222">
        <f t="shared" ca="1" si="1"/>
        <v>0</v>
      </c>
      <c r="M26" s="220">
        <f t="shared" ca="1" si="2"/>
        <v>0</v>
      </c>
      <c r="N26" s="222">
        <f t="shared" ca="1" si="3"/>
        <v>0</v>
      </c>
      <c r="O26" s="220">
        <f t="shared" ca="1" si="4"/>
        <v>0</v>
      </c>
    </row>
    <row r="27" spans="1:21" ht="18.75" x14ac:dyDescent="0.3">
      <c r="A27" s="192" t="s">
        <v>68</v>
      </c>
      <c r="B27" s="176">
        <f>'Sparebank 1'!B7+'Sparebank 1'!B22+'Sparebank 1'!B36+'Sparebank 1'!B47+'Sparebank 1'!B66+'Sparebank 1'!B134</f>
        <v>2103059.9592800001</v>
      </c>
      <c r="C27" s="176">
        <f>'Sparebank 1'!C7+'Sparebank 1'!C22+'Sparebank 1'!C36+'Sparebank 1'!C47+'Sparebank 1'!C66+'Sparebank 1'!C134</f>
        <v>2285218.03632</v>
      </c>
      <c r="D27" s="104">
        <f t="shared" si="5"/>
        <v>8.6999999999999993</v>
      </c>
      <c r="E27" s="361">
        <f t="shared" si="6"/>
        <v>4.3420697612304169</v>
      </c>
      <c r="F27" s="103"/>
      <c r="G27" s="176">
        <f>'Sparebank 1'!B10+'Sparebank 1'!B29+'Sparebank 1'!B37+'Sparebank 1'!B87+'Sparebank 1'!B135</f>
        <v>19235566.757199999</v>
      </c>
      <c r="H27" s="176">
        <f>'Sparebank 1'!C10+'Sparebank 1'!C29+'Sparebank 1'!C37+'Sparebank 1'!C87+'Sparebank 1'!C135</f>
        <v>20850610.60103</v>
      </c>
      <c r="I27" s="104">
        <f t="shared" si="7"/>
        <v>8.4</v>
      </c>
      <c r="J27" s="361">
        <f t="shared" si="8"/>
        <v>2.0115385537650998</v>
      </c>
      <c r="K27" s="139"/>
      <c r="L27" s="222">
        <f t="shared" ca="1" si="1"/>
        <v>0</v>
      </c>
      <c r="M27" s="220">
        <f t="shared" ca="1" si="2"/>
        <v>0</v>
      </c>
      <c r="N27" s="222">
        <f t="shared" ca="1" si="3"/>
        <v>0</v>
      </c>
      <c r="O27" s="220">
        <f t="shared" ca="1" si="4"/>
        <v>0</v>
      </c>
    </row>
    <row r="28" spans="1:21" ht="18.75" x14ac:dyDescent="0.3">
      <c r="A28" s="192" t="s">
        <v>97</v>
      </c>
      <c r="B28" s="176">
        <f>'Storebrand Livsforsikring'!B7+'Storebrand Livsforsikring'!B22+'Storebrand Livsforsikring'!B36+'Storebrand Livsforsikring'!B47+'Storebrand Livsforsikring'!B66+'Storebrand Livsforsikring'!B134</f>
        <v>4517436.4090000009</v>
      </c>
      <c r="C28" s="176">
        <f>'Storebrand Livsforsikring'!C7+'Storebrand Livsforsikring'!C22+'Storebrand Livsforsikring'!C36+'Storebrand Livsforsikring'!C47+'Storebrand Livsforsikring'!C66+'Storebrand Livsforsikring'!C134</f>
        <v>4417928.83</v>
      </c>
      <c r="D28" s="104">
        <f t="shared" si="5"/>
        <v>-2.2000000000000002</v>
      </c>
      <c r="E28" s="361">
        <f t="shared" si="6"/>
        <v>8.3943653844524793</v>
      </c>
      <c r="F28" s="103"/>
      <c r="G28" s="176">
        <f>'Storebrand Livsforsikring'!B10+'Storebrand Livsforsikring'!B29+'Storebrand Livsforsikring'!B37+'Storebrand Livsforsikring'!B87+'Storebrand Livsforsikring'!B135</f>
        <v>181362430.31399998</v>
      </c>
      <c r="H28" s="176">
        <f>'Storebrand Livsforsikring'!C10+'Storebrand Livsforsikring'!C29+'Storebrand Livsforsikring'!C37+'Storebrand Livsforsikring'!C87+'Storebrand Livsforsikring'!C135</f>
        <v>181032450.26100001</v>
      </c>
      <c r="I28" s="104">
        <f t="shared" si="7"/>
        <v>-0.2</v>
      </c>
      <c r="J28" s="361">
        <f t="shared" si="8"/>
        <v>17.464896359657473</v>
      </c>
      <c r="K28" s="139"/>
      <c r="L28" s="222">
        <f t="shared" ca="1" si="1"/>
        <v>0</v>
      </c>
      <c r="M28" s="220">
        <f t="shared" ca="1" si="2"/>
        <v>0</v>
      </c>
      <c r="N28" s="222">
        <f t="shared" ca="1" si="3"/>
        <v>0</v>
      </c>
      <c r="O28" s="220">
        <f t="shared" ca="1" si="4"/>
        <v>0</v>
      </c>
    </row>
    <row r="29" spans="1:21" ht="18.75" x14ac:dyDescent="0.3">
      <c r="A29" s="192" t="s">
        <v>98</v>
      </c>
      <c r="B29" s="176">
        <f>'Telenor Forsikring'!B7+'Telenor Forsikring'!B22+'Telenor Forsikring'!B36+'Telenor Forsikring'!B47+'Telenor Forsikring'!B66+'Telenor Forsikring'!B134</f>
        <v>20446</v>
      </c>
      <c r="C29" s="176">
        <f>'Telenor Forsikring'!C7+'Telenor Forsikring'!C22+'Telenor Forsikring'!C36+'Telenor Forsikring'!C47+'Telenor Forsikring'!C66+'Telenor Forsikring'!C134</f>
        <v>0</v>
      </c>
      <c r="D29" s="104">
        <f t="shared" si="5"/>
        <v>-100</v>
      </c>
      <c r="E29" s="361">
        <f t="shared" si="6"/>
        <v>0</v>
      </c>
      <c r="F29" s="103"/>
      <c r="G29" s="176">
        <f>'Telenor Forsikring'!B10+'Telenor Forsikring'!B29+'Telenor Forsikring'!B37+'Telenor Forsikring'!B87+'Telenor Forsikring'!B135</f>
        <v>0</v>
      </c>
      <c r="H29" s="176">
        <f>'Telenor Forsikring'!C10+'Telenor Forsikring'!C29+'Telenor Forsikring'!C37+'Telenor Forsikring'!C87+'Telenor Forsikring'!C135</f>
        <v>0</v>
      </c>
      <c r="I29" s="104"/>
      <c r="J29" s="361">
        <f t="shared" si="8"/>
        <v>0</v>
      </c>
      <c r="K29" s="206"/>
      <c r="L29" s="222">
        <f t="shared" ca="1" si="1"/>
        <v>0</v>
      </c>
      <c r="M29" s="220">
        <f t="shared" ca="1" si="2"/>
        <v>0</v>
      </c>
      <c r="N29" s="222">
        <f t="shared" ca="1" si="3"/>
        <v>0</v>
      </c>
      <c r="O29" s="220">
        <f t="shared" ca="1" si="4"/>
        <v>0</v>
      </c>
    </row>
    <row r="30" spans="1:21" ht="18.75" x14ac:dyDescent="0.3">
      <c r="A30" s="192" t="s">
        <v>99</v>
      </c>
      <c r="B30" s="176">
        <f>'Tryg Forsikring'!B7+'Tryg Forsikring'!B22+'Tryg Forsikring'!B36+'Tryg Forsikring'!B47+'Tryg Forsikring'!B66+'Tryg Forsikring'!B134</f>
        <v>494563</v>
      </c>
      <c r="C30" s="176">
        <f>'Tryg Forsikring'!C7+'Tryg Forsikring'!C22+'Tryg Forsikring'!C36+'Tryg Forsikring'!C47+'Tryg Forsikring'!C66+'Tryg Forsikring'!C134</f>
        <v>577343.84699999995</v>
      </c>
      <c r="D30" s="104">
        <f t="shared" si="5"/>
        <v>16.7</v>
      </c>
      <c r="E30" s="361">
        <f t="shared" si="6"/>
        <v>1.0969925932879792</v>
      </c>
      <c r="F30" s="103"/>
      <c r="G30" s="176">
        <f>'Tryg Forsikring'!B10+'Tryg Forsikring'!B29+'Tryg Forsikring'!B37+'Tryg Forsikring'!B87+'Tryg Forsikring'!B135</f>
        <v>0</v>
      </c>
      <c r="H30" s="176">
        <f>'Tryg Forsikring'!C10+'Tryg Forsikring'!C29+'Tryg Forsikring'!C37+'Tryg Forsikring'!C87+'Tryg Forsikring'!C135</f>
        <v>0</v>
      </c>
      <c r="I30" s="104"/>
      <c r="J30" s="361">
        <f t="shared" si="8"/>
        <v>0</v>
      </c>
      <c r="K30" s="206"/>
      <c r="L30" s="222">
        <f t="shared" ca="1" si="1"/>
        <v>0</v>
      </c>
      <c r="M30" s="220">
        <f t="shared" ca="1" si="2"/>
        <v>0</v>
      </c>
      <c r="N30" s="222">
        <f t="shared" ca="1" si="3"/>
        <v>0</v>
      </c>
      <c r="O30" s="220">
        <f t="shared" ca="1" si="4"/>
        <v>0</v>
      </c>
    </row>
    <row r="31" spans="1:21" s="111" customFormat="1" ht="18.75" x14ac:dyDescent="0.3">
      <c r="A31" s="137" t="s">
        <v>100</v>
      </c>
      <c r="B31" s="178">
        <f>SUM(B9:B30)</f>
        <v>50928950.010085605</v>
      </c>
      <c r="C31" s="241">
        <f>SUM(C9:C30)</f>
        <v>52629694.177747048</v>
      </c>
      <c r="D31" s="110">
        <f t="shared" si="5"/>
        <v>3.3</v>
      </c>
      <c r="E31" s="362">
        <f>SUM(E9:E30)</f>
        <v>100</v>
      </c>
      <c r="F31" s="109"/>
      <c r="G31" s="178">
        <f>SUM(G9:G30)</f>
        <v>1005950836.3366828</v>
      </c>
      <c r="H31" s="178">
        <f>SUM(H9:H30)</f>
        <v>1036550383.8841588</v>
      </c>
      <c r="I31" s="110">
        <f t="shared" si="7"/>
        <v>3</v>
      </c>
      <c r="J31" s="362">
        <f>SUM(J9:J30)</f>
        <v>100</v>
      </c>
      <c r="K31" s="208"/>
      <c r="L31" s="222" t="e">
        <f ca="1">SUM(L9:L30)</f>
        <v>#REF!</v>
      </c>
      <c r="M31" s="220" t="e">
        <f ca="1">SUM(M9:M30)</f>
        <v>#REF!</v>
      </c>
      <c r="N31" s="222" t="e">
        <f ca="1">SUM(N9:N30)</f>
        <v>#REF!</v>
      </c>
      <c r="O31" s="220" t="e">
        <f ca="1">SUM(O9:O30)</f>
        <v>#REF!</v>
      </c>
      <c r="U31" s="204"/>
    </row>
    <row r="32" spans="1:21" ht="18.75" x14ac:dyDescent="0.3">
      <c r="A32" s="86"/>
      <c r="B32" s="176"/>
      <c r="C32" s="139"/>
      <c r="D32" s="104"/>
      <c r="E32" s="361"/>
      <c r="F32" s="103"/>
      <c r="G32" s="176"/>
      <c r="H32" s="103"/>
      <c r="I32" s="104"/>
      <c r="J32" s="361"/>
      <c r="K32" s="206"/>
      <c r="L32" s="219" t="s">
        <v>1</v>
      </c>
      <c r="M32" s="220"/>
      <c r="N32" s="222"/>
      <c r="O32" s="220"/>
    </row>
    <row r="33" spans="1:20" ht="18.75" x14ac:dyDescent="0.3">
      <c r="A33" s="101" t="s">
        <v>1</v>
      </c>
      <c r="B33" s="176"/>
      <c r="C33" s="139"/>
      <c r="D33" s="104"/>
      <c r="E33" s="361"/>
      <c r="F33" s="103"/>
      <c r="G33" s="176"/>
      <c r="H33" s="103"/>
      <c r="I33" s="104"/>
      <c r="J33" s="361"/>
      <c r="K33" s="206"/>
      <c r="L33" s="223">
        <v>2015</v>
      </c>
      <c r="M33" s="224">
        <v>2016</v>
      </c>
      <c r="N33" s="223">
        <v>2015</v>
      </c>
      <c r="O33" s="224">
        <v>2016</v>
      </c>
      <c r="P33" s="87" t="s">
        <v>155</v>
      </c>
    </row>
    <row r="34" spans="1:20" ht="18.75" x14ac:dyDescent="0.3">
      <c r="A34" s="107" t="s">
        <v>84</v>
      </c>
      <c r="B34" s="130">
        <f>'Danica Pensjonsforsikring'!F7+'Danica Pensjonsforsikring'!F22+'Danica Pensjonsforsikring'!F66+'Danica Pensjonsforsikring'!F134</f>
        <v>1378607.102</v>
      </c>
      <c r="C34" s="130">
        <f>'Danica Pensjonsforsikring'!G7+'Danica Pensjonsforsikring'!G22+'Danica Pensjonsforsikring'!G66+'Danica Pensjonsforsikring'!G134</f>
        <v>1462527.3599999999</v>
      </c>
      <c r="D34" s="104">
        <f t="shared" ref="D34:D44" si="9">IF(B34=0, "    ---- ", IF(ABS(ROUND(100/B34*C34-100,1))&lt;999,ROUND(100/B34*C34-100,1),IF(ROUND(100/B34*C34-100,1)&gt;999,999,-999)))</f>
        <v>6.1</v>
      </c>
      <c r="E34" s="361">
        <f t="shared" ref="E34:E43" si="10">100/C$44*C34</f>
        <v>4.588043563449224</v>
      </c>
      <c r="F34" s="103"/>
      <c r="G34" s="176">
        <f>'Danica Pensjonsforsikring'!F10+'Danica Pensjonsforsikring'!F29+'Danica Pensjonsforsikring'!F87+'Danica Pensjonsforsikring'!F135</f>
        <v>17958434.743000001</v>
      </c>
      <c r="H34" s="176">
        <f>'Danica Pensjonsforsikring'!G10+'Danica Pensjonsforsikring'!G29+'Danica Pensjonsforsikring'!G87+'Danica Pensjonsforsikring'!G135</f>
        <v>19693741.598999999</v>
      </c>
      <c r="I34" s="104">
        <f t="shared" ref="I34:I44" si="11">IF(G34=0, "    ---- ", IF(ABS(ROUND(100/G34*H34-100,1))&lt;999,ROUND(100/G34*H34-100,1),IF(ROUND(100/G34*H34-100,1)&gt;999,999,-999)))</f>
        <v>9.6999999999999993</v>
      </c>
      <c r="J34" s="361">
        <f t="shared" ref="J34:J43" si="12">100/H$44*H34</f>
        <v>5.3561441322276089</v>
      </c>
      <c r="K34" s="206" t="s">
        <v>143</v>
      </c>
      <c r="L34" s="222">
        <f t="shared" ref="L34:L43" ca="1" si="13">INDIRECT("'" &amp; $A34 &amp; "'!" &amp; $P$33)</f>
        <v>0</v>
      </c>
      <c r="M34" s="220">
        <f t="shared" ref="M34:M43" ca="1" si="14">INDIRECT("'" &amp; $A34 &amp; "'!" &amp; $P$34)</f>
        <v>0</v>
      </c>
      <c r="N34" s="222">
        <f t="shared" ref="N34:N43" ca="1" si="15">INDIRECT("'" &amp; $A34 &amp; "'!" &amp; $P$35)</f>
        <v>0</v>
      </c>
      <c r="O34" s="220">
        <f t="shared" ref="O34:O43" ca="1" si="16">INDIRECT("'"&amp;$A34&amp;"'!"&amp;$P$36)</f>
        <v>0</v>
      </c>
      <c r="P34" s="87" t="s">
        <v>157</v>
      </c>
    </row>
    <row r="35" spans="1:20" ht="18.75" x14ac:dyDescent="0.3">
      <c r="A35" s="86" t="s">
        <v>85</v>
      </c>
      <c r="B35" s="130">
        <f>'DNB Livsforsikring'!F7+'DNB Livsforsikring'!F22+'DNB Livsforsikring'!F66+'DNB Livsforsikring'!F134</f>
        <v>6459699</v>
      </c>
      <c r="C35" s="130">
        <f>'DNB Livsforsikring'!G7+'DNB Livsforsikring'!G22+'DNB Livsforsikring'!G66+'DNB Livsforsikring'!G134</f>
        <v>7274914.4699999997</v>
      </c>
      <c r="D35" s="104">
        <f t="shared" si="9"/>
        <v>12.6</v>
      </c>
      <c r="E35" s="361">
        <f t="shared" si="10"/>
        <v>22.821880411677991</v>
      </c>
      <c r="F35" s="103"/>
      <c r="G35" s="176">
        <f>'DNB Livsforsikring'!F10+'DNB Livsforsikring'!F29+'DNB Livsforsikring'!F87+'DNB Livsforsikring'!F135</f>
        <v>82380384</v>
      </c>
      <c r="H35" s="176">
        <f>'DNB Livsforsikring'!G10+'DNB Livsforsikring'!G29+'DNB Livsforsikring'!G87+'DNB Livsforsikring'!G135</f>
        <v>92856889.727000013</v>
      </c>
      <c r="I35" s="104">
        <f t="shared" si="11"/>
        <v>12.7</v>
      </c>
      <c r="J35" s="361">
        <f t="shared" si="12"/>
        <v>25.254463838066798</v>
      </c>
      <c r="K35" s="87" t="s">
        <v>151</v>
      </c>
      <c r="L35" s="222">
        <f t="shared" ca="1" si="13"/>
        <v>0</v>
      </c>
      <c r="M35" s="220">
        <f t="shared" ca="1" si="14"/>
        <v>0</v>
      </c>
      <c r="N35" s="222">
        <f t="shared" ca="1" si="15"/>
        <v>0</v>
      </c>
      <c r="O35" s="220">
        <f t="shared" ca="1" si="16"/>
        <v>0</v>
      </c>
      <c r="P35" s="87" t="s">
        <v>156</v>
      </c>
    </row>
    <row r="36" spans="1:20" ht="18.75" x14ac:dyDescent="0.3">
      <c r="A36" s="107" t="s">
        <v>87</v>
      </c>
      <c r="B36" s="130">
        <f>'Frende Livsforsikring'!F7+'Frende Livsforsikring'!F22+'Frende Livsforsikring'!F66+'Frende Livsforsikring'!F134</f>
        <v>272300</v>
      </c>
      <c r="C36" s="130">
        <f>'Frende Livsforsikring'!G7+'Frende Livsforsikring'!G22+'Frende Livsforsikring'!G66+'Frende Livsforsikring'!G134</f>
        <v>301589</v>
      </c>
      <c r="D36" s="104">
        <f t="shared" si="9"/>
        <v>10.8</v>
      </c>
      <c r="E36" s="361">
        <f t="shared" si="10"/>
        <v>0.94610433151629258</v>
      </c>
      <c r="F36" s="103"/>
      <c r="G36" s="176">
        <f>'Frende Livsforsikring'!F10+'Frende Livsforsikring'!F29+'Frende Livsforsikring'!F87+'Frende Livsforsikring'!F135</f>
        <v>3471864</v>
      </c>
      <c r="H36" s="176">
        <f>'Frende Livsforsikring'!G10+'Frende Livsforsikring'!G29+'Frende Livsforsikring'!G87+'Frende Livsforsikring'!G135</f>
        <v>3966911.3</v>
      </c>
      <c r="I36" s="104">
        <f t="shared" si="11"/>
        <v>14.3</v>
      </c>
      <c r="J36" s="361">
        <f t="shared" si="12"/>
        <v>1.0788883654105264</v>
      </c>
      <c r="K36" s="87" t="s">
        <v>144</v>
      </c>
      <c r="L36" s="222">
        <f t="shared" ca="1" si="13"/>
        <v>0</v>
      </c>
      <c r="M36" s="220">
        <f t="shared" ca="1" si="14"/>
        <v>0</v>
      </c>
      <c r="N36" s="222">
        <f t="shared" ca="1" si="15"/>
        <v>0</v>
      </c>
      <c r="O36" s="220">
        <f t="shared" ca="1" si="16"/>
        <v>0</v>
      </c>
      <c r="P36" s="87" t="s">
        <v>158</v>
      </c>
    </row>
    <row r="37" spans="1:20" ht="18.75" x14ac:dyDescent="0.3">
      <c r="A37" s="107" t="s">
        <v>90</v>
      </c>
      <c r="B37" s="130">
        <f>'Gjensidige Pensjon'!F7+'Gjensidige Pensjon'!F22+'Gjensidige Pensjon'!F66+'Gjensidige Pensjon'!F134</f>
        <v>2075074</v>
      </c>
      <c r="C37" s="130">
        <f>'Gjensidige Pensjon'!G7+'Gjensidige Pensjon'!G22+'Gjensidige Pensjon'!G66+'Gjensidige Pensjon'!G134</f>
        <v>2383693</v>
      </c>
      <c r="D37" s="104">
        <f t="shared" si="9"/>
        <v>14.9</v>
      </c>
      <c r="E37" s="361">
        <f t="shared" si="10"/>
        <v>7.4778001595053736</v>
      </c>
      <c r="F37" s="103"/>
      <c r="G37" s="176">
        <f>'Gjensidige Pensjon'!F10+'Gjensidige Pensjon'!F29+'Gjensidige Pensjon'!F87+'Gjensidige Pensjon'!F135</f>
        <v>25237226</v>
      </c>
      <c r="H37" s="176">
        <f>'Gjensidige Pensjon'!G10+'Gjensidige Pensjon'!G29+'Gjensidige Pensjon'!G87+'Gjensidige Pensjon'!G135</f>
        <v>28289547</v>
      </c>
      <c r="I37" s="104">
        <f t="shared" si="11"/>
        <v>12.1</v>
      </c>
      <c r="J37" s="361">
        <f t="shared" si="12"/>
        <v>7.6939615768656742</v>
      </c>
      <c r="K37" s="87" t="s">
        <v>152</v>
      </c>
      <c r="L37" s="222">
        <f t="shared" ca="1" si="13"/>
        <v>0</v>
      </c>
      <c r="M37" s="220">
        <f t="shared" ca="1" si="14"/>
        <v>0</v>
      </c>
      <c r="N37" s="222">
        <f t="shared" ca="1" si="15"/>
        <v>0</v>
      </c>
      <c r="O37" s="220">
        <f t="shared" ca="1" si="16"/>
        <v>0</v>
      </c>
    </row>
    <row r="38" spans="1:20" ht="18.75" x14ac:dyDescent="0.3">
      <c r="A38" s="107" t="s">
        <v>63</v>
      </c>
      <c r="B38" s="130">
        <f>KLP!F7+KLP!F22+KLP!F66+KLP!F134</f>
        <v>116827.63</v>
      </c>
      <c r="C38" s="130">
        <f>KLP!G7+KLP!G22+KLP!G66+KLP!G134</f>
        <v>125663.209</v>
      </c>
      <c r="D38" s="104">
        <f t="shared" si="9"/>
        <v>7.6</v>
      </c>
      <c r="E38" s="361">
        <f t="shared" si="10"/>
        <v>0.39421366942142178</v>
      </c>
      <c r="F38" s="103"/>
      <c r="G38" s="176">
        <f>KLP!F10+KLP!F29+KLP!F87+KLP!F135</f>
        <v>2478827.29715</v>
      </c>
      <c r="H38" s="176">
        <f>KLP!G10+KLP!G29+KLP!G87+KLP!G135</f>
        <v>2644541.49015</v>
      </c>
      <c r="I38" s="104">
        <f t="shared" si="11"/>
        <v>6.7</v>
      </c>
      <c r="J38" s="361">
        <f t="shared" si="12"/>
        <v>0.71924094838426333</v>
      </c>
      <c r="K38" s="87" t="s">
        <v>145</v>
      </c>
      <c r="L38" s="222">
        <f t="shared" ca="1" si="13"/>
        <v>0</v>
      </c>
      <c r="M38" s="220">
        <f t="shared" ca="1" si="14"/>
        <v>0</v>
      </c>
      <c r="N38" s="222">
        <f t="shared" ca="1" si="15"/>
        <v>0</v>
      </c>
      <c r="O38" s="220">
        <f t="shared" ca="1" si="16"/>
        <v>0</v>
      </c>
    </row>
    <row r="39" spans="1:20" ht="18.75" x14ac:dyDescent="0.3">
      <c r="A39" s="107" t="s">
        <v>93</v>
      </c>
      <c r="B39" s="130">
        <f>'KLP Bedriftspensjon AS'!F7+'KLP Bedriftspensjon AS'!F22+'KLP Bedriftspensjon AS'!F66+'KLP Bedriftspensjon AS'!F134</f>
        <v>315306</v>
      </c>
      <c r="C39" s="130">
        <f>'KLP Bedriftspensjon AS'!G7+'KLP Bedriftspensjon AS'!G22+'KLP Bedriftspensjon AS'!G66+'KLP Bedriftspensjon AS'!G134</f>
        <v>401210</v>
      </c>
      <c r="D39" s="104">
        <f t="shared" si="9"/>
        <v>27.2</v>
      </c>
      <c r="E39" s="361">
        <f t="shared" si="10"/>
        <v>1.2586218955189072</v>
      </c>
      <c r="F39" s="103"/>
      <c r="G39" s="176">
        <f>'KLP Bedriftspensjon AS'!F10+'KLP Bedriftspensjon AS'!F29+'KLP Bedriftspensjon AS'!F87+'KLP Bedriftspensjon AS'!F135</f>
        <v>3400155</v>
      </c>
      <c r="H39" s="176">
        <f>'KLP Bedriftspensjon AS'!G10+'KLP Bedriftspensjon AS'!G29+'KLP Bedriftspensjon AS'!G87+'KLP Bedriftspensjon AS'!G135</f>
        <v>4520776</v>
      </c>
      <c r="I39" s="104">
        <f t="shared" si="11"/>
        <v>33</v>
      </c>
      <c r="J39" s="361">
        <f t="shared" si="12"/>
        <v>1.2295239949093739</v>
      </c>
      <c r="K39" s="87" t="s">
        <v>153</v>
      </c>
      <c r="L39" s="222">
        <f t="shared" ca="1" si="13"/>
        <v>0</v>
      </c>
      <c r="M39" s="220">
        <f t="shared" ca="1" si="14"/>
        <v>0</v>
      </c>
      <c r="N39" s="222">
        <f t="shared" ca="1" si="15"/>
        <v>0</v>
      </c>
      <c r="O39" s="220">
        <f t="shared" ca="1" si="16"/>
        <v>0</v>
      </c>
    </row>
    <row r="40" spans="1:20" ht="18.75" x14ac:dyDescent="0.3">
      <c r="A40" s="107" t="s">
        <v>95</v>
      </c>
      <c r="B40" s="130">
        <f>'Nordea Liv '!F7+'Nordea Liv '!F22+'Nordea Liv '!F66+'Nordea Liv '!F134</f>
        <v>6126379.0115300007</v>
      </c>
      <c r="C40" s="130">
        <f>'Nordea Liv '!G7+'Nordea Liv '!G22+'Nordea Liv '!G66+'Nordea Liv '!G134</f>
        <v>8452097.9891100004</v>
      </c>
      <c r="D40" s="104">
        <f t="shared" si="9"/>
        <v>38</v>
      </c>
      <c r="E40" s="361">
        <f t="shared" si="10"/>
        <v>26.514781765572078</v>
      </c>
      <c r="F40" s="103"/>
      <c r="G40" s="176">
        <f>'Nordea Liv '!F10+'Nordea Liv '!F29+'Nordea Liv '!F87+'Nordea Liv '!F135</f>
        <v>62133840</v>
      </c>
      <c r="H40" s="176">
        <f>'Nordea Liv '!G10+'Nordea Liv '!G29+'Nordea Liv '!G87+'Nordea Liv '!G135</f>
        <v>72267840</v>
      </c>
      <c r="I40" s="104">
        <f t="shared" si="11"/>
        <v>16.3</v>
      </c>
      <c r="J40" s="361">
        <f t="shared" si="12"/>
        <v>19.654821061753879</v>
      </c>
      <c r="K40" s="206"/>
      <c r="L40" s="222">
        <f t="shared" ca="1" si="13"/>
        <v>0</v>
      </c>
      <c r="M40" s="220">
        <f t="shared" ca="1" si="14"/>
        <v>0</v>
      </c>
      <c r="N40" s="222">
        <f t="shared" ca="1" si="15"/>
        <v>0</v>
      </c>
      <c r="O40" s="220">
        <f t="shared" ca="1" si="16"/>
        <v>0</v>
      </c>
    </row>
    <row r="41" spans="1:20" ht="18.75" x14ac:dyDescent="0.3">
      <c r="A41" s="107" t="s">
        <v>72</v>
      </c>
      <c r="B41" s="130">
        <f>'SHB Liv'!F7+'SHB Liv'!F22+'SHB Liv'!F66+'SHB Liv'!F134</f>
        <v>108843</v>
      </c>
      <c r="C41" s="130">
        <f>'SHB Liv'!G7+'SHB Liv'!G22+'SHB Liv'!G66+'SHB Liv'!G134</f>
        <v>97840.428989999986</v>
      </c>
      <c r="D41" s="104">
        <f t="shared" si="9"/>
        <v>-10.1</v>
      </c>
      <c r="E41" s="361">
        <f t="shared" si="10"/>
        <v>0.30693179679912475</v>
      </c>
      <c r="F41" s="103"/>
      <c r="G41" s="176">
        <f>'SHB Liv'!F10+'SHB Liv'!F29+'SHB Liv'!F87+'SHB Liv'!F135</f>
        <v>2249653.4116099998</v>
      </c>
      <c r="H41" s="176">
        <f>'SHB Liv'!G10+'SHB Liv'!G29+'SHB Liv'!G87+'SHB Liv'!G135</f>
        <v>2377643.9235399999</v>
      </c>
      <c r="I41" s="104">
        <f t="shared" si="11"/>
        <v>5.7</v>
      </c>
      <c r="J41" s="361">
        <f t="shared" si="12"/>
        <v>0.64665231264342637</v>
      </c>
      <c r="K41" s="206"/>
      <c r="L41" s="222">
        <f t="shared" ca="1" si="13"/>
        <v>0</v>
      </c>
      <c r="M41" s="220">
        <f t="shared" ca="1" si="14"/>
        <v>0</v>
      </c>
      <c r="N41" s="222">
        <f t="shared" ca="1" si="15"/>
        <v>0</v>
      </c>
      <c r="O41" s="220">
        <f t="shared" ca="1" si="16"/>
        <v>0</v>
      </c>
    </row>
    <row r="42" spans="1:20" ht="18.75" x14ac:dyDescent="0.3">
      <c r="A42" s="86" t="s">
        <v>68</v>
      </c>
      <c r="B42" s="130">
        <f>'Sparebank 1'!F7+'Sparebank 1'!F22+'Sparebank 1'!F66+'Sparebank 1'!F134</f>
        <v>2837915.8733999999</v>
      </c>
      <c r="C42" s="130">
        <f>'Sparebank 1'!G7+'Sparebank 1'!G22+'Sparebank 1'!G66+'Sparebank 1'!G134</f>
        <v>3230081.0362499999</v>
      </c>
      <c r="D42" s="104">
        <f t="shared" si="9"/>
        <v>13.8</v>
      </c>
      <c r="E42" s="361">
        <f t="shared" si="10"/>
        <v>10.132974543318092</v>
      </c>
      <c r="F42" s="103"/>
      <c r="G42" s="176">
        <f>'Sparebank 1'!F10+'Sparebank 1'!F29+'Sparebank 1'!F87+'Sparebank 1'!F135</f>
        <v>29524731.95205</v>
      </c>
      <c r="H42" s="176">
        <f>'Sparebank 1'!G10+'Sparebank 1'!G29+'Sparebank 1'!G87+'Sparebank 1'!G135</f>
        <v>33369795.9474</v>
      </c>
      <c r="I42" s="104">
        <f t="shared" si="11"/>
        <v>13</v>
      </c>
      <c r="J42" s="361">
        <f t="shared" si="12"/>
        <v>9.0756464869212454</v>
      </c>
      <c r="K42" s="139"/>
      <c r="L42" s="222">
        <f t="shared" ca="1" si="13"/>
        <v>0</v>
      </c>
      <c r="M42" s="220">
        <f t="shared" ca="1" si="14"/>
        <v>0</v>
      </c>
      <c r="N42" s="222">
        <f t="shared" ca="1" si="15"/>
        <v>0</v>
      </c>
      <c r="O42" s="220">
        <f t="shared" ca="1" si="16"/>
        <v>0</v>
      </c>
    </row>
    <row r="43" spans="1:20" ht="18.75" x14ac:dyDescent="0.3">
      <c r="A43" s="86" t="s">
        <v>97</v>
      </c>
      <c r="B43" s="130">
        <f>'Storebrand Livsforsikring'!F7+'Storebrand Livsforsikring'!F22+'Storebrand Livsforsikring'!F66+'Storebrand Livsforsikring'!F134</f>
        <v>8177309.6540000001</v>
      </c>
      <c r="C43" s="130">
        <f>'Storebrand Livsforsikring'!G7+'Storebrand Livsforsikring'!G22+'Storebrand Livsforsikring'!G66+'Storebrand Livsforsikring'!G134</f>
        <v>8147311.8700000001</v>
      </c>
      <c r="D43" s="104">
        <f t="shared" si="9"/>
        <v>-0.4</v>
      </c>
      <c r="E43" s="361">
        <f t="shared" si="10"/>
        <v>25.558647863221488</v>
      </c>
      <c r="F43" s="103"/>
      <c r="G43" s="176">
        <f>'Storebrand Livsforsikring'!F10+'Storebrand Livsforsikring'!F29+'Storebrand Livsforsikring'!F87+'Storebrand Livsforsikring'!F135</f>
        <v>98437461.060000002</v>
      </c>
      <c r="H43" s="176">
        <f>'Storebrand Livsforsikring'!G10+'Storebrand Livsforsikring'!G29+'Storebrand Livsforsikring'!G87+'Storebrand Livsforsikring'!G135</f>
        <v>107697369.89</v>
      </c>
      <c r="I43" s="104">
        <f t="shared" si="11"/>
        <v>9.4</v>
      </c>
      <c r="J43" s="361">
        <f t="shared" si="12"/>
        <v>29.290657282817225</v>
      </c>
      <c r="K43" s="139"/>
      <c r="L43" s="222">
        <f t="shared" ca="1" si="13"/>
        <v>0</v>
      </c>
      <c r="M43" s="220">
        <f t="shared" ca="1" si="14"/>
        <v>0</v>
      </c>
      <c r="N43" s="222">
        <f t="shared" ca="1" si="15"/>
        <v>0</v>
      </c>
      <c r="O43" s="220">
        <f t="shared" ca="1" si="16"/>
        <v>0</v>
      </c>
    </row>
    <row r="44" spans="1:20" s="111" customFormat="1" ht="18.75" x14ac:dyDescent="0.3">
      <c r="A44" s="101" t="s">
        <v>101</v>
      </c>
      <c r="B44" s="241">
        <f>SUM(B34:B43)</f>
        <v>27868261.27093</v>
      </c>
      <c r="C44" s="241">
        <f>SUM(C34:C43)</f>
        <v>31876928.36335</v>
      </c>
      <c r="D44" s="104">
        <f t="shared" si="9"/>
        <v>14.4</v>
      </c>
      <c r="E44" s="362">
        <f>SUM(E34:E43)</f>
        <v>100</v>
      </c>
      <c r="F44" s="109"/>
      <c r="G44" s="178">
        <f>SUM(G34:G43)</f>
        <v>327272577.46380997</v>
      </c>
      <c r="H44" s="178">
        <f>SUM(H34:H43)</f>
        <v>367685056.87708998</v>
      </c>
      <c r="I44" s="104">
        <f t="shared" si="11"/>
        <v>12.3</v>
      </c>
      <c r="J44" s="362">
        <f>SUM(J34:J43)</f>
        <v>100.00000000000001</v>
      </c>
      <c r="K44" s="139"/>
      <c r="L44" s="222">
        <f ca="1">SUM(L34:L43)</f>
        <v>0</v>
      </c>
      <c r="M44" s="220">
        <f ca="1">SUM(M34:M43)</f>
        <v>0</v>
      </c>
      <c r="N44" s="222">
        <f ca="1">SUM(N34:N43)</f>
        <v>0</v>
      </c>
      <c r="O44" s="220">
        <f ca="1">SUM(O34:O43)</f>
        <v>0</v>
      </c>
    </row>
    <row r="45" spans="1:20" ht="18.75" x14ac:dyDescent="0.3">
      <c r="A45" s="101"/>
      <c r="B45" s="130"/>
      <c r="C45" s="109"/>
      <c r="D45" s="110"/>
      <c r="E45" s="361"/>
      <c r="F45" s="109"/>
      <c r="G45" s="178"/>
      <c r="H45" s="109"/>
      <c r="I45" s="110"/>
      <c r="J45" s="362"/>
      <c r="K45" s="139"/>
      <c r="L45" s="219" t="s">
        <v>102</v>
      </c>
      <c r="M45" s="225"/>
      <c r="N45" s="226"/>
      <c r="O45" s="225"/>
    </row>
    <row r="46" spans="1:20" ht="18.75" x14ac:dyDescent="0.3">
      <c r="A46" s="86"/>
      <c r="B46" s="130"/>
      <c r="C46" s="103"/>
      <c r="D46" s="104"/>
      <c r="E46" s="361"/>
      <c r="F46" s="103"/>
      <c r="G46" s="176"/>
      <c r="H46" s="103"/>
      <c r="I46" s="104"/>
      <c r="J46" s="361"/>
      <c r="K46" s="139"/>
      <c r="L46" s="223">
        <v>2015</v>
      </c>
      <c r="M46" s="224">
        <v>2016</v>
      </c>
      <c r="N46" s="223">
        <v>2015</v>
      </c>
      <c r="O46" s="224">
        <v>2016</v>
      </c>
    </row>
    <row r="47" spans="1:20" ht="18.75" x14ac:dyDescent="0.3">
      <c r="B47" s="130"/>
      <c r="C47" s="103"/>
      <c r="D47" s="104"/>
      <c r="E47" s="361"/>
      <c r="F47" s="103"/>
      <c r="G47" s="176"/>
      <c r="H47" s="103"/>
      <c r="I47" s="104"/>
      <c r="J47" s="361"/>
      <c r="K47" s="139"/>
      <c r="L47" s="222"/>
      <c r="M47" s="220"/>
      <c r="N47" s="222"/>
      <c r="O47" s="220"/>
      <c r="P47" s="206"/>
      <c r="Q47" s="206"/>
      <c r="R47" s="206"/>
      <c r="S47" s="182"/>
      <c r="T47" s="139"/>
    </row>
    <row r="48" spans="1:20" ht="18.75" x14ac:dyDescent="0.3">
      <c r="A48" s="101" t="s">
        <v>102</v>
      </c>
      <c r="B48" s="130"/>
      <c r="C48" s="180"/>
      <c r="D48" s="104"/>
      <c r="E48" s="361"/>
      <c r="F48" s="103"/>
      <c r="G48" s="176"/>
      <c r="H48" s="176"/>
      <c r="I48" s="104"/>
      <c r="J48" s="361"/>
      <c r="K48" s="139"/>
      <c r="L48" s="222"/>
      <c r="M48" s="227"/>
      <c r="N48" s="222"/>
      <c r="O48" s="227"/>
      <c r="P48" s="206"/>
      <c r="Q48" s="206"/>
      <c r="R48" s="206"/>
      <c r="S48" s="182"/>
      <c r="T48" s="139"/>
    </row>
    <row r="49" spans="1:20" ht="18.75" x14ac:dyDescent="0.3">
      <c r="A49" s="107" t="s">
        <v>84</v>
      </c>
      <c r="B49" s="130">
        <f>B10+B34</f>
        <v>1690510.9579999999</v>
      </c>
      <c r="C49" s="103">
        <f>C10+C34</f>
        <v>1780131.531</v>
      </c>
      <c r="D49" s="104">
        <f t="shared" ref="D49:D70" si="17">IF(B49=0, "    ---- ", IF(ABS(ROUND(100/B49*C49-100,1))&lt;999,ROUND(100/B49*C49-100,1),IF(ROUND(100/B49*C49-100,1)&gt;999,999,-999)))</f>
        <v>5.3</v>
      </c>
      <c r="E49" s="361">
        <f t="shared" ref="E49:E70" si="18">100/C$71*C49</f>
        <v>2.10649944048384</v>
      </c>
      <c r="F49" s="103"/>
      <c r="G49" s="176">
        <f>G10+G34</f>
        <v>19046030.365000002</v>
      </c>
      <c r="H49" s="176">
        <f>H10+H34</f>
        <v>20841640.25</v>
      </c>
      <c r="I49" s="104">
        <f t="shared" ref="I49:I68" si="19">IF(G49=0, "    ---- ", IF(ABS(ROUND(100/G49*H49-100,1))&lt;999,ROUND(100/G49*H49-100,1),IF(ROUND(100/G49*H49-100,1)&gt;999,999,-999)))</f>
        <v>9.4</v>
      </c>
      <c r="J49" s="361">
        <f t="shared" ref="J49:J70" si="20">100/H$71*H49</f>
        <v>1.4841984217904054</v>
      </c>
      <c r="K49" s="139"/>
      <c r="L49" s="222">
        <f ca="1">L10+L34</f>
        <v>0</v>
      </c>
      <c r="M49" s="220">
        <f ca="1">M10+M34</f>
        <v>0</v>
      </c>
      <c r="N49" s="222">
        <f ca="1">N10+N34</f>
        <v>0</v>
      </c>
      <c r="O49" s="220">
        <f ca="1">O10+O34</f>
        <v>0</v>
      </c>
      <c r="P49" s="206"/>
      <c r="Q49" s="206"/>
      <c r="R49" s="206"/>
      <c r="S49" s="182"/>
      <c r="T49" s="139"/>
    </row>
    <row r="50" spans="1:20" ht="18.75" x14ac:dyDescent="0.3">
      <c r="A50" s="86" t="s">
        <v>85</v>
      </c>
      <c r="B50" s="130">
        <f>B11+B35</f>
        <v>10153181</v>
      </c>
      <c r="C50" s="103">
        <f>+C11+C35</f>
        <v>10990174.962230001</v>
      </c>
      <c r="D50" s="104">
        <f t="shared" si="17"/>
        <v>8.1999999999999993</v>
      </c>
      <c r="E50" s="361">
        <f t="shared" si="18"/>
        <v>13.005104963087698</v>
      </c>
      <c r="F50" s="103"/>
      <c r="G50" s="176">
        <f>+G11+G35</f>
        <v>283397025</v>
      </c>
      <c r="H50" s="176">
        <f>+H11+H35</f>
        <v>291846669.89019001</v>
      </c>
      <c r="I50" s="104">
        <f t="shared" si="19"/>
        <v>3</v>
      </c>
      <c r="J50" s="361">
        <f t="shared" si="20"/>
        <v>20.783314636467033</v>
      </c>
      <c r="K50" s="139"/>
      <c r="L50" s="222">
        <f ca="1">L11+L35</f>
        <v>0</v>
      </c>
      <c r="M50" s="220">
        <f ca="1">+M11+M35</f>
        <v>0</v>
      </c>
      <c r="N50" s="222">
        <f ca="1">+N11+N35</f>
        <v>0</v>
      </c>
      <c r="O50" s="220">
        <f ca="1">+O11+O35</f>
        <v>0</v>
      </c>
      <c r="P50" s="206"/>
      <c r="Q50" s="206"/>
      <c r="R50" s="206"/>
      <c r="S50" s="182"/>
      <c r="T50" s="139"/>
    </row>
    <row r="51" spans="1:20" ht="18.75" x14ac:dyDescent="0.3">
      <c r="A51" s="86" t="s">
        <v>86</v>
      </c>
      <c r="B51" s="130">
        <f>B12</f>
        <v>228170</v>
      </c>
      <c r="C51" s="103">
        <f>C12</f>
        <v>252371</v>
      </c>
      <c r="D51" s="104">
        <f t="shared" si="17"/>
        <v>10.6</v>
      </c>
      <c r="E51" s="361">
        <f t="shared" si="18"/>
        <v>0.29864049989368296</v>
      </c>
      <c r="F51" s="103"/>
      <c r="G51" s="176">
        <f>G12</f>
        <v>0</v>
      </c>
      <c r="H51" s="176">
        <f>H12</f>
        <v>0</v>
      </c>
      <c r="I51" s="104"/>
      <c r="J51" s="361">
        <f t="shared" si="20"/>
        <v>0</v>
      </c>
      <c r="K51" s="139"/>
      <c r="L51" s="222">
        <f ca="1">L12</f>
        <v>0</v>
      </c>
      <c r="M51" s="220">
        <f ca="1">M12</f>
        <v>0</v>
      </c>
      <c r="N51" s="222">
        <f ca="1">N12</f>
        <v>0</v>
      </c>
      <c r="O51" s="220">
        <f ca="1">+O12+O36</f>
        <v>0</v>
      </c>
      <c r="P51" s="206"/>
      <c r="Q51" s="206"/>
      <c r="R51" s="206"/>
      <c r="S51" s="182"/>
      <c r="T51" s="139"/>
    </row>
    <row r="52" spans="1:20" ht="18.75" x14ac:dyDescent="0.3">
      <c r="A52" s="107" t="s">
        <v>87</v>
      </c>
      <c r="B52" s="130">
        <f>B13+B36</f>
        <v>735477</v>
      </c>
      <c r="C52" s="105">
        <f>C13+C36</f>
        <v>793324</v>
      </c>
      <c r="D52" s="106">
        <f t="shared" si="17"/>
        <v>7.9</v>
      </c>
      <c r="E52" s="363">
        <f t="shared" si="18"/>
        <v>0.93877139583254865</v>
      </c>
      <c r="F52" s="105"/>
      <c r="G52" s="177">
        <f>G13+G36</f>
        <v>4305823.8</v>
      </c>
      <c r="H52" s="177">
        <f>H13+H36</f>
        <v>4917007.3</v>
      </c>
      <c r="I52" s="104">
        <f t="shared" si="19"/>
        <v>14.2</v>
      </c>
      <c r="J52" s="361">
        <f t="shared" si="20"/>
        <v>0.35015547658692087</v>
      </c>
      <c r="K52" s="139"/>
      <c r="L52" s="222">
        <f ca="1">L13+L36</f>
        <v>0</v>
      </c>
      <c r="M52" s="220">
        <f ca="1">M13+M36</f>
        <v>0</v>
      </c>
      <c r="N52" s="222">
        <f ca="1">N13+N36</f>
        <v>0</v>
      </c>
      <c r="O52" s="220">
        <f ca="1">O13+O36</f>
        <v>0</v>
      </c>
      <c r="P52" s="209"/>
      <c r="Q52" s="209"/>
      <c r="R52" s="209"/>
      <c r="S52" s="182"/>
      <c r="T52" s="139"/>
    </row>
    <row r="53" spans="1:20" ht="18.75" x14ac:dyDescent="0.3">
      <c r="A53" s="107" t="s">
        <v>88</v>
      </c>
      <c r="B53" s="130">
        <f>B14</f>
        <v>6101</v>
      </c>
      <c r="C53" s="105">
        <f>C14</f>
        <v>6362.2570000000096</v>
      </c>
      <c r="D53" s="106">
        <f t="shared" si="17"/>
        <v>4.3</v>
      </c>
      <c r="E53" s="363">
        <f t="shared" si="18"/>
        <v>7.5287081753929192E-3</v>
      </c>
      <c r="F53" s="105"/>
      <c r="G53" s="177">
        <f>G14</f>
        <v>0</v>
      </c>
      <c r="H53" s="177">
        <f>H14</f>
        <v>0</v>
      </c>
      <c r="I53" s="104"/>
      <c r="J53" s="361">
        <f t="shared" si="20"/>
        <v>0</v>
      </c>
      <c r="K53" s="139"/>
      <c r="L53" s="222">
        <f ca="1">L14</f>
        <v>0</v>
      </c>
      <c r="M53" s="220">
        <f ca="1">M14</f>
        <v>0</v>
      </c>
      <c r="N53" s="222">
        <f ca="1">N14</f>
        <v>0</v>
      </c>
      <c r="O53" s="220">
        <f ca="1">O14</f>
        <v>0</v>
      </c>
      <c r="P53" s="209"/>
      <c r="Q53" s="209"/>
      <c r="R53" s="209"/>
      <c r="S53" s="182"/>
      <c r="T53" s="139"/>
    </row>
    <row r="54" spans="1:20" ht="18.75" x14ac:dyDescent="0.3">
      <c r="A54" s="86" t="s">
        <v>89</v>
      </c>
      <c r="B54" s="103">
        <f>B15</f>
        <v>1376815</v>
      </c>
      <c r="C54" s="103">
        <f>+C15</f>
        <v>1365659</v>
      </c>
      <c r="D54" s="104">
        <f t="shared" si="17"/>
        <v>-0.8</v>
      </c>
      <c r="E54" s="361">
        <f t="shared" si="18"/>
        <v>1.6160378428753983</v>
      </c>
      <c r="F54" s="103"/>
      <c r="G54" s="176">
        <f>+G15</f>
        <v>0</v>
      </c>
      <c r="H54" s="176">
        <f>+H15</f>
        <v>0</v>
      </c>
      <c r="I54" s="104"/>
      <c r="J54" s="361">
        <f t="shared" si="20"/>
        <v>0</v>
      </c>
      <c r="K54" s="139"/>
      <c r="L54" s="222">
        <f ca="1">L15</f>
        <v>0</v>
      </c>
      <c r="M54" s="220">
        <f ca="1">+M15</f>
        <v>0</v>
      </c>
      <c r="N54" s="222">
        <f ca="1">+N15</f>
        <v>0</v>
      </c>
      <c r="O54" s="220">
        <f ca="1">+O15</f>
        <v>0</v>
      </c>
      <c r="P54" s="206"/>
      <c r="Q54" s="206"/>
      <c r="R54" s="206"/>
      <c r="S54" s="182"/>
      <c r="T54" s="139"/>
    </row>
    <row r="55" spans="1:20" ht="18.75" x14ac:dyDescent="0.3">
      <c r="A55" s="86" t="s">
        <v>90</v>
      </c>
      <c r="B55" s="103">
        <f>B16+B37</f>
        <v>2523424</v>
      </c>
      <c r="C55" s="103">
        <f>C16+C37</f>
        <v>2879427</v>
      </c>
      <c r="D55" s="104">
        <f t="shared" si="17"/>
        <v>14.1</v>
      </c>
      <c r="E55" s="361">
        <f t="shared" si="18"/>
        <v>3.4073388728790861</v>
      </c>
      <c r="F55" s="103"/>
      <c r="G55" s="176">
        <f>G16+G37</f>
        <v>31711479</v>
      </c>
      <c r="H55" s="176">
        <f>H16+H37</f>
        <v>35372081</v>
      </c>
      <c r="I55" s="104">
        <f t="shared" si="19"/>
        <v>11.5</v>
      </c>
      <c r="J55" s="361">
        <f t="shared" si="20"/>
        <v>2.518956577596736</v>
      </c>
      <c r="K55" s="139"/>
      <c r="L55" s="222">
        <f ca="1">L16+L37</f>
        <v>0</v>
      </c>
      <c r="M55" s="220">
        <f ca="1">M16+M37</f>
        <v>0</v>
      </c>
      <c r="N55" s="222">
        <f ca="1">N16+N37</f>
        <v>0</v>
      </c>
      <c r="O55" s="220">
        <f ca="1">O16+O37</f>
        <v>0</v>
      </c>
      <c r="P55" s="206"/>
      <c r="Q55" s="206"/>
      <c r="R55" s="206"/>
      <c r="S55" s="182"/>
      <c r="T55" s="139"/>
    </row>
    <row r="56" spans="1:20" ht="18.75" x14ac:dyDescent="0.3">
      <c r="A56" s="86" t="s">
        <v>91</v>
      </c>
      <c r="B56" s="103">
        <f>B17</f>
        <v>27672</v>
      </c>
      <c r="C56" s="103">
        <f>+C17</f>
        <v>26625.80341</v>
      </c>
      <c r="D56" s="104">
        <f t="shared" si="17"/>
        <v>-3.8</v>
      </c>
      <c r="E56" s="361">
        <f t="shared" si="18"/>
        <v>3.1507357186179585E-2</v>
      </c>
      <c r="F56" s="103"/>
      <c r="G56" s="176">
        <f>+G17</f>
        <v>22959</v>
      </c>
      <c r="H56" s="176">
        <f>+H17</f>
        <v>28422.660874665598</v>
      </c>
      <c r="I56" s="104">
        <f t="shared" si="19"/>
        <v>23.8</v>
      </c>
      <c r="J56" s="361">
        <f t="shared" si="20"/>
        <v>2.0240666237036015E-3</v>
      </c>
      <c r="K56" s="139"/>
      <c r="L56" s="222">
        <f ca="1">L17</f>
        <v>0</v>
      </c>
      <c r="M56" s="220">
        <f t="shared" ref="M56:O57" ca="1" si="21">+M17</f>
        <v>0</v>
      </c>
      <c r="N56" s="222">
        <f t="shared" ca="1" si="21"/>
        <v>0</v>
      </c>
      <c r="O56" s="220">
        <f t="shared" ca="1" si="21"/>
        <v>0</v>
      </c>
      <c r="P56" s="206"/>
      <c r="Q56" s="206"/>
      <c r="R56" s="206"/>
      <c r="S56" s="182"/>
      <c r="T56" s="139"/>
    </row>
    <row r="57" spans="1:20" ht="18.75" x14ac:dyDescent="0.3">
      <c r="A57" s="86" t="s">
        <v>92</v>
      </c>
      <c r="B57" s="103">
        <f>B18</f>
        <v>354933.20600000001</v>
      </c>
      <c r="C57" s="103">
        <f>+C18</f>
        <v>368992.59400000004</v>
      </c>
      <c r="D57" s="104">
        <f t="shared" si="17"/>
        <v>4</v>
      </c>
      <c r="E57" s="361">
        <f t="shared" si="18"/>
        <v>0.43664340486516601</v>
      </c>
      <c r="F57" s="103"/>
      <c r="G57" s="176">
        <f>+G18</f>
        <v>0</v>
      </c>
      <c r="H57" s="176">
        <f>+H18</f>
        <v>0</v>
      </c>
      <c r="I57" s="104"/>
      <c r="J57" s="361">
        <f t="shared" si="20"/>
        <v>0</v>
      </c>
      <c r="K57" s="139"/>
      <c r="L57" s="222">
        <f ca="1">L18</f>
        <v>0</v>
      </c>
      <c r="M57" s="220">
        <f t="shared" ca="1" si="21"/>
        <v>0</v>
      </c>
      <c r="N57" s="222">
        <f t="shared" ca="1" si="21"/>
        <v>0</v>
      </c>
      <c r="O57" s="220">
        <f t="shared" ca="1" si="21"/>
        <v>0</v>
      </c>
      <c r="P57" s="206"/>
      <c r="Q57" s="206"/>
      <c r="R57" s="206"/>
      <c r="S57" s="182"/>
      <c r="T57" s="139"/>
    </row>
    <row r="58" spans="1:20" ht="18.75" x14ac:dyDescent="0.3">
      <c r="A58" s="86" t="s">
        <v>63</v>
      </c>
      <c r="B58" s="105">
        <f>B19+B38</f>
        <v>31254905.921009999</v>
      </c>
      <c r="C58" s="105">
        <f>C19+C38</f>
        <v>32158208.351410002</v>
      </c>
      <c r="D58" s="106">
        <f t="shared" si="17"/>
        <v>2.9</v>
      </c>
      <c r="E58" s="363">
        <f t="shared" si="18"/>
        <v>38.05406888172687</v>
      </c>
      <c r="F58" s="105"/>
      <c r="G58" s="177">
        <f>G19+G38</f>
        <v>471740244.39059001</v>
      </c>
      <c r="H58" s="177">
        <f>H19+H38</f>
        <v>499856662.44923997</v>
      </c>
      <c r="I58" s="104">
        <f t="shared" si="19"/>
        <v>6</v>
      </c>
      <c r="J58" s="361">
        <f t="shared" si="20"/>
        <v>35.596357130700468</v>
      </c>
      <c r="K58" s="139"/>
      <c r="L58" s="222">
        <f ca="1">L19+L38</f>
        <v>0</v>
      </c>
      <c r="M58" s="220">
        <f ca="1">M19+M38</f>
        <v>0</v>
      </c>
      <c r="N58" s="222">
        <f ca="1">N19+N38</f>
        <v>0</v>
      </c>
      <c r="O58" s="220">
        <f ca="1">O19+O38</f>
        <v>0</v>
      </c>
      <c r="P58" s="209"/>
      <c r="Q58" s="209"/>
      <c r="R58" s="209"/>
      <c r="S58" s="182"/>
      <c r="T58" s="139"/>
    </row>
    <row r="59" spans="1:20" ht="18.75" x14ac:dyDescent="0.3">
      <c r="A59" s="86" t="s">
        <v>93</v>
      </c>
      <c r="B59" s="103">
        <f>B20+B39</f>
        <v>381673</v>
      </c>
      <c r="C59" s="103">
        <f>+C20+C39</f>
        <v>475417</v>
      </c>
      <c r="D59" s="104">
        <f t="shared" si="17"/>
        <v>24.6</v>
      </c>
      <c r="E59" s="361">
        <f t="shared" si="18"/>
        <v>0.56257957743938514</v>
      </c>
      <c r="F59" s="103"/>
      <c r="G59" s="176">
        <f>G20+G39</f>
        <v>5082991</v>
      </c>
      <c r="H59" s="176">
        <f>H20+H39</f>
        <v>6247449</v>
      </c>
      <c r="I59" s="104">
        <f t="shared" si="19"/>
        <v>22.9</v>
      </c>
      <c r="J59" s="361">
        <f t="shared" si="20"/>
        <v>0.444900393385115</v>
      </c>
      <c r="K59" s="139"/>
      <c r="L59" s="222">
        <f ca="1">L20+L39</f>
        <v>0</v>
      </c>
      <c r="M59" s="220">
        <f ca="1">+M20+M39</f>
        <v>0</v>
      </c>
      <c r="N59" s="222">
        <f ca="1">N20+N39</f>
        <v>0</v>
      </c>
      <c r="O59" s="220">
        <f ca="1">O20+O39</f>
        <v>0</v>
      </c>
      <c r="P59" s="206"/>
      <c r="Q59" s="206"/>
      <c r="R59" s="206"/>
      <c r="S59" s="182"/>
      <c r="T59" s="139"/>
    </row>
    <row r="60" spans="1:20" ht="18.75" x14ac:dyDescent="0.3">
      <c r="A60" s="86" t="s">
        <v>94</v>
      </c>
      <c r="B60" s="103">
        <f t="shared" ref="B60:C62" si="22">B21</f>
        <v>126445.98299999999</v>
      </c>
      <c r="C60" s="103">
        <f t="shared" si="22"/>
        <v>163742.53900000002</v>
      </c>
      <c r="D60" s="104">
        <f t="shared" si="17"/>
        <v>29.5</v>
      </c>
      <c r="E60" s="361">
        <f t="shared" si="18"/>
        <v>0.19376296682590663</v>
      </c>
      <c r="F60" s="103"/>
      <c r="G60" s="176">
        <f t="shared" ref="G60:H62" si="23">G21</f>
        <v>17207.845999999998</v>
      </c>
      <c r="H60" s="176">
        <f t="shared" si="23"/>
        <v>34480.175000000003</v>
      </c>
      <c r="I60" s="104">
        <f t="shared" si="19"/>
        <v>100.4</v>
      </c>
      <c r="J60" s="361">
        <f t="shared" si="20"/>
        <v>2.4554411603020061E-3</v>
      </c>
      <c r="K60" s="139"/>
      <c r="L60" s="222">
        <f t="shared" ref="L60:O62" ca="1" si="24">L21</f>
        <v>0</v>
      </c>
      <c r="M60" s="220">
        <f t="shared" ca="1" si="24"/>
        <v>0</v>
      </c>
      <c r="N60" s="222">
        <f t="shared" ca="1" si="24"/>
        <v>0</v>
      </c>
      <c r="O60" s="220">
        <f t="shared" ca="1" si="24"/>
        <v>0</v>
      </c>
      <c r="P60" s="206"/>
      <c r="Q60" s="206"/>
      <c r="R60" s="206"/>
      <c r="S60" s="182"/>
      <c r="T60" s="139"/>
    </row>
    <row r="61" spans="1:20" ht="18.75" x14ac:dyDescent="0.3">
      <c r="A61" s="108" t="s">
        <v>423</v>
      </c>
      <c r="B61" s="103">
        <f t="shared" si="22"/>
        <v>24377</v>
      </c>
      <c r="C61" s="103">
        <f t="shared" si="22"/>
        <v>28648</v>
      </c>
      <c r="D61" s="104">
        <f t="shared" si="17"/>
        <v>17.5</v>
      </c>
      <c r="E61" s="361">
        <f t="shared" si="18"/>
        <v>3.3900301702470687E-2</v>
      </c>
      <c r="F61" s="103"/>
      <c r="G61" s="176">
        <f t="shared" si="23"/>
        <v>0</v>
      </c>
      <c r="H61" s="176">
        <f t="shared" si="23"/>
        <v>0</v>
      </c>
      <c r="I61" s="104"/>
      <c r="J61" s="361">
        <f t="shared" si="20"/>
        <v>0</v>
      </c>
      <c r="K61" s="139"/>
      <c r="L61" s="222">
        <f t="shared" ca="1" si="24"/>
        <v>0</v>
      </c>
      <c r="M61" s="220">
        <f t="shared" ca="1" si="24"/>
        <v>0</v>
      </c>
      <c r="N61" s="222">
        <f t="shared" ca="1" si="24"/>
        <v>0</v>
      </c>
      <c r="O61" s="220">
        <f t="shared" ca="1" si="24"/>
        <v>0</v>
      </c>
      <c r="P61" s="206"/>
      <c r="Q61" s="206"/>
      <c r="R61" s="206"/>
      <c r="S61" s="182"/>
      <c r="T61" s="139"/>
    </row>
    <row r="62" spans="1:20" ht="18.75" x14ac:dyDescent="0.3">
      <c r="A62" s="86" t="s">
        <v>405</v>
      </c>
      <c r="B62" s="103">
        <f t="shared" si="22"/>
        <v>1079</v>
      </c>
      <c r="C62" s="103">
        <f t="shared" si="22"/>
        <v>12781.715</v>
      </c>
      <c r="D62" s="104">
        <f t="shared" si="17"/>
        <v>999</v>
      </c>
      <c r="E62" s="361">
        <f t="shared" si="18"/>
        <v>1.512510453696576E-2</v>
      </c>
      <c r="F62" s="103"/>
      <c r="G62" s="176">
        <f t="shared" si="23"/>
        <v>0</v>
      </c>
      <c r="H62" s="176">
        <f t="shared" si="23"/>
        <v>3921.4128289581399</v>
      </c>
      <c r="I62" s="104" t="str">
        <f t="shared" si="19"/>
        <v xml:space="preserve">    ---- </v>
      </c>
      <c r="J62" s="361">
        <f t="shared" si="20"/>
        <v>2.7925607879774819E-4</v>
      </c>
      <c r="K62" s="139"/>
      <c r="L62" s="222">
        <f t="shared" ca="1" si="24"/>
        <v>0</v>
      </c>
      <c r="M62" s="220">
        <f t="shared" ca="1" si="24"/>
        <v>0</v>
      </c>
      <c r="N62" s="222">
        <f t="shared" ca="1" si="24"/>
        <v>0</v>
      </c>
      <c r="O62" s="220">
        <f t="shared" ca="1" si="24"/>
        <v>0</v>
      </c>
      <c r="P62" s="206"/>
      <c r="Q62" s="206"/>
      <c r="R62" s="206"/>
      <c r="S62" s="182"/>
      <c r="T62" s="139"/>
    </row>
    <row r="63" spans="1:20" ht="18.75" x14ac:dyDescent="0.3">
      <c r="A63" s="107" t="s">
        <v>66</v>
      </c>
      <c r="B63" s="103">
        <f>B24+B40</f>
        <v>7350206.0849330723</v>
      </c>
      <c r="C63" s="103">
        <f>+C24+C40</f>
        <v>9686865.8555746302</v>
      </c>
      <c r="D63" s="104">
        <f t="shared" si="17"/>
        <v>31.8</v>
      </c>
      <c r="E63" s="361">
        <f t="shared" si="18"/>
        <v>11.462848193777639</v>
      </c>
      <c r="F63" s="103"/>
      <c r="G63" s="176">
        <f>+G24+G40</f>
        <v>112348410.0004328</v>
      </c>
      <c r="H63" s="176">
        <f>+H24+H40</f>
        <v>123583370.00014526</v>
      </c>
      <c r="I63" s="104">
        <f t="shared" si="19"/>
        <v>10</v>
      </c>
      <c r="J63" s="361">
        <f t="shared" si="20"/>
        <v>8.8007585062195535</v>
      </c>
      <c r="K63" s="139"/>
      <c r="L63" s="222">
        <f ca="1">L24+L40</f>
        <v>0</v>
      </c>
      <c r="M63" s="220">
        <f ca="1">+M24+M40</f>
        <v>0</v>
      </c>
      <c r="N63" s="222">
        <f ca="1">+N24+N40</f>
        <v>0</v>
      </c>
      <c r="O63" s="220">
        <f ca="1">+O24+O40</f>
        <v>0</v>
      </c>
      <c r="P63" s="206"/>
      <c r="Q63" s="206"/>
      <c r="R63" s="206"/>
      <c r="S63" s="182"/>
      <c r="T63" s="139"/>
    </row>
    <row r="64" spans="1:20" ht="18.75" customHeight="1" x14ac:dyDescent="0.3">
      <c r="A64" s="107" t="s">
        <v>96</v>
      </c>
      <c r="B64" s="103">
        <f>B25</f>
        <v>4003368.5150000001</v>
      </c>
      <c r="C64" s="103">
        <f>C25</f>
        <v>4463574</v>
      </c>
      <c r="D64" s="104">
        <f t="shared" si="17"/>
        <v>11.5</v>
      </c>
      <c r="E64" s="361">
        <f t="shared" si="18"/>
        <v>5.2819221331787167</v>
      </c>
      <c r="F64" s="103"/>
      <c r="G64" s="176">
        <f>G25</f>
        <v>74741399.903610006</v>
      </c>
      <c r="H64" s="176">
        <f>H25</f>
        <v>76175866</v>
      </c>
      <c r="I64" s="104">
        <f t="shared" si="19"/>
        <v>1.9</v>
      </c>
      <c r="J64" s="361">
        <f t="shared" si="20"/>
        <v>5.4247217944239008</v>
      </c>
      <c r="K64" s="139"/>
      <c r="L64" s="222">
        <f ca="1">L25</f>
        <v>0</v>
      </c>
      <c r="M64" s="220">
        <f ca="1">M25</f>
        <v>0</v>
      </c>
      <c r="N64" s="222">
        <f ca="1">N25</f>
        <v>0</v>
      </c>
      <c r="O64" s="220">
        <f ca="1">O25</f>
        <v>0</v>
      </c>
      <c r="P64" s="206"/>
      <c r="Q64" s="206"/>
      <c r="R64" s="206"/>
      <c r="S64" s="182"/>
      <c r="T64" s="139"/>
    </row>
    <row r="65" spans="1:240" ht="18.75" customHeight="1" x14ac:dyDescent="0.3">
      <c r="A65" s="107" t="s">
        <v>367</v>
      </c>
      <c r="B65" s="103">
        <f>B26</f>
        <v>299297.71739252901</v>
      </c>
      <c r="C65" s="103">
        <f>C26</f>
        <v>298592.88391241134</v>
      </c>
      <c r="D65" s="104">
        <f t="shared" ref="D65" si="25">IF(B65=0, "    ---- ", IF(ABS(ROUND(100/B65*C65-100,1))&lt;999,ROUND(100/B65*C65-100,1),IF(ROUND(100/B65*C65-100,1)&gt;999,999,-999)))</f>
        <v>-0.2</v>
      </c>
      <c r="E65" s="361">
        <f t="shared" si="18"/>
        <v>0.353336667510526</v>
      </c>
      <c r="F65" s="103"/>
      <c r="G65" s="176">
        <f>G26</f>
        <v>0</v>
      </c>
      <c r="H65" s="176">
        <f>H26</f>
        <v>0</v>
      </c>
      <c r="I65" s="104"/>
      <c r="J65" s="361">
        <f t="shared" si="20"/>
        <v>0</v>
      </c>
      <c r="K65" s="139"/>
      <c r="L65" s="222"/>
      <c r="M65" s="220"/>
      <c r="N65" s="222"/>
      <c r="O65" s="220"/>
      <c r="P65" s="206"/>
      <c r="Q65" s="206"/>
      <c r="R65" s="206"/>
      <c r="S65" s="182"/>
      <c r="T65" s="139"/>
    </row>
    <row r="66" spans="1:240" ht="18.75" customHeight="1" x14ac:dyDescent="0.3">
      <c r="A66" s="107" t="s">
        <v>72</v>
      </c>
      <c r="B66" s="103">
        <f>B41</f>
        <v>108843</v>
      </c>
      <c r="C66" s="103">
        <f>C41</f>
        <v>97840.428989999986</v>
      </c>
      <c r="D66" s="104">
        <f t="shared" si="17"/>
        <v>-10.1</v>
      </c>
      <c r="E66" s="361">
        <f t="shared" si="18"/>
        <v>0.11577841599623565</v>
      </c>
      <c r="F66" s="103"/>
      <c r="G66" s="176">
        <f>G41</f>
        <v>2249653.4116099998</v>
      </c>
      <c r="H66" s="176">
        <f>H41</f>
        <v>2377643.9235399999</v>
      </c>
      <c r="I66" s="104">
        <f t="shared" si="19"/>
        <v>5.7</v>
      </c>
      <c r="J66" s="361">
        <f t="shared" si="20"/>
        <v>0.16931946413851065</v>
      </c>
      <c r="K66" s="139"/>
      <c r="L66" s="222">
        <f ca="1">L41</f>
        <v>0</v>
      </c>
      <c r="M66" s="220">
        <f ca="1">M41</f>
        <v>0</v>
      </c>
      <c r="N66" s="222">
        <f ca="1">N41</f>
        <v>0</v>
      </c>
      <c r="O66" s="220">
        <f ca="1">O41</f>
        <v>0</v>
      </c>
      <c r="P66" s="206"/>
      <c r="Q66" s="206"/>
      <c r="R66" s="206"/>
      <c r="S66" s="182"/>
      <c r="T66" s="139"/>
    </row>
    <row r="67" spans="1:240" ht="18.75" customHeight="1" x14ac:dyDescent="0.3">
      <c r="A67" s="86" t="s">
        <v>68</v>
      </c>
      <c r="B67" s="103">
        <f>B27+B42</f>
        <v>4940975.83268</v>
      </c>
      <c r="C67" s="103">
        <f>+C27+C42</f>
        <v>5515299.0725699998</v>
      </c>
      <c r="D67" s="104">
        <f t="shared" si="17"/>
        <v>11.6</v>
      </c>
      <c r="E67" s="361">
        <f t="shared" si="18"/>
        <v>6.5264696502192034</v>
      </c>
      <c r="F67" s="103"/>
      <c r="G67" s="176">
        <f>+G27+G42</f>
        <v>48760298.709250003</v>
      </c>
      <c r="H67" s="176">
        <f>+H27+H42</f>
        <v>54220406.548429996</v>
      </c>
      <c r="I67" s="104">
        <f t="shared" si="19"/>
        <v>11.2</v>
      </c>
      <c r="J67" s="361">
        <f t="shared" si="20"/>
        <v>3.8612048218236548</v>
      </c>
      <c r="K67" s="139"/>
      <c r="L67" s="222">
        <f ca="1">L27+L42</f>
        <v>0</v>
      </c>
      <c r="M67" s="220">
        <f t="shared" ref="M67:O68" ca="1" si="26">+M27+M42</f>
        <v>0</v>
      </c>
      <c r="N67" s="222">
        <f t="shared" ca="1" si="26"/>
        <v>0</v>
      </c>
      <c r="O67" s="220">
        <f t="shared" ca="1" si="26"/>
        <v>0</v>
      </c>
      <c r="P67" s="206"/>
      <c r="Q67" s="206"/>
      <c r="R67" s="206"/>
      <c r="S67" s="182"/>
      <c r="T67" s="139"/>
    </row>
    <row r="68" spans="1:240" ht="18.75" customHeight="1" x14ac:dyDescent="0.3">
      <c r="A68" s="86" t="s">
        <v>97</v>
      </c>
      <c r="B68" s="103">
        <f>B43+B28</f>
        <v>12694746.063000001</v>
      </c>
      <c r="C68" s="103">
        <f>+C28+C43</f>
        <v>12565240.699999999</v>
      </c>
      <c r="D68" s="104">
        <f t="shared" si="17"/>
        <v>-1</v>
      </c>
      <c r="E68" s="361">
        <f t="shared" si="18"/>
        <v>14.868942009709714</v>
      </c>
      <c r="F68" s="103"/>
      <c r="G68" s="176">
        <f>+G28+G43</f>
        <v>279799891.37399995</v>
      </c>
      <c r="H68" s="176">
        <f>+H28+H43</f>
        <v>288729820.15100002</v>
      </c>
      <c r="I68" s="104">
        <f t="shared" si="19"/>
        <v>3.2</v>
      </c>
      <c r="J68" s="361">
        <f t="shared" si="20"/>
        <v>20.561354013004895</v>
      </c>
      <c r="K68" s="139"/>
      <c r="L68" s="222">
        <f ca="1">L43+L28</f>
        <v>0</v>
      </c>
      <c r="M68" s="220">
        <f t="shared" ca="1" si="26"/>
        <v>0</v>
      </c>
      <c r="N68" s="222">
        <f t="shared" ca="1" si="26"/>
        <v>0</v>
      </c>
      <c r="O68" s="220">
        <f t="shared" ca="1" si="26"/>
        <v>0</v>
      </c>
      <c r="P68" s="206"/>
      <c r="Q68" s="206"/>
      <c r="R68" s="206"/>
      <c r="S68" s="182"/>
      <c r="T68" s="139"/>
    </row>
    <row r="69" spans="1:240" ht="18.75" customHeight="1" x14ac:dyDescent="0.3">
      <c r="A69" s="86" t="s">
        <v>98</v>
      </c>
      <c r="B69" s="103">
        <f>B29</f>
        <v>20446</v>
      </c>
      <c r="C69" s="103">
        <f>+C29</f>
        <v>0</v>
      </c>
      <c r="D69" s="104">
        <f t="shared" si="17"/>
        <v>-100</v>
      </c>
      <c r="E69" s="361">
        <f t="shared" si="18"/>
        <v>0</v>
      </c>
      <c r="F69" s="103"/>
      <c r="G69" s="176">
        <f>+G29</f>
        <v>0</v>
      </c>
      <c r="H69" s="176">
        <f>+H29</f>
        <v>0</v>
      </c>
      <c r="I69" s="104"/>
      <c r="J69" s="361">
        <f t="shared" si="20"/>
        <v>0</v>
      </c>
      <c r="K69" s="139"/>
      <c r="L69" s="222">
        <f ca="1">L29</f>
        <v>0</v>
      </c>
      <c r="M69" s="220">
        <f t="shared" ref="M69:O70" ca="1" si="27">+M29</f>
        <v>0</v>
      </c>
      <c r="N69" s="222">
        <f t="shared" ca="1" si="27"/>
        <v>0</v>
      </c>
      <c r="O69" s="220">
        <f t="shared" ca="1" si="27"/>
        <v>0</v>
      </c>
      <c r="P69" s="206"/>
      <c r="Q69" s="206"/>
      <c r="R69" s="206"/>
      <c r="S69" s="182"/>
      <c r="T69" s="139"/>
    </row>
    <row r="70" spans="1:240" ht="18.75" customHeight="1" x14ac:dyDescent="0.3">
      <c r="A70" s="86" t="s">
        <v>99</v>
      </c>
      <c r="B70" s="103">
        <f>B30</f>
        <v>494563</v>
      </c>
      <c r="C70" s="103">
        <f>+C30</f>
        <v>577343.84699999995</v>
      </c>
      <c r="D70" s="104">
        <f t="shared" si="17"/>
        <v>16.7</v>
      </c>
      <c r="E70" s="361">
        <f t="shared" si="18"/>
        <v>0.68319361209735663</v>
      </c>
      <c r="F70" s="103"/>
      <c r="G70" s="176">
        <f>+G30</f>
        <v>0</v>
      </c>
      <c r="H70" s="176">
        <f>+H30</f>
        <v>0</v>
      </c>
      <c r="I70" s="104"/>
      <c r="J70" s="361">
        <f t="shared" si="20"/>
        <v>0</v>
      </c>
      <c r="K70" s="139"/>
      <c r="L70" s="222">
        <f ca="1">L30</f>
        <v>0</v>
      </c>
      <c r="M70" s="220">
        <f t="shared" ca="1" si="27"/>
        <v>0</v>
      </c>
      <c r="N70" s="222">
        <f t="shared" ca="1" si="27"/>
        <v>0</v>
      </c>
      <c r="O70" s="220">
        <f t="shared" ca="1" si="27"/>
        <v>0</v>
      </c>
      <c r="P70" s="206"/>
      <c r="Q70" s="206"/>
      <c r="R70" s="206"/>
      <c r="S70" s="182"/>
      <c r="T70" s="139"/>
    </row>
    <row r="71" spans="1:240" s="111" customFormat="1" ht="18.75" customHeight="1" x14ac:dyDescent="0.3">
      <c r="A71" s="113" t="s">
        <v>2</v>
      </c>
      <c r="B71" s="114">
        <f>SUM(B48:B70)</f>
        <v>78797211.281015605</v>
      </c>
      <c r="C71" s="114">
        <f>SUM(C48:C70)</f>
        <v>84506622.54109706</v>
      </c>
      <c r="D71" s="115">
        <f>IF(B71=0, "    ---- ", IF(ABS(ROUND(100/B71*C71-100,1))&lt;999,ROUND(100/B71*C71-100,1),IF(ROUND(100/B71*C71-100,1)&gt;999,999,-999)))</f>
        <v>7.2</v>
      </c>
      <c r="E71" s="364">
        <f>SUM(E48:E70)</f>
        <v>99.999999999999972</v>
      </c>
      <c r="F71" s="109"/>
      <c r="G71" s="181">
        <f>SUM(G48:G70)</f>
        <v>1333223413.8004928</v>
      </c>
      <c r="H71" s="181">
        <f>SUM(H48:H70)</f>
        <v>1404235440.7612488</v>
      </c>
      <c r="I71" s="115">
        <f>IF(G71=0, "    ---- ", IF(ABS(ROUND(100/G71*H71-100,1))&lt;999,ROUND(100/G71*H71-100,1),IF(ROUND(100/G71*H71-100,1)&gt;999,999,-999)))</f>
        <v>5.3</v>
      </c>
      <c r="J71" s="364">
        <f>SUM(J48:J70)</f>
        <v>100</v>
      </c>
      <c r="K71" s="179"/>
      <c r="L71" s="228">
        <f ca="1">SUM(L48:L70)</f>
        <v>0</v>
      </c>
      <c r="M71" s="229">
        <f ca="1">SUM(M48:M70)</f>
        <v>0</v>
      </c>
      <c r="N71" s="228">
        <f ca="1">SUM(N48:N70)</f>
        <v>0</v>
      </c>
      <c r="O71" s="229">
        <f ca="1">SUM(O48:O70)</f>
        <v>0</v>
      </c>
      <c r="P71" s="208"/>
      <c r="Q71" s="208"/>
      <c r="R71" s="208"/>
      <c r="S71" s="138"/>
      <c r="T71" s="179"/>
    </row>
    <row r="72" spans="1:240" ht="18.75" customHeight="1" x14ac:dyDescent="0.3">
      <c r="A72" s="112" t="s">
        <v>103</v>
      </c>
      <c r="B72" s="112"/>
      <c r="C72" s="112"/>
      <c r="D72" s="112"/>
      <c r="E72" s="112"/>
      <c r="F72" s="112"/>
      <c r="G72" s="112"/>
      <c r="H72" s="112"/>
      <c r="I72" s="112"/>
      <c r="J72" s="112"/>
      <c r="K72" s="112"/>
      <c r="L72" s="185"/>
      <c r="M72" s="185"/>
      <c r="N72" s="185"/>
      <c r="O72" s="185"/>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112"/>
      <c r="GX72" s="112"/>
      <c r="GY72" s="112"/>
      <c r="GZ72" s="112"/>
      <c r="HA72" s="112"/>
      <c r="HB72" s="112"/>
      <c r="HC72" s="112"/>
      <c r="HD72" s="112"/>
      <c r="HE72" s="112"/>
      <c r="HF72" s="112"/>
      <c r="HG72" s="112"/>
      <c r="HH72" s="112"/>
      <c r="HI72" s="112"/>
      <c r="HJ72" s="112"/>
      <c r="HK72" s="112"/>
      <c r="HL72" s="112"/>
      <c r="HM72" s="112"/>
      <c r="HN72" s="112"/>
      <c r="HO72" s="112"/>
      <c r="HP72" s="112"/>
      <c r="HQ72" s="112"/>
      <c r="HR72" s="112"/>
      <c r="HS72" s="112"/>
      <c r="HT72" s="112"/>
      <c r="HU72" s="112"/>
      <c r="HV72" s="112"/>
      <c r="HW72" s="112"/>
      <c r="HX72" s="112"/>
      <c r="HY72" s="112"/>
      <c r="HZ72" s="112"/>
      <c r="IA72" s="112"/>
      <c r="IB72" s="112"/>
      <c r="IC72" s="112"/>
      <c r="ID72" s="112"/>
      <c r="IE72" s="112"/>
      <c r="IF72" s="112"/>
    </row>
    <row r="73" spans="1:240" ht="18.75" customHeight="1" x14ac:dyDescent="0.3">
      <c r="A73" s="74"/>
      <c r="B73" s="74"/>
      <c r="C73" s="74"/>
      <c r="D73" s="74"/>
      <c r="E73" s="74"/>
      <c r="F73" s="74"/>
      <c r="G73" s="74"/>
      <c r="H73" s="74"/>
      <c r="I73" s="74"/>
      <c r="J73" s="74"/>
      <c r="K73" s="74"/>
    </row>
    <row r="74" spans="1:240" ht="18.75" customHeight="1" x14ac:dyDescent="0.3">
      <c r="A74" s="74"/>
      <c r="B74" s="74"/>
      <c r="C74" s="74"/>
      <c r="D74" s="74"/>
      <c r="E74" s="74"/>
      <c r="F74" s="74"/>
      <c r="G74" s="74"/>
      <c r="H74" s="74"/>
      <c r="I74" s="74"/>
      <c r="J74" s="74"/>
      <c r="K74" s="74"/>
    </row>
    <row r="75" spans="1:240" ht="18.75" customHeight="1" x14ac:dyDescent="0.3">
      <c r="A75" s="74"/>
      <c r="B75" s="77"/>
      <c r="C75" s="77"/>
      <c r="D75" s="74"/>
      <c r="E75" s="74"/>
      <c r="F75" s="74"/>
      <c r="G75" s="77"/>
      <c r="H75" s="77"/>
      <c r="I75" s="74"/>
      <c r="J75" s="74"/>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112"/>
      <c r="B97" s="112"/>
      <c r="C97" s="112"/>
      <c r="D97" s="112"/>
      <c r="E97" s="112"/>
      <c r="F97" s="112"/>
      <c r="G97" s="112"/>
      <c r="H97" s="112"/>
      <c r="I97" s="112"/>
      <c r="J97" s="112"/>
      <c r="K97" s="112"/>
    </row>
    <row r="98" spans="1:11" ht="18.75" x14ac:dyDescent="0.3">
      <c r="A98" s="116"/>
      <c r="B98" s="117"/>
      <c r="C98" s="117"/>
      <c r="D98" s="117"/>
      <c r="E98" s="74"/>
      <c r="F98" s="74"/>
      <c r="G98" s="74"/>
      <c r="H98" s="74"/>
      <c r="I98" s="74"/>
      <c r="J98" s="75"/>
      <c r="K98" s="75"/>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77</v>
      </c>
      <c r="B1" s="73" t="s">
        <v>52</v>
      </c>
      <c r="C1" s="74"/>
      <c r="D1" s="74"/>
      <c r="E1" s="74"/>
      <c r="F1" s="74"/>
      <c r="G1" s="74"/>
      <c r="H1" s="74"/>
      <c r="I1" s="74"/>
      <c r="J1" s="74"/>
      <c r="K1" s="74"/>
      <c r="L1" s="74"/>
      <c r="M1" s="74"/>
    </row>
    <row r="2" spans="1:13" ht="20.25" x14ac:dyDescent="0.3">
      <c r="A2" s="80" t="s">
        <v>104</v>
      </c>
      <c r="B2" s="73"/>
      <c r="C2" s="74"/>
      <c r="D2" s="74"/>
      <c r="E2" s="74"/>
      <c r="F2" s="74"/>
      <c r="G2" s="74"/>
      <c r="H2" s="74"/>
      <c r="I2" s="74"/>
      <c r="J2" s="74"/>
      <c r="K2" s="74"/>
      <c r="L2" s="74"/>
      <c r="M2" s="74"/>
    </row>
    <row r="3" spans="1:13" ht="18.75" x14ac:dyDescent="0.3">
      <c r="A3" s="75" t="s">
        <v>105</v>
      </c>
      <c r="B3" s="74"/>
      <c r="C3" s="74"/>
      <c r="D3" s="74"/>
      <c r="E3" s="74"/>
      <c r="F3" s="74"/>
      <c r="G3" s="74"/>
      <c r="H3" s="74"/>
      <c r="I3" s="74"/>
      <c r="J3" s="74"/>
      <c r="K3" s="74"/>
      <c r="L3" s="74"/>
      <c r="M3" s="74"/>
    </row>
    <row r="4" spans="1:13" ht="18.75" x14ac:dyDescent="0.3">
      <c r="A4" s="82" t="s">
        <v>409</v>
      </c>
      <c r="B4" s="102"/>
      <c r="C4" s="118"/>
      <c r="D4" s="119"/>
      <c r="E4" s="112"/>
      <c r="F4" s="83"/>
      <c r="G4" s="84"/>
      <c r="H4" s="85"/>
      <c r="I4" s="112"/>
      <c r="J4" s="83"/>
      <c r="K4" s="84"/>
      <c r="L4" s="85"/>
      <c r="M4" s="74"/>
    </row>
    <row r="5" spans="1:13" ht="18.75" x14ac:dyDescent="0.3">
      <c r="A5" s="120"/>
      <c r="B5" s="653" t="s">
        <v>0</v>
      </c>
      <c r="C5" s="654"/>
      <c r="D5" s="655"/>
      <c r="E5" s="89"/>
      <c r="F5" s="653" t="s">
        <v>1</v>
      </c>
      <c r="G5" s="654"/>
      <c r="H5" s="655"/>
      <c r="I5" s="121"/>
      <c r="J5" s="653" t="s">
        <v>106</v>
      </c>
      <c r="K5" s="654"/>
      <c r="L5" s="655"/>
      <c r="M5" s="74"/>
    </row>
    <row r="6" spans="1:13" ht="18.75" x14ac:dyDescent="0.3">
      <c r="A6" s="122"/>
      <c r="B6" s="123"/>
      <c r="C6" s="124"/>
      <c r="D6" s="94" t="s">
        <v>107</v>
      </c>
      <c r="E6" s="100"/>
      <c r="F6" s="123"/>
      <c r="G6" s="124"/>
      <c r="H6" s="94" t="s">
        <v>107</v>
      </c>
      <c r="I6" s="125"/>
      <c r="J6" s="123"/>
      <c r="K6" s="124"/>
      <c r="L6" s="94" t="s">
        <v>107</v>
      </c>
      <c r="M6" s="74"/>
    </row>
    <row r="7" spans="1:13" ht="18.75" x14ac:dyDescent="0.3">
      <c r="A7" s="126" t="s">
        <v>108</v>
      </c>
      <c r="B7" s="127">
        <v>2018</v>
      </c>
      <c r="C7" s="184">
        <v>2019</v>
      </c>
      <c r="D7" s="99" t="s">
        <v>83</v>
      </c>
      <c r="E7" s="100"/>
      <c r="F7" s="127">
        <v>2018</v>
      </c>
      <c r="G7" s="184">
        <v>2019</v>
      </c>
      <c r="H7" s="99" t="s">
        <v>83</v>
      </c>
      <c r="I7" s="128"/>
      <c r="J7" s="127">
        <v>2018</v>
      </c>
      <c r="K7" s="184">
        <v>2019</v>
      </c>
      <c r="L7" s="99" t="s">
        <v>83</v>
      </c>
      <c r="M7" s="74"/>
    </row>
    <row r="8" spans="1:13" ht="22.5" x14ac:dyDescent="0.3">
      <c r="A8" s="191" t="s">
        <v>109</v>
      </c>
      <c r="B8" s="231"/>
      <c r="C8" s="200"/>
      <c r="D8" s="200"/>
      <c r="E8" s="182"/>
      <c r="F8" s="200"/>
      <c r="G8" s="200"/>
      <c r="H8" s="200"/>
      <c r="I8" s="201"/>
      <c r="J8" s="200"/>
      <c r="K8" s="200"/>
      <c r="L8" s="200"/>
      <c r="M8" s="74"/>
    </row>
    <row r="9" spans="1:13" ht="18.75" x14ac:dyDescent="0.3">
      <c r="A9" s="192" t="s">
        <v>110</v>
      </c>
      <c r="B9" s="104">
        <f>'Skjema total MA'!B7</f>
        <v>3516656.0912063131</v>
      </c>
      <c r="C9" s="104">
        <f>'Skjema total MA'!C7</f>
        <v>3648140.3237320976</v>
      </c>
      <c r="D9" s="232">
        <f>IF(B9=0, "    ---- ", IF(ABS(ROUND(100/B9*C9-100,1))&lt;999,ROUND(100/B9*C9-100,1),IF(ROUND(100/B9*C9-100,1)&gt;999,999,-999)))</f>
        <v>3.7</v>
      </c>
      <c r="E9" s="182"/>
      <c r="F9" s="195">
        <f>'Skjema total MA'!E7</f>
        <v>5497158.5092100007</v>
      </c>
      <c r="G9" s="195">
        <f>'Skjema total MA'!F7</f>
        <v>7165809.1212200001</v>
      </c>
      <c r="H9" s="232">
        <f>IF(F9=0, "    ---- ", IF(ABS(ROUND(100/F9*G9-100,1))&lt;999,ROUND(100/F9*G9-100,1),IF(ROUND(100/F9*G9-100,1)&gt;999,999,-999)))</f>
        <v>30.4</v>
      </c>
      <c r="I9" s="182"/>
      <c r="J9" s="195">
        <f t="shared" ref="J9:K60" si="0">SUM(B9+F9)</f>
        <v>9013814.6004163139</v>
      </c>
      <c r="K9" s="195">
        <f t="shared" si="0"/>
        <v>10813949.444952097</v>
      </c>
      <c r="L9" s="230">
        <f>IF(J9=0, "    ---- ", IF(ABS(ROUND(100/J9*K9-100,1))&lt;999,ROUND(100/J9*K9-100,1),IF(ROUND(100/J9*K9-100,1)&gt;999,999,-999)))</f>
        <v>20</v>
      </c>
      <c r="M9" s="74"/>
    </row>
    <row r="10" spans="1:13" ht="18.75" x14ac:dyDescent="0.3">
      <c r="A10" s="192" t="s">
        <v>111</v>
      </c>
      <c r="B10" s="104">
        <f>'Skjema total MA'!B22</f>
        <v>1200599.7574867592</v>
      </c>
      <c r="C10" s="104">
        <f>'Skjema total MA'!C22</f>
        <v>1362767.7466070242</v>
      </c>
      <c r="D10" s="232">
        <f t="shared" ref="D10:D17" si="1">IF(B10=0, "    ---- ", IF(ABS(ROUND(100/B10*C10-100,1))&lt;999,ROUND(100/B10*C10-100,1),IF(ROUND(100/B10*C10-100,1)&gt;999,999,-999)))</f>
        <v>13.5</v>
      </c>
      <c r="E10" s="182"/>
      <c r="F10" s="195">
        <f>'Skjema total MA'!E22</f>
        <v>771565.28350999998</v>
      </c>
      <c r="G10" s="195">
        <f>'Skjema total MA'!F22</f>
        <v>798772.13164000004</v>
      </c>
      <c r="H10" s="232">
        <f t="shared" ref="H10:H57" si="2">IF(F10=0, "    ---- ", IF(ABS(ROUND(100/F10*G10-100,1))&lt;999,ROUND(100/F10*G10-100,1),IF(ROUND(100/F10*G10-100,1)&gt;999,999,-999)))</f>
        <v>3.5</v>
      </c>
      <c r="I10" s="182"/>
      <c r="J10" s="195">
        <f t="shared" si="0"/>
        <v>1972165.0409967592</v>
      </c>
      <c r="K10" s="195">
        <f t="shared" si="0"/>
        <v>2161539.8782470245</v>
      </c>
      <c r="L10" s="230">
        <f t="shared" ref="L10:L60" si="3">IF(J10=0, "    ---- ", IF(ABS(ROUND(100/J10*K10-100,1))&lt;999,ROUND(100/J10*K10-100,1),IF(ROUND(100/J10*K10-100,1)&gt;999,999,-999)))</f>
        <v>9.6</v>
      </c>
      <c r="M10" s="74"/>
    </row>
    <row r="11" spans="1:13" ht="18.75" x14ac:dyDescent="0.3">
      <c r="A11" s="192" t="s">
        <v>112</v>
      </c>
      <c r="B11" s="104">
        <f>'Skjema total MA'!B47</f>
        <v>3689873.4923725286</v>
      </c>
      <c r="C11" s="104">
        <f>'Skjema total MA'!C47</f>
        <v>3826287.23887792</v>
      </c>
      <c r="D11" s="232">
        <f t="shared" si="1"/>
        <v>3.7</v>
      </c>
      <c r="E11" s="182"/>
      <c r="F11" s="195"/>
      <c r="G11" s="195"/>
      <c r="H11" s="232"/>
      <c r="I11" s="182"/>
      <c r="J11" s="195">
        <f t="shared" si="0"/>
        <v>3689873.4923725286</v>
      </c>
      <c r="K11" s="195">
        <f t="shared" si="0"/>
        <v>3826287.23887792</v>
      </c>
      <c r="L11" s="230">
        <f t="shared" si="3"/>
        <v>3.7</v>
      </c>
      <c r="M11" s="74"/>
    </row>
    <row r="12" spans="1:13" ht="18.75" x14ac:dyDescent="0.3">
      <c r="A12" s="192" t="s">
        <v>113</v>
      </c>
      <c r="B12" s="104">
        <f>'Skjema total MA'!B66</f>
        <v>7196350.2520500002</v>
      </c>
      <c r="C12" s="104">
        <f>'Skjema total MA'!C66</f>
        <v>7110980.4089499991</v>
      </c>
      <c r="D12" s="232">
        <f t="shared" si="1"/>
        <v>-1.2</v>
      </c>
      <c r="E12" s="182"/>
      <c r="F12" s="195">
        <f>'Skjema total MA'!E66</f>
        <v>21482709.84821</v>
      </c>
      <c r="G12" s="195">
        <f>'Skjema total MA'!F66</f>
        <v>23786683.901489999</v>
      </c>
      <c r="H12" s="232">
        <f t="shared" si="2"/>
        <v>10.7</v>
      </c>
      <c r="I12" s="182"/>
      <c r="J12" s="195">
        <f t="shared" si="0"/>
        <v>28679060.100260001</v>
      </c>
      <c r="K12" s="195">
        <f t="shared" si="0"/>
        <v>30897664.310439996</v>
      </c>
      <c r="L12" s="230">
        <f t="shared" si="3"/>
        <v>7.7</v>
      </c>
      <c r="M12" s="74"/>
    </row>
    <row r="13" spans="1:13" ht="18.75" x14ac:dyDescent="0.3">
      <c r="A13" s="192" t="s">
        <v>114</v>
      </c>
      <c r="B13" s="104">
        <f>'Skjema total MA'!B68</f>
        <v>132470.12831</v>
      </c>
      <c r="C13" s="104">
        <f>'Skjema total MA'!C68</f>
        <v>130691.25651000001</v>
      </c>
      <c r="D13" s="232">
        <f t="shared" si="1"/>
        <v>-1.3</v>
      </c>
      <c r="E13" s="182"/>
      <c r="F13" s="195">
        <f>'Skjema total MA'!E68</f>
        <v>21178067.78822</v>
      </c>
      <c r="G13" s="195">
        <f>'Skjema total MA'!F68</f>
        <v>23470528.546039999</v>
      </c>
      <c r="H13" s="232">
        <f t="shared" si="2"/>
        <v>10.8</v>
      </c>
      <c r="I13" s="182"/>
      <c r="J13" s="195">
        <f t="shared" si="0"/>
        <v>21310537.916529998</v>
      </c>
      <c r="K13" s="195">
        <f t="shared" si="0"/>
        <v>23601219.802549999</v>
      </c>
      <c r="L13" s="230">
        <f t="shared" si="3"/>
        <v>10.7</v>
      </c>
      <c r="M13" s="74"/>
    </row>
    <row r="14" spans="1:13" s="133" customFormat="1" ht="18.75" x14ac:dyDescent="0.3">
      <c r="A14" s="193" t="s">
        <v>115</v>
      </c>
      <c r="B14" s="131">
        <f>'Skjema total MA'!B75</f>
        <v>243025.87884000002</v>
      </c>
      <c r="C14" s="131">
        <f>'Skjema total MA'!C75</f>
        <v>295660.35291999998</v>
      </c>
      <c r="D14" s="232">
        <f t="shared" si="1"/>
        <v>21.7</v>
      </c>
      <c r="E14" s="183"/>
      <c r="F14" s="196">
        <f>'Skjema total MA'!E75</f>
        <v>304642.05998999998</v>
      </c>
      <c r="G14" s="196">
        <f>'Skjema total MA'!F75</f>
        <v>316155.35545000003</v>
      </c>
      <c r="H14" s="232">
        <f t="shared" si="2"/>
        <v>3.8</v>
      </c>
      <c r="I14" s="183"/>
      <c r="J14" s="195">
        <f t="shared" si="0"/>
        <v>547667.93883</v>
      </c>
      <c r="K14" s="195">
        <f t="shared" si="0"/>
        <v>611815.70837000001</v>
      </c>
      <c r="L14" s="230">
        <f t="shared" si="3"/>
        <v>11.7</v>
      </c>
      <c r="M14" s="132"/>
    </row>
    <row r="15" spans="1:13" ht="22.5" x14ac:dyDescent="0.3">
      <c r="A15" s="192" t="s">
        <v>356</v>
      </c>
      <c r="B15" s="104">
        <f>'Skjema total MA'!B134</f>
        <v>35322559.840970002</v>
      </c>
      <c r="C15" s="104">
        <f>'Skjema total MA'!C134</f>
        <v>36679238.238579996</v>
      </c>
      <c r="D15" s="232">
        <f t="shared" si="1"/>
        <v>3.8</v>
      </c>
      <c r="E15" s="182"/>
      <c r="F15" s="195">
        <f>'Skjema total MA'!E134</f>
        <v>116827.63</v>
      </c>
      <c r="G15" s="195">
        <f>'Skjema total MA'!F134</f>
        <v>125663.209</v>
      </c>
      <c r="H15" s="232">
        <f t="shared" si="2"/>
        <v>7.6</v>
      </c>
      <c r="I15" s="182"/>
      <c r="J15" s="195">
        <f t="shared" si="0"/>
        <v>35439387.470970005</v>
      </c>
      <c r="K15" s="195">
        <f t="shared" si="0"/>
        <v>36804901.447579995</v>
      </c>
      <c r="L15" s="230">
        <f t="shared" si="3"/>
        <v>3.9</v>
      </c>
      <c r="M15" s="74"/>
    </row>
    <row r="16" spans="1:13" ht="18.75" x14ac:dyDescent="0.3">
      <c r="A16" s="192" t="s">
        <v>116</v>
      </c>
      <c r="B16" s="104">
        <f>'Skjema total MA'!B36</f>
        <v>2910.576</v>
      </c>
      <c r="C16" s="104">
        <f>'Skjema total MA'!C36</f>
        <v>2280.221</v>
      </c>
      <c r="D16" s="232">
        <f t="shared" si="1"/>
        <v>-21.7</v>
      </c>
      <c r="E16" s="182"/>
      <c r="F16" s="195">
        <f>'Skjema total MA'!E36</f>
        <v>0</v>
      </c>
      <c r="G16" s="195">
        <f>'Skjema total MA'!F36</f>
        <v>0</v>
      </c>
      <c r="H16" s="232"/>
      <c r="I16" s="182"/>
      <c r="J16" s="195">
        <f t="shared" si="0"/>
        <v>2910.576</v>
      </c>
      <c r="K16" s="195">
        <f t="shared" si="0"/>
        <v>2280.221</v>
      </c>
      <c r="L16" s="230">
        <f t="shared" si="3"/>
        <v>-21.7</v>
      </c>
      <c r="M16" s="74"/>
    </row>
    <row r="17" spans="1:23" s="135" customFormat="1" ht="18.75" customHeight="1" x14ac:dyDescent="0.3">
      <c r="A17" s="137" t="s">
        <v>117</v>
      </c>
      <c r="B17" s="110">
        <f>'Tabel 1.1'!B31</f>
        <v>50928950.010085605</v>
      </c>
      <c r="C17" s="197">
        <f>'Tabel 1.1'!C31</f>
        <v>52629694.177747048</v>
      </c>
      <c r="D17" s="232">
        <f t="shared" si="1"/>
        <v>3.3</v>
      </c>
      <c r="E17" s="138"/>
      <c r="F17" s="197">
        <f>'Tabel 1.1'!B44</f>
        <v>27868261.27093</v>
      </c>
      <c r="G17" s="197">
        <f>'Tabel 1.1'!C44</f>
        <v>31876928.36335</v>
      </c>
      <c r="H17" s="232">
        <f t="shared" si="2"/>
        <v>14.4</v>
      </c>
      <c r="I17" s="138"/>
      <c r="J17" s="197">
        <f t="shared" si="0"/>
        <v>78797211.281015605</v>
      </c>
      <c r="K17" s="197">
        <f t="shared" si="0"/>
        <v>84506622.541097045</v>
      </c>
      <c r="L17" s="230">
        <f t="shared" si="3"/>
        <v>7.2</v>
      </c>
      <c r="M17" s="75"/>
      <c r="N17" s="134"/>
      <c r="O17" s="134"/>
      <c r="Q17" s="136"/>
      <c r="R17" s="136"/>
      <c r="S17" s="136"/>
      <c r="T17" s="136"/>
      <c r="U17" s="136"/>
      <c r="V17" s="136"/>
      <c r="W17" s="136"/>
    </row>
    <row r="18" spans="1:23" ht="18.75" customHeight="1" x14ac:dyDescent="0.3">
      <c r="A18" s="137"/>
      <c r="B18" s="104"/>
      <c r="C18" s="195"/>
      <c r="D18" s="195"/>
      <c r="E18" s="182"/>
      <c r="F18" s="195"/>
      <c r="G18" s="195"/>
      <c r="H18" s="232"/>
      <c r="I18" s="182"/>
      <c r="J18" s="195"/>
      <c r="K18" s="195"/>
      <c r="L18" s="230"/>
      <c r="M18" s="74"/>
    </row>
    <row r="19" spans="1:23" ht="18.75" customHeight="1" x14ac:dyDescent="0.3">
      <c r="A19" s="191" t="s">
        <v>357</v>
      </c>
      <c r="B19" s="199"/>
      <c r="C19" s="202"/>
      <c r="D19" s="195"/>
      <c r="E19" s="182"/>
      <c r="F19" s="202"/>
      <c r="G19" s="202"/>
      <c r="H19" s="232"/>
      <c r="I19" s="182"/>
      <c r="J19" s="195"/>
      <c r="K19" s="195"/>
      <c r="L19" s="230"/>
      <c r="M19" s="74"/>
    </row>
    <row r="20" spans="1:23" ht="18.75" customHeight="1" x14ac:dyDescent="0.3">
      <c r="A20" s="192" t="s">
        <v>110</v>
      </c>
      <c r="B20" s="104">
        <f>'Skjema total MA'!B10</f>
        <v>21211479.059001159</v>
      </c>
      <c r="C20" s="104">
        <f>'Skjema total MA'!C10</f>
        <v>19308741.75651937</v>
      </c>
      <c r="D20" s="232">
        <f>IF(B20=0, "    ---- ", IF(ABS(ROUND(100/B20*C20-100,1))&lt;999,ROUND(100/B20*C20-100,1),IF(ROUND(100/B20*C20-100,1)&gt;999,999,-999)))</f>
        <v>-9</v>
      </c>
      <c r="E20" s="182"/>
      <c r="F20" s="195">
        <f>'Skjema total MA'!E10</f>
        <v>44606708.838434599</v>
      </c>
      <c r="G20" s="195">
        <f>'Skjema total MA'!F10</f>
        <v>49243113.64593</v>
      </c>
      <c r="H20" s="232">
        <f t="shared" si="2"/>
        <v>10.4</v>
      </c>
      <c r="I20" s="182"/>
      <c r="J20" s="195">
        <f t="shared" si="0"/>
        <v>65818187.897435755</v>
      </c>
      <c r="K20" s="195">
        <f t="shared" si="0"/>
        <v>68551855.402449369</v>
      </c>
      <c r="L20" s="230">
        <f t="shared" si="3"/>
        <v>4.2</v>
      </c>
      <c r="M20" s="74"/>
    </row>
    <row r="21" spans="1:23" ht="18.75" customHeight="1" x14ac:dyDescent="0.3">
      <c r="A21" s="192" t="s">
        <v>111</v>
      </c>
      <c r="B21" s="104">
        <f>'Skjema total MA'!B29</f>
        <v>48187169.287810005</v>
      </c>
      <c r="C21" s="104">
        <f>'Skjema total MA'!C29</f>
        <v>46962248.738984928</v>
      </c>
      <c r="D21" s="232">
        <f t="shared" ref="D21:D27" si="4">IF(B21=0, "    ---- ", IF(ABS(ROUND(100/B21*C21-100,1))&lt;999,ROUND(100/B21*C21-100,1),IF(ROUND(100/B21*C21-100,1)&gt;999,999,-999)))</f>
        <v>-2.5</v>
      </c>
      <c r="E21" s="182"/>
      <c r="F21" s="195">
        <f>'Skjema total MA'!E29</f>
        <v>20599448.362949997</v>
      </c>
      <c r="G21" s="195">
        <f>'Skjema total MA'!F29</f>
        <v>21296746.107960001</v>
      </c>
      <c r="H21" s="232">
        <f t="shared" si="2"/>
        <v>3.4</v>
      </c>
      <c r="I21" s="182"/>
      <c r="J21" s="195">
        <f t="shared" si="0"/>
        <v>68786617.650759995</v>
      </c>
      <c r="K21" s="195">
        <f t="shared" si="0"/>
        <v>68258994.846944928</v>
      </c>
      <c r="L21" s="230">
        <f t="shared" si="3"/>
        <v>-0.8</v>
      </c>
      <c r="M21" s="74"/>
    </row>
    <row r="22" spans="1:23" ht="18.75" x14ac:dyDescent="0.3">
      <c r="A22" s="192" t="s">
        <v>113</v>
      </c>
      <c r="B22" s="104">
        <f>'Skjema total MA'!B87</f>
        <v>385752452.07682163</v>
      </c>
      <c r="C22" s="104">
        <f>'Skjema total MA'!C87</f>
        <v>390291110.36356461</v>
      </c>
      <c r="D22" s="232">
        <f t="shared" si="4"/>
        <v>1.2</v>
      </c>
      <c r="E22" s="182"/>
      <c r="F22" s="195">
        <f>'Skjema total MA'!E87</f>
        <v>259587592.96527541</v>
      </c>
      <c r="G22" s="195">
        <f>'Skjema total MA'!F87</f>
        <v>294500655.63305002</v>
      </c>
      <c r="H22" s="232">
        <f t="shared" si="2"/>
        <v>13.4</v>
      </c>
      <c r="I22" s="182"/>
      <c r="J22" s="195">
        <f t="shared" si="0"/>
        <v>645340045.04209709</v>
      </c>
      <c r="K22" s="195">
        <f t="shared" si="0"/>
        <v>684791765.99661469</v>
      </c>
      <c r="L22" s="230">
        <f t="shared" si="3"/>
        <v>6.1</v>
      </c>
      <c r="M22" s="74"/>
    </row>
    <row r="23" spans="1:23" ht="22.5" x14ac:dyDescent="0.3">
      <c r="A23" s="192" t="s">
        <v>118</v>
      </c>
      <c r="B23" s="104">
        <f>'Skjema total MA'!B89</f>
        <v>2636927.1810573502</v>
      </c>
      <c r="C23" s="104">
        <f>'Skjema total MA'!C89</f>
        <v>3033395.3110634806</v>
      </c>
      <c r="D23" s="232">
        <f t="shared" si="4"/>
        <v>15</v>
      </c>
      <c r="E23" s="182"/>
      <c r="F23" s="195">
        <f>'Skjema total MA'!E89</f>
        <v>258556149.83675539</v>
      </c>
      <c r="G23" s="195">
        <f>'Skjema total MA'!F89</f>
        <v>293104991.97979999</v>
      </c>
      <c r="H23" s="232">
        <f t="shared" si="2"/>
        <v>13.4</v>
      </c>
      <c r="I23" s="182"/>
      <c r="J23" s="195">
        <f t="shared" si="0"/>
        <v>261193077.01781276</v>
      </c>
      <c r="K23" s="195">
        <f t="shared" si="0"/>
        <v>296138387.29086345</v>
      </c>
      <c r="L23" s="230">
        <f t="shared" si="3"/>
        <v>13.4</v>
      </c>
      <c r="M23" s="74"/>
    </row>
    <row r="24" spans="1:23" ht="18.75" x14ac:dyDescent="0.3">
      <c r="A24" s="193" t="s">
        <v>115</v>
      </c>
      <c r="B24" s="104">
        <f>'Skjema total MA'!B96</f>
        <v>756706.69482999993</v>
      </c>
      <c r="C24" s="104">
        <f>'Skjema total MA'!C96</f>
        <v>1242885.31745</v>
      </c>
      <c r="D24" s="232">
        <f t="shared" si="4"/>
        <v>64.2</v>
      </c>
      <c r="E24" s="182"/>
      <c r="F24" s="195">
        <f>'Skjema total MA'!E96</f>
        <v>1031443.12852</v>
      </c>
      <c r="G24" s="195">
        <f>'Skjema total MA'!F96</f>
        <v>1395663.65325</v>
      </c>
      <c r="H24" s="232">
        <f t="shared" si="2"/>
        <v>35.299999999999997</v>
      </c>
      <c r="I24" s="182"/>
      <c r="J24" s="195">
        <f t="shared" si="0"/>
        <v>1788149.82335</v>
      </c>
      <c r="K24" s="195">
        <f t="shared" si="0"/>
        <v>2638548.9706999999</v>
      </c>
      <c r="L24" s="230">
        <f t="shared" si="3"/>
        <v>47.6</v>
      </c>
      <c r="M24" s="74"/>
    </row>
    <row r="25" spans="1:23" ht="22.5" x14ac:dyDescent="0.3">
      <c r="A25" s="192" t="s">
        <v>356</v>
      </c>
      <c r="B25" s="104">
        <f>'Skjema total MA'!B135</f>
        <v>546877923.79205</v>
      </c>
      <c r="C25" s="104">
        <f>'Skjema total MA'!C135</f>
        <v>576252216.01008999</v>
      </c>
      <c r="D25" s="232">
        <f t="shared" si="4"/>
        <v>5.4</v>
      </c>
      <c r="E25" s="182"/>
      <c r="F25" s="195">
        <f>'Skjema total MA'!E135</f>
        <v>2478827.29715</v>
      </c>
      <c r="G25" s="195">
        <f>'Skjema total MA'!F135</f>
        <v>2644541.49015</v>
      </c>
      <c r="H25" s="232">
        <f t="shared" si="2"/>
        <v>6.7</v>
      </c>
      <c r="I25" s="182"/>
      <c r="J25" s="195">
        <f t="shared" si="0"/>
        <v>549356751.08920002</v>
      </c>
      <c r="K25" s="195">
        <f t="shared" si="0"/>
        <v>578896757.50023997</v>
      </c>
      <c r="L25" s="230">
        <f t="shared" si="3"/>
        <v>5.4</v>
      </c>
      <c r="M25" s="74"/>
    </row>
    <row r="26" spans="1:23" ht="18.75" x14ac:dyDescent="0.3">
      <c r="A26" s="192" t="s">
        <v>116</v>
      </c>
      <c r="B26" s="104">
        <f>'Skjema total MA'!B37</f>
        <v>3921812.1209999998</v>
      </c>
      <c r="C26" s="104">
        <f>'Skjema total MA'!C37</f>
        <v>3736067.0150000001</v>
      </c>
      <c r="D26" s="232">
        <f t="shared" si="4"/>
        <v>-4.7</v>
      </c>
      <c r="E26" s="182"/>
      <c r="F26" s="195">
        <f>'Skjema total MA'!E37</f>
        <v>0</v>
      </c>
      <c r="G26" s="195">
        <f>'Skjema total MA'!F37</f>
        <v>0</v>
      </c>
      <c r="H26" s="232"/>
      <c r="I26" s="182"/>
      <c r="J26" s="195">
        <f t="shared" si="0"/>
        <v>3921812.1209999998</v>
      </c>
      <c r="K26" s="195">
        <f t="shared" si="0"/>
        <v>3736067.0150000001</v>
      </c>
      <c r="L26" s="230">
        <f t="shared" si="3"/>
        <v>-4.7</v>
      </c>
      <c r="M26" s="74"/>
    </row>
    <row r="27" spans="1:23" s="135" customFormat="1" ht="18.75" x14ac:dyDescent="0.3">
      <c r="A27" s="137" t="s">
        <v>119</v>
      </c>
      <c r="B27" s="110">
        <f>'Tabel 1.1'!G31</f>
        <v>1005950836.3366828</v>
      </c>
      <c r="C27" s="197">
        <f>'Tabel 1.1'!H31</f>
        <v>1036550383.8841588</v>
      </c>
      <c r="D27" s="232">
        <f t="shared" si="4"/>
        <v>3</v>
      </c>
      <c r="E27" s="138"/>
      <c r="F27" s="197">
        <f>'Tabel 1.1'!G44</f>
        <v>327272577.46380997</v>
      </c>
      <c r="G27" s="197">
        <f>'Tabel 1.1'!H44</f>
        <v>367685056.87708998</v>
      </c>
      <c r="H27" s="232">
        <f t="shared" si="2"/>
        <v>12.3</v>
      </c>
      <c r="I27" s="138"/>
      <c r="J27" s="197">
        <f t="shared" si="0"/>
        <v>1333223413.8004928</v>
      </c>
      <c r="K27" s="197">
        <f t="shared" si="0"/>
        <v>1404235440.7612488</v>
      </c>
      <c r="L27" s="230">
        <f t="shared" si="3"/>
        <v>5.3</v>
      </c>
      <c r="M27" s="75"/>
      <c r="N27" s="134"/>
      <c r="O27" s="134"/>
    </row>
    <row r="28" spans="1:23" ht="18.75" x14ac:dyDescent="0.3">
      <c r="A28" s="137"/>
      <c r="B28" s="104"/>
      <c r="C28" s="195"/>
      <c r="D28" s="232"/>
      <c r="E28" s="182"/>
      <c r="F28" s="195"/>
      <c r="G28" s="195"/>
      <c r="H28" s="232"/>
      <c r="I28" s="182"/>
      <c r="J28" s="195">
        <f t="shared" si="0"/>
        <v>0</v>
      </c>
      <c r="K28" s="195">
        <f t="shared" si="0"/>
        <v>0</v>
      </c>
      <c r="L28" s="230"/>
      <c r="M28" s="74"/>
    </row>
    <row r="29" spans="1:23" ht="22.5" x14ac:dyDescent="0.3">
      <c r="A29" s="191" t="s">
        <v>358</v>
      </c>
      <c r="B29" s="199"/>
      <c r="C29" s="202"/>
      <c r="D29" s="195"/>
      <c r="E29" s="182"/>
      <c r="F29" s="195"/>
      <c r="G29" s="195"/>
      <c r="H29" s="232"/>
      <c r="I29" s="182"/>
      <c r="J29" s="195"/>
      <c r="K29" s="195"/>
      <c r="L29" s="230"/>
      <c r="M29" s="74"/>
    </row>
    <row r="30" spans="1:23" ht="18.75" x14ac:dyDescent="0.3">
      <c r="A30" s="192" t="s">
        <v>110</v>
      </c>
      <c r="B30" s="104">
        <f>'Skjema total MA'!B11</f>
        <v>22541</v>
      </c>
      <c r="C30" s="104">
        <f>'Skjema total MA'!C11</f>
        <v>45521.815999999999</v>
      </c>
      <c r="D30" s="232">
        <f>IF(B30=0, "    ---- ", IF(ABS(ROUND(100/B30*C30-100,1))&lt;999,ROUND(100/B30*C30-100,1),IF(ROUND(100/B30*C30-100,1)&gt;999,999,-999)))</f>
        <v>102</v>
      </c>
      <c r="E30" s="182"/>
      <c r="F30" s="195">
        <f>'Skjema total MA'!E11</f>
        <v>205366.20844000002</v>
      </c>
      <c r="G30" s="195">
        <f>'Skjema total MA'!F11</f>
        <v>230644.28218000001</v>
      </c>
      <c r="H30" s="232">
        <f t="shared" si="2"/>
        <v>12.3</v>
      </c>
      <c r="I30" s="182"/>
      <c r="J30" s="195">
        <f t="shared" si="0"/>
        <v>227907.20844000002</v>
      </c>
      <c r="K30" s="195">
        <f t="shared" si="0"/>
        <v>276166.09818000003</v>
      </c>
      <c r="L30" s="230">
        <f t="shared" si="3"/>
        <v>21.2</v>
      </c>
      <c r="M30" s="74"/>
    </row>
    <row r="31" spans="1:23" ht="18.75" x14ac:dyDescent="0.3">
      <c r="A31" s="192" t="s">
        <v>111</v>
      </c>
      <c r="B31" s="104">
        <f>'Skjema total MA'!B34</f>
        <v>21214.471410000002</v>
      </c>
      <c r="C31" s="104">
        <f>'Skjema total MA'!C34</f>
        <v>21812.762000000002</v>
      </c>
      <c r="D31" s="232">
        <f t="shared" ref="D31:D38" si="5">IF(B31=0, "    ---- ", IF(ABS(ROUND(100/B31*C31-100,1))&lt;999,ROUND(100/B31*C31-100,1),IF(ROUND(100/B31*C31-100,1)&gt;999,999,-999)))</f>
        <v>2.8</v>
      </c>
      <c r="E31" s="182"/>
      <c r="F31" s="195">
        <f>'Skjema total MA'!E34</f>
        <v>50224.690560000003</v>
      </c>
      <c r="G31" s="195">
        <f>'Skjema total MA'!F34</f>
        <v>56709.114930000003</v>
      </c>
      <c r="H31" s="232">
        <f t="shared" si="2"/>
        <v>12.9</v>
      </c>
      <c r="I31" s="182"/>
      <c r="J31" s="195">
        <f t="shared" si="0"/>
        <v>71439.161970000001</v>
      </c>
      <c r="K31" s="195">
        <f t="shared" si="0"/>
        <v>78521.876929999999</v>
      </c>
      <c r="L31" s="230">
        <f t="shared" si="3"/>
        <v>9.9</v>
      </c>
      <c r="M31" s="74"/>
    </row>
    <row r="32" spans="1:23" ht="18.75" x14ac:dyDescent="0.3">
      <c r="A32" s="192" t="s">
        <v>113</v>
      </c>
      <c r="B32" s="104">
        <f>'Skjema total MA'!B111</f>
        <v>357377.45717999997</v>
      </c>
      <c r="C32" s="104">
        <f>'Skjema total MA'!C111</f>
        <v>379040.60068999999</v>
      </c>
      <c r="D32" s="232">
        <f t="shared" si="5"/>
        <v>6.1</v>
      </c>
      <c r="E32" s="182"/>
      <c r="F32" s="195">
        <f>'Skjema total MA'!E111</f>
        <v>10813675.01701</v>
      </c>
      <c r="G32" s="195">
        <f>'Skjema total MA'!F111</f>
        <v>11036026.356990002</v>
      </c>
      <c r="H32" s="232">
        <f t="shared" si="2"/>
        <v>2.1</v>
      </c>
      <c r="I32" s="182"/>
      <c r="J32" s="195">
        <f t="shared" si="0"/>
        <v>11171052.47419</v>
      </c>
      <c r="K32" s="195">
        <f t="shared" si="0"/>
        <v>11415066.957680002</v>
      </c>
      <c r="L32" s="230">
        <f t="shared" si="3"/>
        <v>2.2000000000000002</v>
      </c>
      <c r="M32" s="74"/>
    </row>
    <row r="33" spans="1:15" ht="22.5" x14ac:dyDescent="0.3">
      <c r="A33" s="192" t="s">
        <v>356</v>
      </c>
      <c r="B33" s="104">
        <f>'Skjema total MA'!B136</f>
        <v>315551.48612999998</v>
      </c>
      <c r="C33" s="104">
        <f>'Skjema total MA'!C136</f>
        <v>106107.522</v>
      </c>
      <c r="D33" s="232">
        <f t="shared" si="5"/>
        <v>-66.400000000000006</v>
      </c>
      <c r="E33" s="182"/>
      <c r="F33" s="195">
        <f>'Skjema total MA'!E136</f>
        <v>-10.804</v>
      </c>
      <c r="G33" s="195">
        <f>'Skjema total MA'!F136</f>
        <v>0</v>
      </c>
      <c r="H33" s="232">
        <f t="shared" si="2"/>
        <v>-100</v>
      </c>
      <c r="I33" s="182"/>
      <c r="J33" s="195">
        <f t="shared" si="0"/>
        <v>315540.68212999997</v>
      </c>
      <c r="K33" s="195">
        <f t="shared" si="0"/>
        <v>106107.522</v>
      </c>
      <c r="L33" s="230">
        <f t="shared" si="3"/>
        <v>-66.400000000000006</v>
      </c>
      <c r="M33" s="74"/>
    </row>
    <row r="34" spans="1:15" ht="18.75" x14ac:dyDescent="0.3">
      <c r="A34" s="192" t="s">
        <v>116</v>
      </c>
      <c r="B34" s="104">
        <f>'Skjema total MA'!B38</f>
        <v>0</v>
      </c>
      <c r="C34" s="104">
        <f>'Skjema total MA'!C38</f>
        <v>0</v>
      </c>
      <c r="D34" s="232"/>
      <c r="E34" s="182"/>
      <c r="F34" s="195">
        <f>'Skjema total MA'!E38</f>
        <v>0</v>
      </c>
      <c r="G34" s="195">
        <f>'Skjema total MA'!F38</f>
        <v>0</v>
      </c>
      <c r="H34" s="232"/>
      <c r="I34" s="182"/>
      <c r="J34" s="195">
        <f t="shared" si="0"/>
        <v>0</v>
      </c>
      <c r="K34" s="195">
        <f t="shared" si="0"/>
        <v>0</v>
      </c>
      <c r="L34" s="230"/>
      <c r="M34" s="74"/>
    </row>
    <row r="35" spans="1:15" s="135" customFormat="1" ht="18.75" x14ac:dyDescent="0.3">
      <c r="A35" s="137" t="s">
        <v>120</v>
      </c>
      <c r="B35" s="110">
        <f>SUM(B30:B34)</f>
        <v>716684.41472</v>
      </c>
      <c r="C35" s="197">
        <f>SUM(C30:C34)</f>
        <v>552482.70068999997</v>
      </c>
      <c r="D35" s="232">
        <f t="shared" si="5"/>
        <v>-22.9</v>
      </c>
      <c r="E35" s="138"/>
      <c r="F35" s="197">
        <f>SUM(F30:F34)</f>
        <v>11069255.11201</v>
      </c>
      <c r="G35" s="197">
        <f>SUM(G30:G34)</f>
        <v>11323379.754100002</v>
      </c>
      <c r="H35" s="232">
        <f t="shared" si="2"/>
        <v>2.2999999999999998</v>
      </c>
      <c r="I35" s="138"/>
      <c r="J35" s="197">
        <f t="shared" si="0"/>
        <v>11785939.526730001</v>
      </c>
      <c r="K35" s="197">
        <f t="shared" si="0"/>
        <v>11875862.454790002</v>
      </c>
      <c r="L35" s="230">
        <f t="shared" si="3"/>
        <v>0.8</v>
      </c>
      <c r="M35" s="75"/>
    </row>
    <row r="36" spans="1:15" ht="18.75" x14ac:dyDescent="0.3">
      <c r="A36" s="137"/>
      <c r="B36" s="110"/>
      <c r="C36" s="197"/>
      <c r="D36" s="232"/>
      <c r="E36" s="138"/>
      <c r="F36" s="197"/>
      <c r="G36" s="197"/>
      <c r="H36" s="232"/>
      <c r="I36" s="138"/>
      <c r="J36" s="195"/>
      <c r="K36" s="195"/>
      <c r="L36" s="230"/>
      <c r="M36" s="74"/>
    </row>
    <row r="37" spans="1:15" ht="22.5" x14ac:dyDescent="0.3">
      <c r="A37" s="137" t="s">
        <v>359</v>
      </c>
      <c r="B37" s="110"/>
      <c r="C37" s="197"/>
      <c r="D37" s="195"/>
      <c r="E37" s="138"/>
      <c r="F37" s="197"/>
      <c r="G37" s="197"/>
      <c r="H37" s="232"/>
      <c r="I37" s="138"/>
      <c r="J37" s="195"/>
      <c r="K37" s="195"/>
      <c r="L37" s="230"/>
      <c r="M37" s="74"/>
    </row>
    <row r="38" spans="1:15" s="135" customFormat="1" ht="18.75" x14ac:dyDescent="0.3">
      <c r="A38" s="137" t="s">
        <v>112</v>
      </c>
      <c r="B38" s="110">
        <f>'Skjema total MA'!B53</f>
        <v>97665.195999999982</v>
      </c>
      <c r="C38" s="110">
        <f>'Skjema total MA'!C53</f>
        <v>227550.31900000002</v>
      </c>
      <c r="D38" s="232">
        <f t="shared" si="5"/>
        <v>133</v>
      </c>
      <c r="E38" s="138"/>
      <c r="F38" s="197"/>
      <c r="G38" s="197"/>
      <c r="H38" s="232"/>
      <c r="I38" s="138"/>
      <c r="J38" s="197">
        <f t="shared" si="0"/>
        <v>97665.195999999982</v>
      </c>
      <c r="K38" s="197">
        <f t="shared" si="0"/>
        <v>227550.31900000002</v>
      </c>
      <c r="L38" s="230">
        <f t="shared" si="3"/>
        <v>133</v>
      </c>
      <c r="M38" s="75"/>
    </row>
    <row r="39" spans="1:15" ht="18.75" x14ac:dyDescent="0.3">
      <c r="A39" s="137"/>
      <c r="B39" s="110"/>
      <c r="C39" s="197"/>
      <c r="D39" s="195"/>
      <c r="E39" s="138"/>
      <c r="F39" s="197"/>
      <c r="G39" s="197"/>
      <c r="H39" s="232"/>
      <c r="I39" s="138"/>
      <c r="J39" s="195"/>
      <c r="K39" s="195"/>
      <c r="L39" s="230"/>
      <c r="M39" s="74"/>
    </row>
    <row r="40" spans="1:15" ht="22.5" x14ac:dyDescent="0.3">
      <c r="A40" s="191" t="s">
        <v>360</v>
      </c>
      <c r="B40" s="199"/>
      <c r="C40" s="202"/>
      <c r="D40" s="195"/>
      <c r="E40" s="182"/>
      <c r="F40" s="195"/>
      <c r="G40" s="195"/>
      <c r="H40" s="232"/>
      <c r="I40" s="182"/>
      <c r="J40" s="195"/>
      <c r="K40" s="195"/>
      <c r="L40" s="230"/>
      <c r="M40" s="74"/>
    </row>
    <row r="41" spans="1:15" ht="18.75" x14ac:dyDescent="0.3">
      <c r="A41" s="192" t="s">
        <v>110</v>
      </c>
      <c r="B41" s="104">
        <f>'Skjema total MA'!B12</f>
        <v>79</v>
      </c>
      <c r="C41" s="104">
        <f>'Skjema total MA'!C12</f>
        <v>4903</v>
      </c>
      <c r="D41" s="232">
        <f>IF(B41=0, "    ---- ", IF(ABS(ROUND(100/B41*C41-100,1))&lt;999,ROUND(100/B41*C41-100,1),IF(ROUND(100/B41*C41-100,1)&gt;999,999,-999)))</f>
        <v>999</v>
      </c>
      <c r="E41" s="182"/>
      <c r="F41" s="195">
        <f>'Skjema total MA'!E12</f>
        <v>173298.80124</v>
      </c>
      <c r="G41" s="195">
        <f>'Skjema total MA'!F12</f>
        <v>168556.18584999998</v>
      </c>
      <c r="H41" s="232">
        <f t="shared" si="2"/>
        <v>-2.7</v>
      </c>
      <c r="I41" s="182"/>
      <c r="J41" s="195">
        <f t="shared" si="0"/>
        <v>173377.80124</v>
      </c>
      <c r="K41" s="195">
        <f t="shared" si="0"/>
        <v>173459.18584999998</v>
      </c>
      <c r="L41" s="230">
        <f t="shared" si="3"/>
        <v>0</v>
      </c>
      <c r="M41" s="74"/>
    </row>
    <row r="42" spans="1:15" ht="18.75" x14ac:dyDescent="0.3">
      <c r="A42" s="192" t="s">
        <v>111</v>
      </c>
      <c r="B42" s="104">
        <f>'Skjema total MA'!B35</f>
        <v>-24272.818340000002</v>
      </c>
      <c r="C42" s="104">
        <f>'Skjema total MA'!C35</f>
        <v>-14995.950700000001</v>
      </c>
      <c r="D42" s="232">
        <f t="shared" ref="D42:D46" si="6">IF(B42=0, "    ---- ", IF(ABS(ROUND(100/B42*C42-100,1))&lt;999,ROUND(100/B42*C42-100,1),IF(ROUND(100/B42*C42-100,1)&gt;999,999,-999)))</f>
        <v>-38.200000000000003</v>
      </c>
      <c r="E42" s="182"/>
      <c r="F42" s="195">
        <f>'Skjema total MA'!E35</f>
        <v>79482.412830000001</v>
      </c>
      <c r="G42" s="195">
        <f>'Skjema total MA'!F35</f>
        <v>88011.717409999983</v>
      </c>
      <c r="H42" s="232">
        <f t="shared" si="2"/>
        <v>10.7</v>
      </c>
      <c r="I42" s="182"/>
      <c r="J42" s="195">
        <f t="shared" si="0"/>
        <v>55209.594490000003</v>
      </c>
      <c r="K42" s="195">
        <f t="shared" si="0"/>
        <v>73015.766709999982</v>
      </c>
      <c r="L42" s="230">
        <f t="shared" si="3"/>
        <v>32.299999999999997</v>
      </c>
      <c r="M42" s="74"/>
    </row>
    <row r="43" spans="1:15" ht="18.75" x14ac:dyDescent="0.3">
      <c r="A43" s="192" t="s">
        <v>113</v>
      </c>
      <c r="B43" s="104">
        <f>'Skjema total MA'!B119</f>
        <v>794097.99107999995</v>
      </c>
      <c r="C43" s="104">
        <f>'Skjema total MA'!C119</f>
        <v>388362.41899999988</v>
      </c>
      <c r="D43" s="232">
        <f t="shared" si="6"/>
        <v>-51.1</v>
      </c>
      <c r="E43" s="182"/>
      <c r="F43" s="195">
        <f>'Skjema total MA'!E119</f>
        <v>10893609.215970002</v>
      </c>
      <c r="G43" s="195">
        <f>'Skjema total MA'!F119</f>
        <v>11062987.154130001</v>
      </c>
      <c r="H43" s="232">
        <f t="shared" si="2"/>
        <v>1.6</v>
      </c>
      <c r="I43" s="182"/>
      <c r="J43" s="195">
        <f t="shared" si="0"/>
        <v>11687707.207050001</v>
      </c>
      <c r="K43" s="195">
        <f t="shared" si="0"/>
        <v>11451349.57313</v>
      </c>
      <c r="L43" s="230">
        <f t="shared" si="3"/>
        <v>-2</v>
      </c>
      <c r="M43" s="74"/>
    </row>
    <row r="44" spans="1:15" ht="22.5" x14ac:dyDescent="0.3">
      <c r="A44" s="192" t="s">
        <v>356</v>
      </c>
      <c r="B44" s="104">
        <f>'Skjema total MA'!B137</f>
        <v>496739.50099999999</v>
      </c>
      <c r="C44" s="104">
        <f>'Skjema total MA'!C137</f>
        <v>288211.58799999999</v>
      </c>
      <c r="D44" s="232">
        <f t="shared" si="6"/>
        <v>-42</v>
      </c>
      <c r="E44" s="182"/>
      <c r="F44" s="195">
        <f>'Skjema total MA'!E137</f>
        <v>0</v>
      </c>
      <c r="G44" s="195">
        <f>'Skjema total MA'!F137</f>
        <v>0</v>
      </c>
      <c r="H44" s="232"/>
      <c r="I44" s="182"/>
      <c r="J44" s="195">
        <f t="shared" si="0"/>
        <v>496739.50099999999</v>
      </c>
      <c r="K44" s="195">
        <f t="shared" si="0"/>
        <v>288211.58799999999</v>
      </c>
      <c r="L44" s="230">
        <f t="shared" si="3"/>
        <v>-42</v>
      </c>
      <c r="M44" s="74"/>
    </row>
    <row r="45" spans="1:15" ht="18.75" x14ac:dyDescent="0.3">
      <c r="A45" s="192" t="s">
        <v>116</v>
      </c>
      <c r="B45" s="104">
        <f>'Skjema total MA'!B39</f>
        <v>3</v>
      </c>
      <c r="C45" s="104">
        <f>'Skjema total MA'!C39</f>
        <v>2</v>
      </c>
      <c r="D45" s="232">
        <f t="shared" si="6"/>
        <v>-33.299999999999997</v>
      </c>
      <c r="E45" s="182"/>
      <c r="F45" s="195"/>
      <c r="G45" s="195"/>
      <c r="H45" s="232"/>
      <c r="I45" s="182"/>
      <c r="J45" s="195">
        <f t="shared" si="0"/>
        <v>3</v>
      </c>
      <c r="K45" s="195">
        <f t="shared" si="0"/>
        <v>2</v>
      </c>
      <c r="L45" s="230">
        <f t="shared" si="3"/>
        <v>-33.299999999999997</v>
      </c>
      <c r="M45" s="74"/>
    </row>
    <row r="46" spans="1:15" s="135" customFormat="1" ht="18.75" x14ac:dyDescent="0.3">
      <c r="A46" s="137" t="s">
        <v>121</v>
      </c>
      <c r="B46" s="110">
        <f>SUM(B41:B45)</f>
        <v>1266646.67374</v>
      </c>
      <c r="C46" s="197">
        <f>SUM(C41:C45)</f>
        <v>666483.05629999982</v>
      </c>
      <c r="D46" s="232">
        <f t="shared" si="6"/>
        <v>-47.4</v>
      </c>
      <c r="E46" s="138"/>
      <c r="F46" s="197">
        <f>SUM(F41:F45)</f>
        <v>11146390.430040002</v>
      </c>
      <c r="G46" s="271">
        <f>SUM(G41:G45)</f>
        <v>11319555.057390001</v>
      </c>
      <c r="H46" s="232">
        <f t="shared" si="2"/>
        <v>1.6</v>
      </c>
      <c r="I46" s="138"/>
      <c r="J46" s="197">
        <f t="shared" si="0"/>
        <v>12413037.103780001</v>
      </c>
      <c r="K46" s="197">
        <f t="shared" si="0"/>
        <v>11986038.11369</v>
      </c>
      <c r="L46" s="230">
        <f t="shared" si="3"/>
        <v>-3.4</v>
      </c>
      <c r="M46" s="75"/>
      <c r="N46" s="134"/>
      <c r="O46" s="134"/>
    </row>
    <row r="47" spans="1:15" ht="18.75" x14ac:dyDescent="0.3">
      <c r="A47" s="137"/>
      <c r="B47" s="110"/>
      <c r="C47" s="197"/>
      <c r="D47" s="195"/>
      <c r="E47" s="138"/>
      <c r="F47" s="197"/>
      <c r="G47" s="197"/>
      <c r="H47" s="232"/>
      <c r="I47" s="138"/>
      <c r="J47" s="195"/>
      <c r="K47" s="195"/>
      <c r="L47" s="230"/>
      <c r="M47" s="74"/>
    </row>
    <row r="48" spans="1:15" ht="22.5" x14ac:dyDescent="0.3">
      <c r="A48" s="137" t="s">
        <v>361</v>
      </c>
      <c r="B48" s="110"/>
      <c r="C48" s="197"/>
      <c r="D48" s="195"/>
      <c r="E48" s="138"/>
      <c r="F48" s="197"/>
      <c r="G48" s="197"/>
      <c r="H48" s="232"/>
      <c r="I48" s="138"/>
      <c r="J48" s="195"/>
      <c r="K48" s="195"/>
      <c r="L48" s="230"/>
      <c r="M48" s="74"/>
    </row>
    <row r="49" spans="1:15" s="135" customFormat="1" ht="18.75" x14ac:dyDescent="0.3">
      <c r="A49" s="137" t="s">
        <v>112</v>
      </c>
      <c r="B49" s="110">
        <f>'Skjema total MA'!B56</f>
        <v>106500.674</v>
      </c>
      <c r="C49" s="110">
        <f>'Skjema total MA'!C56</f>
        <v>167772.37900000002</v>
      </c>
      <c r="D49" s="232">
        <f t="shared" ref="D49" si="7">IF(B49=0, "    ---- ", IF(ABS(ROUND(100/B49*C49-100,1))&lt;999,ROUND(100/B49*C49-100,1),IF(ROUND(100/B49*C49-100,1)&gt;999,999,-999)))</f>
        <v>57.5</v>
      </c>
      <c r="E49" s="138"/>
      <c r="F49" s="197"/>
      <c r="G49" s="197"/>
      <c r="H49" s="232"/>
      <c r="I49" s="138"/>
      <c r="J49" s="197">
        <f>SUM(B49+F49)</f>
        <v>106500.674</v>
      </c>
      <c r="K49" s="197">
        <f>SUM(C49+G49)</f>
        <v>167772.37900000002</v>
      </c>
      <c r="L49" s="230">
        <f t="shared" si="3"/>
        <v>57.5</v>
      </c>
      <c r="M49" s="75"/>
    </row>
    <row r="50" spans="1:15" ht="18.75" x14ac:dyDescent="0.3">
      <c r="A50" s="137"/>
      <c r="B50" s="104"/>
      <c r="C50" s="195"/>
      <c r="D50" s="195"/>
      <c r="E50" s="182"/>
      <c r="F50" s="195"/>
      <c r="G50" s="195"/>
      <c r="H50" s="232"/>
      <c r="I50" s="182"/>
      <c r="J50" s="195"/>
      <c r="K50" s="195"/>
      <c r="L50" s="230"/>
      <c r="M50" s="74"/>
    </row>
    <row r="51" spans="1:15" ht="21.75" x14ac:dyDescent="0.3">
      <c r="A51" s="191" t="s">
        <v>362</v>
      </c>
      <c r="B51" s="104"/>
      <c r="C51" s="195"/>
      <c r="D51" s="195"/>
      <c r="E51" s="182"/>
      <c r="F51" s="195"/>
      <c r="G51" s="195"/>
      <c r="H51" s="232"/>
      <c r="I51" s="182"/>
      <c r="J51" s="195"/>
      <c r="K51" s="195"/>
      <c r="L51" s="230"/>
      <c r="M51" s="74"/>
    </row>
    <row r="52" spans="1:15" ht="18.75" x14ac:dyDescent="0.3">
      <c r="A52" s="192" t="s">
        <v>110</v>
      </c>
      <c r="B52" s="104">
        <f>B30-B41</f>
        <v>22462</v>
      </c>
      <c r="C52" s="195">
        <f>C30-C41</f>
        <v>40618.815999999999</v>
      </c>
      <c r="D52" s="232">
        <f>IF(B52=0, "    ---- ", IF(ABS(ROUND(100/B52*C52-100,1))&lt;999,ROUND(100/B52*C52-100,1),IF(ROUND(100/B52*C52-100,1)&gt;999,999,-999)))</f>
        <v>80.8</v>
      </c>
      <c r="E52" s="182"/>
      <c r="F52" s="195">
        <f>F30-F41</f>
        <v>32067.407200000016</v>
      </c>
      <c r="G52" s="195">
        <f>G30-G41</f>
        <v>62088.096330000029</v>
      </c>
      <c r="H52" s="232">
        <f t="shared" si="2"/>
        <v>93.6</v>
      </c>
      <c r="I52" s="182"/>
      <c r="J52" s="195">
        <f t="shared" si="0"/>
        <v>54529.407200000016</v>
      </c>
      <c r="K52" s="195">
        <f t="shared" si="0"/>
        <v>102706.91233000002</v>
      </c>
      <c r="L52" s="230">
        <f t="shared" si="3"/>
        <v>88.4</v>
      </c>
      <c r="M52" s="74"/>
    </row>
    <row r="53" spans="1:15" ht="18.75" x14ac:dyDescent="0.3">
      <c r="A53" s="192" t="s">
        <v>111</v>
      </c>
      <c r="B53" s="104">
        <f t="shared" ref="B53:C56" si="8">B31-B42</f>
        <v>45487.289750000004</v>
      </c>
      <c r="C53" s="195">
        <f t="shared" si="8"/>
        <v>36808.712700000004</v>
      </c>
      <c r="D53" s="232">
        <f t="shared" ref="D53:D56" si="9">IF(B53=0, "    ---- ", IF(ABS(ROUND(100/B53*C53-100,1))&lt;999,ROUND(100/B53*C53-100,1),IF(ROUND(100/B53*C53-100,1)&gt;999,999,-999)))</f>
        <v>-19.100000000000001</v>
      </c>
      <c r="E53" s="182"/>
      <c r="F53" s="195">
        <f t="shared" ref="F53:G56" si="10">F31-F42</f>
        <v>-29257.722269999998</v>
      </c>
      <c r="G53" s="195">
        <f t="shared" si="10"/>
        <v>-31302.60247999998</v>
      </c>
      <c r="H53" s="232">
        <f t="shared" si="2"/>
        <v>7</v>
      </c>
      <c r="I53" s="182"/>
      <c r="J53" s="195">
        <f t="shared" si="0"/>
        <v>16229.567480000005</v>
      </c>
      <c r="K53" s="195">
        <f t="shared" si="0"/>
        <v>5506.1102200000241</v>
      </c>
      <c r="L53" s="230">
        <f t="shared" si="3"/>
        <v>-66.099999999999994</v>
      </c>
      <c r="M53" s="74"/>
    </row>
    <row r="54" spans="1:15" ht="18.75" x14ac:dyDescent="0.3">
      <c r="A54" s="192" t="s">
        <v>113</v>
      </c>
      <c r="B54" s="104">
        <f t="shared" si="8"/>
        <v>-436720.53389999998</v>
      </c>
      <c r="C54" s="195">
        <f t="shared" si="8"/>
        <v>-9321.818309999886</v>
      </c>
      <c r="D54" s="232">
        <f t="shared" si="9"/>
        <v>-97.9</v>
      </c>
      <c r="E54" s="182"/>
      <c r="F54" s="195">
        <f t="shared" si="10"/>
        <v>-79934.198960002512</v>
      </c>
      <c r="G54" s="195">
        <f t="shared" si="10"/>
        <v>-26960.797139998525</v>
      </c>
      <c r="H54" s="232">
        <f t="shared" si="2"/>
        <v>-66.3</v>
      </c>
      <c r="I54" s="182"/>
      <c r="J54" s="195">
        <f t="shared" si="0"/>
        <v>-516654.73286000249</v>
      </c>
      <c r="K54" s="195">
        <f t="shared" si="0"/>
        <v>-36282.615449998411</v>
      </c>
      <c r="L54" s="230">
        <f t="shared" si="3"/>
        <v>-93</v>
      </c>
      <c r="M54" s="74"/>
    </row>
    <row r="55" spans="1:15" ht="22.5" x14ac:dyDescent="0.3">
      <c r="A55" s="192" t="s">
        <v>356</v>
      </c>
      <c r="B55" s="104">
        <f t="shared" si="8"/>
        <v>-181188.01487000001</v>
      </c>
      <c r="C55" s="195">
        <f t="shared" si="8"/>
        <v>-182104.06599999999</v>
      </c>
      <c r="D55" s="232">
        <f t="shared" si="9"/>
        <v>0.5</v>
      </c>
      <c r="E55" s="182"/>
      <c r="F55" s="195">
        <f t="shared" si="10"/>
        <v>-10.804</v>
      </c>
      <c r="G55" s="195">
        <f t="shared" si="10"/>
        <v>0</v>
      </c>
      <c r="H55" s="232">
        <f t="shared" si="2"/>
        <v>-100</v>
      </c>
      <c r="I55" s="182"/>
      <c r="J55" s="195">
        <f t="shared" si="0"/>
        <v>-181198.81887000002</v>
      </c>
      <c r="K55" s="195">
        <f t="shared" si="0"/>
        <v>-182104.06599999999</v>
      </c>
      <c r="L55" s="230">
        <f t="shared" si="3"/>
        <v>0.5</v>
      </c>
      <c r="M55" s="74"/>
    </row>
    <row r="56" spans="1:15" ht="18.75" x14ac:dyDescent="0.3">
      <c r="A56" s="192" t="s">
        <v>116</v>
      </c>
      <c r="B56" s="104">
        <f t="shared" si="8"/>
        <v>-3</v>
      </c>
      <c r="C56" s="195">
        <f t="shared" si="8"/>
        <v>-2</v>
      </c>
      <c r="D56" s="232">
        <f t="shared" si="9"/>
        <v>-33.299999999999997</v>
      </c>
      <c r="E56" s="182"/>
      <c r="F56" s="195">
        <f t="shared" si="10"/>
        <v>0</v>
      </c>
      <c r="G56" s="195">
        <f t="shared" si="10"/>
        <v>0</v>
      </c>
      <c r="H56" s="232"/>
      <c r="I56" s="182"/>
      <c r="J56" s="195">
        <f t="shared" si="0"/>
        <v>-3</v>
      </c>
      <c r="K56" s="195">
        <f t="shared" si="0"/>
        <v>-2</v>
      </c>
      <c r="L56" s="230">
        <f t="shared" si="3"/>
        <v>-33.299999999999997</v>
      </c>
      <c r="M56" s="74"/>
    </row>
    <row r="57" spans="1:15" s="135" customFormat="1" ht="18.75" x14ac:dyDescent="0.3">
      <c r="A57" s="137" t="s">
        <v>122</v>
      </c>
      <c r="B57" s="110">
        <f>SUM(B52:B56)</f>
        <v>-549962.25902</v>
      </c>
      <c r="C57" s="197">
        <f>SUM(C52:C56)</f>
        <v>-114000.35560999988</v>
      </c>
      <c r="D57" s="232">
        <f>IF(B57=0, "    ---- ", IF(ABS(ROUND(100/B57*C57-100,1))&lt;999,ROUND(100/B57*C57-100,1),IF(ROUND(100/B57*C57-100,1)&gt;999,999,-999)))</f>
        <v>-79.3</v>
      </c>
      <c r="E57" s="138"/>
      <c r="F57" s="197">
        <f>SUM(F52:F56)</f>
        <v>-77135.318030002498</v>
      </c>
      <c r="G57" s="271">
        <f>SUM(G52:G56)</f>
        <v>3824.6967100015245</v>
      </c>
      <c r="H57" s="232">
        <f t="shared" si="2"/>
        <v>-105</v>
      </c>
      <c r="I57" s="138"/>
      <c r="J57" s="197">
        <f t="shared" si="0"/>
        <v>-627097.57705000252</v>
      </c>
      <c r="K57" s="195">
        <f t="shared" si="0"/>
        <v>-110175.65889999835</v>
      </c>
      <c r="L57" s="230">
        <f t="shared" si="3"/>
        <v>-82.4</v>
      </c>
      <c r="M57" s="75"/>
      <c r="N57" s="134"/>
      <c r="O57" s="134"/>
    </row>
    <row r="58" spans="1:15" ht="18.75" x14ac:dyDescent="0.3">
      <c r="A58" s="137"/>
      <c r="B58" s="110"/>
      <c r="C58" s="197"/>
      <c r="D58" s="232"/>
      <c r="E58" s="138"/>
      <c r="F58" s="197"/>
      <c r="G58" s="197"/>
      <c r="H58" s="232"/>
      <c r="I58" s="138"/>
      <c r="J58" s="197"/>
      <c r="K58" s="195"/>
      <c r="L58" s="230"/>
      <c r="M58" s="74"/>
    </row>
    <row r="59" spans="1:15" ht="22.5" x14ac:dyDescent="0.3">
      <c r="A59" s="137" t="s">
        <v>363</v>
      </c>
      <c r="B59" s="110"/>
      <c r="C59" s="197"/>
      <c r="D59" s="232"/>
      <c r="E59" s="138"/>
      <c r="F59" s="197"/>
      <c r="G59" s="197"/>
      <c r="H59" s="232"/>
      <c r="I59" s="138"/>
      <c r="J59" s="197"/>
      <c r="K59" s="195"/>
      <c r="L59" s="230"/>
      <c r="M59" s="74"/>
    </row>
    <row r="60" spans="1:15" s="135" customFormat="1" ht="18.75" x14ac:dyDescent="0.3">
      <c r="A60" s="137" t="s">
        <v>112</v>
      </c>
      <c r="B60" s="110">
        <f>B38-B49</f>
        <v>-8835.4780000000173</v>
      </c>
      <c r="C60" s="197">
        <f>C38-C49</f>
        <v>59777.94</v>
      </c>
      <c r="D60" s="232" t="s">
        <v>181</v>
      </c>
      <c r="E60" s="138"/>
      <c r="F60" s="197">
        <f>F38-F49</f>
        <v>0</v>
      </c>
      <c r="G60" s="197">
        <f>G38-G49</f>
        <v>0</v>
      </c>
      <c r="H60" s="232"/>
      <c r="I60" s="138"/>
      <c r="J60" s="197">
        <f t="shared" si="0"/>
        <v>-8835.4780000000173</v>
      </c>
      <c r="K60" s="195">
        <f t="shared" si="0"/>
        <v>59777.94</v>
      </c>
      <c r="L60" s="230">
        <f t="shared" si="3"/>
        <v>-776.6</v>
      </c>
      <c r="M60" s="75"/>
    </row>
    <row r="61" spans="1:15" s="135" customFormat="1" ht="18.75" x14ac:dyDescent="0.3">
      <c r="A61" s="194"/>
      <c r="B61" s="115"/>
      <c r="C61" s="198"/>
      <c r="D61" s="203"/>
      <c r="E61" s="138"/>
      <c r="F61" s="198"/>
      <c r="G61" s="198"/>
      <c r="H61" s="203"/>
      <c r="I61" s="138"/>
      <c r="J61" s="203"/>
      <c r="K61" s="203"/>
      <c r="L61" s="203"/>
      <c r="M61" s="75"/>
    </row>
    <row r="62" spans="1:15" ht="18.75" x14ac:dyDescent="0.3">
      <c r="A62" s="112" t="s">
        <v>123</v>
      </c>
      <c r="C62" s="139"/>
      <c r="D62" s="139"/>
      <c r="E62" s="139"/>
      <c r="F62" s="139"/>
      <c r="G62" s="112"/>
      <c r="H62" s="74"/>
      <c r="I62" s="112"/>
      <c r="J62" s="112"/>
      <c r="K62" s="112"/>
      <c r="L62" s="74"/>
      <c r="M62" s="74"/>
    </row>
    <row r="63" spans="1:15" ht="18.75" x14ac:dyDescent="0.3">
      <c r="A63" s="112" t="s">
        <v>124</v>
      </c>
      <c r="C63" s="139"/>
      <c r="D63" s="139"/>
      <c r="E63" s="139"/>
      <c r="F63" s="139"/>
      <c r="G63" s="74"/>
      <c r="H63" s="74"/>
      <c r="I63" s="74"/>
      <c r="J63" s="74"/>
      <c r="K63" s="74"/>
      <c r="L63" s="74"/>
      <c r="M63" s="74"/>
    </row>
    <row r="64" spans="1:15" ht="18.75" x14ac:dyDescent="0.3">
      <c r="A64" s="112" t="s">
        <v>103</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80" zoomScaleNormal="8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77</v>
      </c>
      <c r="B1" s="73" t="s">
        <v>52</v>
      </c>
      <c r="C1" s="80"/>
      <c r="D1" s="80"/>
      <c r="E1" s="80"/>
      <c r="F1" s="74"/>
      <c r="G1" s="74"/>
      <c r="H1" s="74"/>
      <c r="I1" s="74"/>
      <c r="J1" s="74"/>
    </row>
    <row r="2" spans="1:10" ht="20.100000000000001" customHeight="1" x14ac:dyDescent="0.3">
      <c r="A2" s="80" t="s">
        <v>160</v>
      </c>
      <c r="B2" s="80"/>
      <c r="C2" s="80"/>
      <c r="D2" s="80"/>
      <c r="E2" s="80"/>
      <c r="F2" s="74"/>
      <c r="G2" s="74"/>
      <c r="H2" s="74"/>
      <c r="I2" s="74"/>
      <c r="J2" s="74"/>
    </row>
    <row r="3" spans="1:10" ht="20.100000000000001" customHeight="1" x14ac:dyDescent="0.3">
      <c r="A3" s="75"/>
      <c r="B3" s="75"/>
      <c r="C3" s="75"/>
      <c r="D3" s="75"/>
      <c r="E3" s="255"/>
      <c r="F3" s="74"/>
      <c r="G3" s="74"/>
      <c r="H3" s="74"/>
      <c r="I3" s="74"/>
      <c r="J3" s="74"/>
    </row>
    <row r="4" spans="1:10" ht="20.100000000000001" customHeight="1" x14ac:dyDescent="0.3">
      <c r="A4" s="256"/>
      <c r="B4" s="657" t="s">
        <v>161</v>
      </c>
      <c r="C4" s="657"/>
      <c r="D4" s="658"/>
      <c r="E4" s="89"/>
      <c r="F4" s="659" t="s">
        <v>161</v>
      </c>
      <c r="G4" s="657"/>
      <c r="H4" s="658"/>
      <c r="I4" s="74"/>
      <c r="J4" s="74"/>
    </row>
    <row r="5" spans="1:10" ht="18.75" customHeight="1" x14ac:dyDescent="0.3">
      <c r="A5" s="257" t="s">
        <v>409</v>
      </c>
      <c r="B5" s="660" t="s">
        <v>162</v>
      </c>
      <c r="C5" s="661"/>
      <c r="D5" s="662"/>
      <c r="E5" s="258"/>
      <c r="F5" s="663" t="s">
        <v>163</v>
      </c>
      <c r="G5" s="664"/>
      <c r="H5" s="665"/>
      <c r="I5" s="112"/>
      <c r="J5" s="74"/>
    </row>
    <row r="6" spans="1:10" ht="18.75" customHeight="1" x14ac:dyDescent="0.3">
      <c r="A6" s="122"/>
      <c r="B6" s="120"/>
      <c r="C6" s="191"/>
      <c r="D6" s="259" t="s">
        <v>81</v>
      </c>
      <c r="E6" s="259"/>
      <c r="F6" s="123"/>
      <c r="G6" s="124"/>
      <c r="H6" s="94" t="s">
        <v>81</v>
      </c>
      <c r="I6" s="100"/>
      <c r="J6" s="74"/>
    </row>
    <row r="7" spans="1:10" ht="18.75" customHeight="1" x14ac:dyDescent="0.3">
      <c r="A7" s="126"/>
      <c r="B7" s="97">
        <v>2018</v>
      </c>
      <c r="C7" s="97">
        <v>2019</v>
      </c>
      <c r="D7" s="260" t="s">
        <v>83</v>
      </c>
      <c r="E7" s="259"/>
      <c r="F7" s="97">
        <v>2018</v>
      </c>
      <c r="G7" s="127">
        <v>2019</v>
      </c>
      <c r="H7" s="261" t="s">
        <v>83</v>
      </c>
      <c r="I7" s="100"/>
      <c r="J7" s="74"/>
    </row>
    <row r="8" spans="1:10" ht="18.75" customHeight="1" x14ac:dyDescent="0.3">
      <c r="A8" s="101" t="s">
        <v>164</v>
      </c>
      <c r="B8" s="109">
        <f>SUM(B9:B14)</f>
        <v>149260.65933199</v>
      </c>
      <c r="C8" s="109">
        <f>SUM(C9:C14)</f>
        <v>158691.58087001002</v>
      </c>
      <c r="D8" s="262">
        <f t="shared" ref="D8:D38" si="0">IF(B8=0, "    ---- ", IF(ABS(ROUND(100/B8*C8-100,1))&lt;999,ROUND(100/B8*C8-100,1),IF(ROUND(100/B8*C8-100,1)&gt;999,999,-999)))</f>
        <v>6.3</v>
      </c>
      <c r="E8" s="263"/>
      <c r="F8" s="262">
        <f>SUM(F9:F14)</f>
        <v>99.999999999999986</v>
      </c>
      <c r="G8" s="262">
        <f>SUM(G9:G14)</f>
        <v>99.999999999999986</v>
      </c>
      <c r="H8" s="263">
        <f t="shared" ref="H8:H38" si="1">IF(F8=0, "    ---- ", IF(ABS(ROUND(100/F8*G8-100,1))&lt;999,ROUND(100/F8*G8-100,1),IF(ROUND(100/F8*G8-100,1)&gt;999,999,-999)))</f>
        <v>0</v>
      </c>
      <c r="I8" s="104"/>
      <c r="J8" s="74"/>
    </row>
    <row r="9" spans="1:10" ht="18.75" customHeight="1" x14ac:dyDescent="0.3">
      <c r="A9" s="86" t="s">
        <v>165</v>
      </c>
      <c r="B9" s="106">
        <f>'Tabell 6'!AO21</f>
        <v>3503.3901084499998</v>
      </c>
      <c r="C9" s="106">
        <f>'Tabell 6'!AP21</f>
        <v>2402.6755584500002</v>
      </c>
      <c r="D9" s="264">
        <f t="shared" si="0"/>
        <v>-31.4</v>
      </c>
      <c r="E9" s="264"/>
      <c r="F9" s="264">
        <f>'Tabell 6'!AO21/'Tabell 6'!AO29*100</f>
        <v>2.347162423192608</v>
      </c>
      <c r="G9" s="264">
        <f>'Tabell 6'!AP21/'Tabell 6'!AP29*100</f>
        <v>1.5140535781908417</v>
      </c>
      <c r="H9" s="265">
        <f t="shared" si="1"/>
        <v>-35.5</v>
      </c>
      <c r="I9" s="104"/>
      <c r="J9" s="77"/>
    </row>
    <row r="10" spans="1:10" ht="18.75" customHeight="1" x14ac:dyDescent="0.3">
      <c r="A10" s="86" t="s">
        <v>166</v>
      </c>
      <c r="B10" s="105">
        <f>'Tabell 6'!AO18+'Tabell 6'!AO22</f>
        <v>76268.518508900001</v>
      </c>
      <c r="C10" s="105">
        <f>'Tabell 6'!AP18+'Tabell 6'!AP22</f>
        <v>75025.303718640003</v>
      </c>
      <c r="D10" s="264">
        <f t="shared" si="0"/>
        <v>-1.6</v>
      </c>
      <c r="E10" s="264"/>
      <c r="F10" s="264">
        <f>('Tabell 6'!AO18+'Tabell 6'!AO22)/'Tabell 6'!AO29*100</f>
        <v>51.097535579861862</v>
      </c>
      <c r="G10" s="264">
        <f>('Tabell 6'!AP18+'Tabell 6'!AP22)/'Tabell 6'!AP29*100</f>
        <v>47.27743167427132</v>
      </c>
      <c r="H10" s="265">
        <f t="shared" si="1"/>
        <v>-7.5</v>
      </c>
      <c r="I10" s="104"/>
      <c r="J10" s="74"/>
    </row>
    <row r="11" spans="1:10" ht="18.75" customHeight="1" x14ac:dyDescent="0.3">
      <c r="A11" s="86" t="s">
        <v>167</v>
      </c>
      <c r="B11" s="105">
        <f>'Tabell 6'!AO14</f>
        <v>856.05352875000005</v>
      </c>
      <c r="C11" s="105">
        <f>'Tabell 6'!AP14</f>
        <v>975.04313575000003</v>
      </c>
      <c r="D11" s="264">
        <f t="shared" si="0"/>
        <v>13.9</v>
      </c>
      <c r="E11" s="264"/>
      <c r="F11" s="264">
        <f>'Tabell 6'!AO14/'Tabell 6'!AO29*100</f>
        <v>0.57352924245493275</v>
      </c>
      <c r="G11" s="264">
        <f>'Tabell 6'!AP14/'Tabell 6'!AP29*100</f>
        <v>0.61442650605938121</v>
      </c>
      <c r="H11" s="265">
        <f t="shared" si="1"/>
        <v>7.1</v>
      </c>
      <c r="I11" s="104"/>
      <c r="J11" s="74"/>
    </row>
    <row r="12" spans="1:10" ht="18.75" customHeight="1" x14ac:dyDescent="0.3">
      <c r="A12" s="108" t="s">
        <v>168</v>
      </c>
      <c r="B12" s="105">
        <f>'Tabell 6'!AO15</f>
        <v>21621.40497372</v>
      </c>
      <c r="C12" s="105">
        <f>'Tabell 6'!AP15</f>
        <v>24737.10447282</v>
      </c>
      <c r="D12" s="266">
        <f t="shared" si="0"/>
        <v>14.4</v>
      </c>
      <c r="E12" s="266"/>
      <c r="F12" s="264">
        <f>'Tabell 6'!AO15/'Tabell 6'!AO29*100</f>
        <v>14.485668943501736</v>
      </c>
      <c r="G12" s="264">
        <f>'Tabell 6'!AP15/'Tabell 6'!AP29*100</f>
        <v>15.588164373435193</v>
      </c>
      <c r="H12" s="265">
        <f t="shared" si="1"/>
        <v>7.6</v>
      </c>
      <c r="I12" s="104"/>
      <c r="J12" s="74"/>
    </row>
    <row r="13" spans="1:10" ht="18.75" customHeight="1" x14ac:dyDescent="0.3">
      <c r="A13" s="86" t="s">
        <v>169</v>
      </c>
      <c r="B13" s="105">
        <f>'Tabell 6'!AO19+'Tabell 6'!AO23</f>
        <v>23293.52536286</v>
      </c>
      <c r="C13" s="105">
        <f>'Tabell 6'!AP19+'Tabell 6'!AP23</f>
        <v>29336.683213229997</v>
      </c>
      <c r="D13" s="264">
        <f t="shared" si="0"/>
        <v>25.9</v>
      </c>
      <c r="E13" s="264"/>
      <c r="F13" s="264">
        <f>('Tabell 6'!AO19+'Tabell 6'!AO23)/'Tabell 6'!AO29*100</f>
        <v>15.605937604127721</v>
      </c>
      <c r="G13" s="264">
        <f>('Tabell 6'!AP19+'Tabell 6'!AP23)/'Tabell 6'!AP29*100</f>
        <v>18.486603418022995</v>
      </c>
      <c r="H13" s="265">
        <f t="shared" si="1"/>
        <v>18.5</v>
      </c>
      <c r="I13" s="104"/>
      <c r="J13" s="74"/>
    </row>
    <row r="14" spans="1:10" ht="18.75" customHeight="1" x14ac:dyDescent="0.3">
      <c r="A14" s="86" t="s">
        <v>170</v>
      </c>
      <c r="B14" s="176">
        <f>'Tabell 6'!AO17-'Tabell 6'!AO18+'Tabell 6'!AO24+'Tabell 6'!AO25+'Tabell 6'!AO26+'Tabell 6'!AO28</f>
        <v>23717.766849310003</v>
      </c>
      <c r="C14" s="176">
        <f>'Tabell 6'!AP17-'Tabell 6'!AP18+'Tabell 6'!AP24+'Tabell 6'!AP25+'Tabell 6'!AP26+'Tabell 6'!AP28</f>
        <v>26214.770771120002</v>
      </c>
      <c r="D14" s="264">
        <f t="shared" si="0"/>
        <v>10.5</v>
      </c>
      <c r="E14" s="264"/>
      <c r="F14" s="264">
        <f>('Tabell 6'!AO17-'Tabell 6'!AO18+'Tabell 6'!AO24+'Tabell 6'!AO25+'Tabell 6'!AO26+'Tabell 6'!AO28)/'Tabell 6'!AO29*100</f>
        <v>15.890166206861139</v>
      </c>
      <c r="G14" s="264">
        <f>('Tabell 6'!AP17-'Tabell 6'!AP18+'Tabell 6'!AP24+'Tabell 6'!AP25+'Tabell 6'!AP26+'Tabell 6'!AP28)/'Tabell 6'!AP29*100</f>
        <v>16.51932045002026</v>
      </c>
      <c r="H14" s="265">
        <f t="shared" si="1"/>
        <v>4</v>
      </c>
      <c r="I14" s="104"/>
      <c r="J14" s="74"/>
    </row>
    <row r="15" spans="1:10" ht="18.75" customHeight="1" x14ac:dyDescent="0.3">
      <c r="A15" s="192"/>
      <c r="B15" s="103"/>
      <c r="C15" s="176"/>
      <c r="D15" s="265"/>
      <c r="E15" s="265"/>
      <c r="F15" s="265"/>
      <c r="G15" s="264"/>
      <c r="H15" s="265"/>
      <c r="I15" s="104"/>
      <c r="J15" s="74"/>
    </row>
    <row r="16" spans="1:10" s="135" customFormat="1" ht="18.75" customHeight="1" x14ac:dyDescent="0.3">
      <c r="A16" s="101" t="s">
        <v>171</v>
      </c>
      <c r="B16" s="109">
        <f>SUM(B17:B22)</f>
        <v>1078829.2621445002</v>
      </c>
      <c r="C16" s="109">
        <f>SUM(C17:C22)</f>
        <v>1129767.0138244801</v>
      </c>
      <c r="D16" s="262">
        <f t="shared" si="0"/>
        <v>4.7</v>
      </c>
      <c r="E16" s="262"/>
      <c r="F16" s="262">
        <f>SUM(F17:F22)</f>
        <v>100</v>
      </c>
      <c r="G16" s="262">
        <f>SUM(G17:G22)</f>
        <v>100.00000000000001</v>
      </c>
      <c r="H16" s="263">
        <f t="shared" si="1"/>
        <v>0</v>
      </c>
      <c r="I16" s="110"/>
      <c r="J16" s="75"/>
    </row>
    <row r="17" spans="1:10" ht="18.75" customHeight="1" x14ac:dyDescent="0.3">
      <c r="A17" s="86" t="s">
        <v>165</v>
      </c>
      <c r="B17" s="103">
        <f>'Tabell 6'!AO40</f>
        <v>191155.85648879997</v>
      </c>
      <c r="C17" s="103">
        <f>'Tabell 6'!AP40</f>
        <v>202972.68894448</v>
      </c>
      <c r="D17" s="264">
        <f t="shared" si="0"/>
        <v>6.2</v>
      </c>
      <c r="E17" s="264"/>
      <c r="F17" s="264">
        <f>'Tabell 6'!AO40/('Tabell 6'!AO45+'Tabell 6'!AO46)*100</f>
        <v>17.718823839540633</v>
      </c>
      <c r="G17" s="264">
        <f>'Tabell 6'!AP40/('Tabell 6'!AP45+'Tabell 6'!AP46)*100</f>
        <v>17.965889113488824</v>
      </c>
      <c r="H17" s="265">
        <f t="shared" si="1"/>
        <v>1.4</v>
      </c>
      <c r="I17" s="104"/>
      <c r="J17" s="74"/>
    </row>
    <row r="18" spans="1:10" ht="18.75" customHeight="1" x14ac:dyDescent="0.3">
      <c r="A18" s="86" t="s">
        <v>166</v>
      </c>
      <c r="B18" s="103">
        <f>'Tabell 6'!AO37+'Tabell 6'!AO41</f>
        <v>346793.41025571001</v>
      </c>
      <c r="C18" s="103">
        <f>'Tabell 6'!AP37+'Tabell 6'!AP41</f>
        <v>345597.59544507996</v>
      </c>
      <c r="D18" s="264">
        <f t="shared" si="0"/>
        <v>-0.3</v>
      </c>
      <c r="E18" s="264"/>
      <c r="F18" s="264">
        <f>('Tabell 6'!AO37+'Tabell 6'!AO41)/('Tabell 6'!AO45+'Tabell 6'!AO46)*100</f>
        <v>32.145347037246012</v>
      </c>
      <c r="G18" s="264">
        <f>('Tabell 6'!AP37+'Tabell 6'!AP41)/('Tabell 6'!AP45+'Tabell 6'!AP46)*100</f>
        <v>30.590165159377886</v>
      </c>
      <c r="H18" s="265">
        <f t="shared" si="1"/>
        <v>-4.8</v>
      </c>
      <c r="I18" s="104"/>
      <c r="J18" s="74"/>
    </row>
    <row r="19" spans="1:10" ht="18.75" customHeight="1" x14ac:dyDescent="0.3">
      <c r="A19" s="86" t="s">
        <v>167</v>
      </c>
      <c r="B19" s="103">
        <f>'Tabell 6'!AO33</f>
        <v>34.477001969999996</v>
      </c>
      <c r="C19" s="103">
        <f>'Tabell 6'!AP33</f>
        <v>26.206001969999999</v>
      </c>
      <c r="D19" s="264">
        <f t="shared" si="0"/>
        <v>-24</v>
      </c>
      <c r="E19" s="264"/>
      <c r="F19" s="264">
        <f>'Tabell 6'!AO33/('Tabell 6'!AO45+'Tabell 6'!AO46)*100</f>
        <v>3.1957792747915009E-3</v>
      </c>
      <c r="G19" s="264">
        <f>'Tabell 6'!AP33/('Tabell 6'!AP45+'Tabell 6'!AP46)*100</f>
        <v>2.3195934780647926E-3</v>
      </c>
      <c r="H19" s="265">
        <f t="shared" si="1"/>
        <v>-27.4</v>
      </c>
      <c r="I19" s="104"/>
      <c r="J19" s="74"/>
    </row>
    <row r="20" spans="1:10" ht="18.75" customHeight="1" x14ac:dyDescent="0.3">
      <c r="A20" s="108" t="s">
        <v>168</v>
      </c>
      <c r="B20" s="105">
        <f>'Tabell 6'!AO34</f>
        <v>127898.37733914</v>
      </c>
      <c r="C20" s="105">
        <f>'Tabell 6'!AP34</f>
        <v>149173.52251932002</v>
      </c>
      <c r="D20" s="266">
        <f t="shared" si="0"/>
        <v>16.600000000000001</v>
      </c>
      <c r="E20" s="266"/>
      <c r="F20" s="264">
        <f>'Tabell 6'!AO34/('Tabell 6'!AO45+'Tabell 6'!AO46)*100</f>
        <v>11.855293680568439</v>
      </c>
      <c r="G20" s="264">
        <f>'Tabell 6'!AP34/('Tabell 6'!AP45+'Tabell 6'!AP46)*100</f>
        <v>13.20391909959725</v>
      </c>
      <c r="H20" s="265">
        <f t="shared" si="1"/>
        <v>11.4</v>
      </c>
      <c r="I20" s="104"/>
      <c r="J20" s="74"/>
    </row>
    <row r="21" spans="1:10" ht="18.75" customHeight="1" x14ac:dyDescent="0.3">
      <c r="A21" s="86" t="s">
        <v>169</v>
      </c>
      <c r="B21" s="103">
        <f>'Tabell 6'!AO38+'Tabell 6'!AO42</f>
        <v>403796.44663630007</v>
      </c>
      <c r="C21" s="103">
        <f>'Tabell 6'!AP38+'Tabell 6'!AP42</f>
        <v>420925.96114090999</v>
      </c>
      <c r="D21" s="264">
        <f t="shared" si="0"/>
        <v>4.2</v>
      </c>
      <c r="E21" s="264"/>
      <c r="F21" s="264">
        <f>('Tabell 6'!AO38+'Tabell 6'!AO42)/('Tabell 6'!AO45+'Tabell 6'!AO46)*100</f>
        <v>37.429133673444518</v>
      </c>
      <c r="G21" s="264">
        <f>('Tabell 6'!AP38+'Tabell 6'!AP42)/('Tabell 6'!AP45+'Tabell 6'!AP46)*100</f>
        <v>37.257766954621395</v>
      </c>
      <c r="H21" s="265">
        <f t="shared" si="1"/>
        <v>-0.5</v>
      </c>
      <c r="I21" s="104"/>
      <c r="J21" s="74"/>
    </row>
    <row r="22" spans="1:10" ht="18.75" customHeight="1" x14ac:dyDescent="0.3">
      <c r="A22" s="192" t="s">
        <v>170</v>
      </c>
      <c r="B22" s="103">
        <f>'Tabell 6'!AO36-'Tabell 6'!AO37+'Tabell 6'!AO43+'Tabell 6'!AO44+'Tabell 6'!AO46</f>
        <v>9150.6944225800071</v>
      </c>
      <c r="C22" s="103">
        <f>'Tabell 6'!AP36-'Tabell 6'!AP37+'Tabell 6'!AP43+'Tabell 6'!AP44+'Tabell 6'!AP46</f>
        <v>11071.039772720002</v>
      </c>
      <c r="D22" s="264">
        <f t="shared" si="0"/>
        <v>21</v>
      </c>
      <c r="E22" s="264"/>
      <c r="F22" s="265">
        <f>('Tabell 6'!AO36-'Tabell 6'!AO37+'Tabell 6'!AO43+'Tabell 6'!AO44+'Tabell 6'!AO46)/('Tabell 6'!AO45+'Tabell 6'!AO46)*100</f>
        <v>0.84820598992561902</v>
      </c>
      <c r="G22" s="265">
        <f>('Tabell 6'!AP36-'Tabell 6'!AP37+'Tabell 6'!AP43+'Tabell 6'!AP44+'Tabell 6'!AP46)/('Tabell 6'!AP45+'Tabell 6'!AP46)*100</f>
        <v>0.97994007943659023</v>
      </c>
      <c r="H22" s="265">
        <f t="shared" si="1"/>
        <v>15.5</v>
      </c>
      <c r="I22" s="104"/>
      <c r="J22" s="74"/>
    </row>
    <row r="23" spans="1:10" ht="18.75" customHeight="1" x14ac:dyDescent="0.3">
      <c r="A23" s="86"/>
      <c r="B23" s="176"/>
      <c r="C23" s="176"/>
      <c r="D23" s="265"/>
      <c r="E23" s="264"/>
      <c r="F23" s="264"/>
      <c r="G23" s="265"/>
      <c r="H23" s="265"/>
      <c r="I23" s="182"/>
      <c r="J23" s="74"/>
    </row>
    <row r="24" spans="1:10" ht="18.75" customHeight="1" x14ac:dyDescent="0.3">
      <c r="A24" s="137" t="s">
        <v>172</v>
      </c>
      <c r="B24" s="109">
        <f>SUM(B25:B30)</f>
        <v>327128.37295715994</v>
      </c>
      <c r="C24" s="109">
        <f>SUM(C25:C30)</f>
        <v>368249.53092036996</v>
      </c>
      <c r="D24" s="262">
        <f t="shared" si="0"/>
        <v>12.6</v>
      </c>
      <c r="E24" s="262"/>
      <c r="F24" s="263">
        <f>SUM(F25:F30)</f>
        <v>100</v>
      </c>
      <c r="G24" s="263">
        <f>SUM(G25:G30)</f>
        <v>100.00000000000001</v>
      </c>
      <c r="H24" s="265">
        <f t="shared" si="1"/>
        <v>0</v>
      </c>
      <c r="I24" s="182"/>
      <c r="J24" s="74"/>
    </row>
    <row r="25" spans="1:10" ht="18.75" customHeight="1" x14ac:dyDescent="0.3">
      <c r="A25" s="192" t="s">
        <v>165</v>
      </c>
      <c r="B25" s="103">
        <f>'Tabell 6'!AO55</f>
        <v>225002.29140793002</v>
      </c>
      <c r="C25" s="103">
        <f>'Tabell 6'!AP55</f>
        <v>205743.92347690999</v>
      </c>
      <c r="D25" s="264">
        <f t="shared" si="0"/>
        <v>-8.6</v>
      </c>
      <c r="E25" s="264"/>
      <c r="F25" s="264">
        <f>'Tabell 6'!AO55/('Tabell 6'!AO60+'Tabell 6'!AO61)*100</f>
        <v>68.781038273740876</v>
      </c>
      <c r="G25" s="264">
        <f>'Tabell 6'!AP55/('Tabell 6'!AP60+'Tabell 6'!AP61)*100</f>
        <v>55.870790374855886</v>
      </c>
      <c r="H25" s="265">
        <f t="shared" si="1"/>
        <v>-18.8</v>
      </c>
      <c r="I25" s="182"/>
      <c r="J25" s="74"/>
    </row>
    <row r="26" spans="1:10" ht="18.75" customHeight="1" x14ac:dyDescent="0.3">
      <c r="A26" s="192" t="s">
        <v>166</v>
      </c>
      <c r="B26" s="103">
        <f>'Tabell 6'!AO52+'Tabell 6'!AO56</f>
        <v>91590.414988570003</v>
      </c>
      <c r="C26" s="103">
        <f>'Tabell 6'!AP52+'Tabell 6'!AP56</f>
        <v>136721.38486592998</v>
      </c>
      <c r="D26" s="264">
        <f t="shared" si="0"/>
        <v>49.3</v>
      </c>
      <c r="E26" s="264"/>
      <c r="F26" s="264">
        <f>('Tabell 6'!AO52+'Tabell 6'!AO56)/('Tabell 6'!AO60+'Tabell 6'!AO61)*100</f>
        <v>27.99830970350116</v>
      </c>
      <c r="G26" s="264">
        <f>('Tabell 6'!AP52+'Tabell 6'!AP56)/('Tabell 6'!AP60+'Tabell 6'!AP61)*100</f>
        <v>37.127375158963751</v>
      </c>
      <c r="H26" s="265">
        <f t="shared" si="1"/>
        <v>32.6</v>
      </c>
      <c r="I26" s="182"/>
      <c r="J26" s="74"/>
    </row>
    <row r="27" spans="1:10" ht="18.75" customHeight="1" x14ac:dyDescent="0.3">
      <c r="A27" s="192" t="s">
        <v>167</v>
      </c>
      <c r="B27" s="103">
        <f>'Tabell 6'!AO48</f>
        <v>0</v>
      </c>
      <c r="C27" s="103">
        <f>'Tabell 6'!AP48</f>
        <v>0</v>
      </c>
      <c r="D27" s="264" t="str">
        <f t="shared" si="0"/>
        <v xml:space="preserve">    ---- </v>
      </c>
      <c r="E27" s="264"/>
      <c r="F27" s="264">
        <f>'Tabell 6'!AO48/('Tabell 6'!AO60+'Tabell 6'!AO61)*100</f>
        <v>0</v>
      </c>
      <c r="G27" s="264">
        <f>'Tabell 6'!AP48/('Tabell 6'!AP60+'Tabell 6'!AP61)*100</f>
        <v>0</v>
      </c>
      <c r="H27" s="265" t="str">
        <f t="shared" si="1"/>
        <v xml:space="preserve">    ---- </v>
      </c>
      <c r="I27" s="182"/>
      <c r="J27" s="74"/>
    </row>
    <row r="28" spans="1:10" ht="18.75" customHeight="1" x14ac:dyDescent="0.3">
      <c r="A28" s="108" t="s">
        <v>168</v>
      </c>
      <c r="B28" s="105">
        <f>'Tabell 6'!AO49</f>
        <v>4475.7878848800001</v>
      </c>
      <c r="C28" s="105">
        <f>'Tabell 6'!AP49</f>
        <v>20249.656070879999</v>
      </c>
      <c r="D28" s="266">
        <f t="shared" si="0"/>
        <v>352.4</v>
      </c>
      <c r="E28" s="266"/>
      <c r="F28" s="264">
        <f>'Tabell 6'!AO49/('Tabell 6'!AO60+'Tabell 6'!AO61)*100</f>
        <v>1.3682053453266614</v>
      </c>
      <c r="G28" s="264">
        <f>'Tabell 6'!AP49/('Tabell 6'!AP60+'Tabell 6'!AP61)*100</f>
        <v>5.4988952790434844</v>
      </c>
      <c r="H28" s="265">
        <f t="shared" si="1"/>
        <v>301.89999999999998</v>
      </c>
      <c r="I28" s="182"/>
      <c r="J28" s="74"/>
    </row>
    <row r="29" spans="1:10" ht="18.75" customHeight="1" x14ac:dyDescent="0.3">
      <c r="A29" s="192" t="s">
        <v>169</v>
      </c>
      <c r="B29" s="103">
        <f>'Tabell 6'!AO53+'Tabell 6'!AO57</f>
        <v>3120.8094673699998</v>
      </c>
      <c r="C29" s="103">
        <f>'Tabell 6'!AP53+'Tabell 6'!AP57</f>
        <v>3128.4406616800002</v>
      </c>
      <c r="D29" s="264">
        <f t="shared" si="0"/>
        <v>0.2</v>
      </c>
      <c r="E29" s="264"/>
      <c r="F29" s="264">
        <f>('Tabell 6'!AO53+'Tabell 6'!AO57)/('Tabell 6'!AO60+'Tabell 6'!AO61)*100</f>
        <v>0.95400146406092823</v>
      </c>
      <c r="G29" s="264">
        <f>('Tabell 6'!AP53+'Tabell 6'!AP57)/('Tabell 6'!AP60+'Tabell 6'!AP61)*100</f>
        <v>0.84954369225157067</v>
      </c>
      <c r="H29" s="265">
        <f t="shared" si="1"/>
        <v>-10.9</v>
      </c>
      <c r="I29" s="182"/>
      <c r="J29" s="74"/>
    </row>
    <row r="30" spans="1:10" ht="18.75" customHeight="1" x14ac:dyDescent="0.3">
      <c r="A30" s="86" t="s">
        <v>170</v>
      </c>
      <c r="B30" s="103">
        <f>'Tabell 6'!AO51-'Tabell 6'!AO52+'Tabell 6'!AO58+'Tabell 6'!AO59+'Tabell 6'!AO61</f>
        <v>2939.0692084100001</v>
      </c>
      <c r="C30" s="103">
        <f>'Tabell 6'!AP51-'Tabell 6'!AP52+'Tabell 6'!AP58+'Tabell 6'!AP59+'Tabell 6'!AP61</f>
        <v>2406.1258449699999</v>
      </c>
      <c r="D30" s="265">
        <f t="shared" si="0"/>
        <v>-18.100000000000001</v>
      </c>
      <c r="E30" s="265"/>
      <c r="F30" s="265">
        <f>('Tabell 6'!AO51-'Tabell 6'!AO52+'Tabell 6'!AO58+'Tabell 6'!AO59+'Tabell 6'!AO61)/('Tabell 6'!AO60+'Tabell 6'!AO61)*100</f>
        <v>0.89844521337037742</v>
      </c>
      <c r="G30" s="265">
        <f>('Tabell 6'!AP51-'Tabell 6'!AP52+'Tabell 6'!AP58+'Tabell 6'!AP59+'Tabell 6'!AP61)/('Tabell 6'!AP60+'Tabell 6'!AP61)*100</f>
        <v>0.65339549488531434</v>
      </c>
      <c r="H30" s="265">
        <f t="shared" si="1"/>
        <v>-27.3</v>
      </c>
      <c r="I30" s="182"/>
      <c r="J30" s="74"/>
    </row>
    <row r="31" spans="1:10" ht="18.75" customHeight="1" x14ac:dyDescent="0.3">
      <c r="A31" s="192"/>
      <c r="B31" s="176"/>
      <c r="C31" s="176"/>
      <c r="D31" s="264"/>
      <c r="E31" s="264"/>
      <c r="F31" s="264"/>
      <c r="G31" s="265"/>
      <c r="H31" s="265"/>
      <c r="I31" s="182"/>
      <c r="J31" s="74"/>
    </row>
    <row r="32" spans="1:10" ht="18.75" customHeight="1" x14ac:dyDescent="0.3">
      <c r="A32" s="137" t="s">
        <v>2</v>
      </c>
      <c r="B32" s="109">
        <f>SUM(B33:B38)</f>
        <v>1555218.2944336501</v>
      </c>
      <c r="C32" s="109">
        <f>SUM(C33:C38)</f>
        <v>1656708.1256148599</v>
      </c>
      <c r="D32" s="262">
        <f t="shared" si="0"/>
        <v>6.5</v>
      </c>
      <c r="E32" s="262"/>
      <c r="F32" s="262">
        <f>SUM(F33:F38)</f>
        <v>99.999999999999986</v>
      </c>
      <c r="G32" s="262">
        <f>SUM(G33:G38)</f>
        <v>99.999999999999986</v>
      </c>
      <c r="H32" s="263">
        <f t="shared" si="1"/>
        <v>0</v>
      </c>
      <c r="I32" s="182"/>
      <c r="J32" s="74"/>
    </row>
    <row r="33" spans="1:10" ht="18.75" customHeight="1" x14ac:dyDescent="0.3">
      <c r="A33" s="192" t="s">
        <v>165</v>
      </c>
      <c r="B33" s="103">
        <f t="shared" ref="B33:C38" si="2">B9+B17+B25</f>
        <v>419661.53800517996</v>
      </c>
      <c r="C33" s="103">
        <f t="shared" si="2"/>
        <v>411119.28797983995</v>
      </c>
      <c r="D33" s="264">
        <f t="shared" si="0"/>
        <v>-2</v>
      </c>
      <c r="E33" s="264"/>
      <c r="F33" s="264">
        <f>B33/B32*100</f>
        <v>26.984092169389275</v>
      </c>
      <c r="G33" s="264">
        <f>C33/C32*100</f>
        <v>24.815432581237555</v>
      </c>
      <c r="H33" s="265">
        <f t="shared" si="1"/>
        <v>-8</v>
      </c>
      <c r="I33" s="182"/>
      <c r="J33" s="74"/>
    </row>
    <row r="34" spans="1:10" ht="18.75" customHeight="1" x14ac:dyDescent="0.3">
      <c r="A34" s="192" t="s">
        <v>166</v>
      </c>
      <c r="B34" s="103">
        <f t="shared" si="2"/>
        <v>514652.34375318</v>
      </c>
      <c r="C34" s="103">
        <f t="shared" si="2"/>
        <v>557344.28402964992</v>
      </c>
      <c r="D34" s="264">
        <f t="shared" si="0"/>
        <v>8.3000000000000007</v>
      </c>
      <c r="E34" s="264"/>
      <c r="F34" s="264">
        <f>B34/B32*100</f>
        <v>33.091968220486777</v>
      </c>
      <c r="G34" s="264">
        <f>C34/C32*100</f>
        <v>33.641670214106107</v>
      </c>
      <c r="H34" s="265">
        <f t="shared" si="1"/>
        <v>1.7</v>
      </c>
      <c r="I34" s="182"/>
      <c r="J34" s="74"/>
    </row>
    <row r="35" spans="1:10" ht="18.75" customHeight="1" x14ac:dyDescent="0.3">
      <c r="A35" s="192" t="s">
        <v>167</v>
      </c>
      <c r="B35" s="103">
        <f t="shared" si="2"/>
        <v>890.53053072</v>
      </c>
      <c r="C35" s="103">
        <f t="shared" si="2"/>
        <v>1001.24913772</v>
      </c>
      <c r="D35" s="264">
        <f t="shared" si="0"/>
        <v>12.4</v>
      </c>
      <c r="E35" s="264"/>
      <c r="F35" s="264">
        <f>B35/B32*100</f>
        <v>5.726080601722195E-2</v>
      </c>
      <c r="G35" s="264">
        <f>C35/C32*100</f>
        <v>6.0436061261448994E-2</v>
      </c>
      <c r="H35" s="265">
        <f t="shared" si="1"/>
        <v>5.5</v>
      </c>
      <c r="I35" s="182"/>
      <c r="J35" s="74"/>
    </row>
    <row r="36" spans="1:10" ht="18.75" customHeight="1" x14ac:dyDescent="0.3">
      <c r="A36" s="108" t="s">
        <v>168</v>
      </c>
      <c r="B36" s="105">
        <f t="shared" si="2"/>
        <v>153995.57019774002</v>
      </c>
      <c r="C36" s="105">
        <f t="shared" si="2"/>
        <v>194160.28306302003</v>
      </c>
      <c r="D36" s="266">
        <f t="shared" si="0"/>
        <v>26.1</v>
      </c>
      <c r="E36" s="266"/>
      <c r="F36" s="264">
        <f>B36/B32*100</f>
        <v>9.9018620568515896</v>
      </c>
      <c r="G36" s="264">
        <f>C36/C32*100</f>
        <v>11.719643313209479</v>
      </c>
      <c r="H36" s="265">
        <f t="shared" si="1"/>
        <v>18.399999999999999</v>
      </c>
      <c r="I36" s="182"/>
      <c r="J36" s="74"/>
    </row>
    <row r="37" spans="1:10" ht="18.75" customHeight="1" x14ac:dyDescent="0.3">
      <c r="A37" s="192" t="s">
        <v>169</v>
      </c>
      <c r="B37" s="103">
        <f t="shared" si="2"/>
        <v>430210.78146653005</v>
      </c>
      <c r="C37" s="103">
        <f t="shared" si="2"/>
        <v>453391.08501581999</v>
      </c>
      <c r="D37" s="264">
        <f t="shared" si="0"/>
        <v>5.4</v>
      </c>
      <c r="E37" s="264"/>
      <c r="F37" s="264">
        <f>B37/B32*100</f>
        <v>27.662404885945357</v>
      </c>
      <c r="G37" s="264">
        <f>C37/C32*100</f>
        <v>27.366986254597585</v>
      </c>
      <c r="H37" s="265">
        <f t="shared" si="1"/>
        <v>-1.1000000000000001</v>
      </c>
      <c r="I37" s="182"/>
      <c r="J37" s="74"/>
    </row>
    <row r="38" spans="1:10" ht="18.75" customHeight="1" x14ac:dyDescent="0.3">
      <c r="A38" s="267" t="s">
        <v>170</v>
      </c>
      <c r="B38" s="268">
        <f t="shared" si="2"/>
        <v>35807.530480300011</v>
      </c>
      <c r="C38" s="268">
        <f t="shared" si="2"/>
        <v>39691.936388810005</v>
      </c>
      <c r="D38" s="269">
        <f t="shared" si="0"/>
        <v>10.8</v>
      </c>
      <c r="E38" s="264"/>
      <c r="F38" s="269">
        <f>B38/B32*100</f>
        <v>2.3024118613097793</v>
      </c>
      <c r="G38" s="269">
        <f>C38/C32*100</f>
        <v>2.3958315755878239</v>
      </c>
      <c r="H38" s="270">
        <f t="shared" si="1"/>
        <v>4.0999999999999996</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173</v>
      </c>
      <c r="B40" s="112"/>
      <c r="C40" s="112"/>
      <c r="D40" s="112"/>
      <c r="E40" s="112"/>
      <c r="F40" s="182"/>
      <c r="G40" s="182"/>
      <c r="H40" s="182"/>
      <c r="I40" s="182"/>
      <c r="J40" s="74"/>
    </row>
    <row r="41" spans="1:10" ht="18.75" x14ac:dyDescent="0.3">
      <c r="A41" s="112" t="s">
        <v>103</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N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51">
        <v>4</v>
      </c>
      <c r="B1" s="4"/>
      <c r="C1" s="4"/>
      <c r="D1" s="4"/>
      <c r="E1" s="4"/>
      <c r="F1" s="4"/>
      <c r="G1" s="4"/>
      <c r="H1" s="4"/>
      <c r="I1" s="4"/>
      <c r="J1" s="4"/>
    </row>
    <row r="2" spans="1:10" ht="15.75" customHeight="1" x14ac:dyDescent="0.25">
      <c r="A2" s="165" t="s">
        <v>28</v>
      </c>
      <c r="B2" s="669"/>
      <c r="C2" s="669"/>
      <c r="D2" s="669"/>
      <c r="E2" s="669"/>
      <c r="F2" s="669"/>
      <c r="G2" s="669"/>
      <c r="H2" s="669"/>
      <c r="I2" s="669"/>
      <c r="J2" s="669"/>
    </row>
    <row r="3" spans="1:10" ht="15.75" customHeight="1" x14ac:dyDescent="0.25">
      <c r="A3" s="163"/>
      <c r="B3" s="296"/>
      <c r="C3" s="296"/>
      <c r="D3" s="296"/>
      <c r="E3" s="296"/>
      <c r="F3" s="296"/>
      <c r="G3" s="296"/>
      <c r="H3" s="296"/>
      <c r="I3" s="296"/>
      <c r="J3" s="296"/>
    </row>
    <row r="4" spans="1:10" ht="15.75" customHeight="1" x14ac:dyDescent="0.2">
      <c r="A4" s="144"/>
      <c r="B4" s="666" t="s">
        <v>0</v>
      </c>
      <c r="C4" s="667"/>
      <c r="D4" s="667"/>
      <c r="E4" s="666" t="s">
        <v>1</v>
      </c>
      <c r="F4" s="667"/>
      <c r="G4" s="667"/>
      <c r="H4" s="666" t="s">
        <v>2</v>
      </c>
      <c r="I4" s="667"/>
      <c r="J4" s="668"/>
    </row>
    <row r="5" spans="1:10" ht="15.75" customHeight="1" x14ac:dyDescent="0.2">
      <c r="A5" s="158"/>
      <c r="B5" s="20" t="s">
        <v>407</v>
      </c>
      <c r="C5" s="20" t="s">
        <v>408</v>
      </c>
      <c r="D5" s="248" t="s">
        <v>3</v>
      </c>
      <c r="E5" s="20" t="s">
        <v>407</v>
      </c>
      <c r="F5" s="20" t="s">
        <v>408</v>
      </c>
      <c r="G5" s="248" t="s">
        <v>3</v>
      </c>
      <c r="H5" s="20" t="s">
        <v>407</v>
      </c>
      <c r="I5" s="20" t="s">
        <v>408</v>
      </c>
      <c r="J5" s="248" t="s">
        <v>3</v>
      </c>
    </row>
    <row r="6" spans="1:10" ht="15.75" customHeight="1" x14ac:dyDescent="0.2">
      <c r="A6" s="646"/>
      <c r="B6" s="15"/>
      <c r="C6" s="15"/>
      <c r="D6" s="17" t="s">
        <v>4</v>
      </c>
      <c r="E6" s="16"/>
      <c r="F6" s="16"/>
      <c r="G6" s="15" t="s">
        <v>4</v>
      </c>
      <c r="H6" s="16"/>
      <c r="I6" s="16"/>
      <c r="J6" s="15" t="s">
        <v>4</v>
      </c>
    </row>
    <row r="7" spans="1:10" s="43" customFormat="1" ht="15.75" customHeight="1" x14ac:dyDescent="0.2">
      <c r="A7" s="14" t="s">
        <v>23</v>
      </c>
      <c r="B7" s="235">
        <v>3516656.0912063131</v>
      </c>
      <c r="C7" s="235">
        <v>3648140.3237320976</v>
      </c>
      <c r="D7" s="160">
        <f t="shared" ref="D7:D12" si="0">IF(B7=0, "    ---- ", IF(ABS(ROUND(100/B7*C7-100,1))&lt;999,ROUND(100/B7*C7-100,1),IF(ROUND(100/B7*C7-100,1)&gt;999,999,-999)))</f>
        <v>3.7</v>
      </c>
      <c r="E7" s="235">
        <v>5497158.5092100007</v>
      </c>
      <c r="F7" s="235">
        <v>7165809.1212200001</v>
      </c>
      <c r="G7" s="160">
        <f t="shared" ref="G7:G12" si="1">IF(E7=0, "    ---- ", IF(ABS(ROUND(100/E7*F7-100,1))&lt;999,ROUND(100/E7*F7-100,1),IF(ROUND(100/E7*F7-100,1)&gt;999,999,-999)))</f>
        <v>30.4</v>
      </c>
      <c r="H7" s="276">
        <f t="shared" ref="H7:H12" si="2">B7+E7</f>
        <v>9013814.6004163139</v>
      </c>
      <c r="I7" s="277">
        <f t="shared" ref="I7:I12" si="3">C7+F7</f>
        <v>10813949.444952097</v>
      </c>
      <c r="J7" s="171">
        <f t="shared" ref="J7:J12" si="4">IF(H7=0, "    ---- ", IF(ABS(ROUND(100/H7*I7-100,1))&lt;999,ROUND(100/H7*I7-100,1),IF(ROUND(100/H7*I7-100,1)&gt;999,999,-999)))</f>
        <v>20</v>
      </c>
    </row>
    <row r="8" spans="1:10" ht="15.75" customHeight="1" x14ac:dyDescent="0.2">
      <c r="A8" s="21" t="s">
        <v>25</v>
      </c>
      <c r="B8" s="44">
        <v>2103419.8884047428</v>
      </c>
      <c r="C8" s="44">
        <v>2189458.5750036081</v>
      </c>
      <c r="D8" s="166">
        <f t="shared" si="0"/>
        <v>4.0999999999999996</v>
      </c>
      <c r="E8" s="186"/>
      <c r="F8" s="186"/>
      <c r="G8" s="175"/>
      <c r="H8" s="188">
        <f t="shared" si="2"/>
        <v>2103419.8884047428</v>
      </c>
      <c r="I8" s="189">
        <f t="shared" si="3"/>
        <v>2189458.5750036081</v>
      </c>
      <c r="J8" s="171">
        <f t="shared" si="4"/>
        <v>4.0999999999999996</v>
      </c>
    </row>
    <row r="9" spans="1:10" ht="15.75" customHeight="1" x14ac:dyDescent="0.2">
      <c r="A9" s="21" t="s">
        <v>24</v>
      </c>
      <c r="B9" s="44">
        <v>781820.14991007745</v>
      </c>
      <c r="C9" s="44">
        <v>784418.76937318209</v>
      </c>
      <c r="D9" s="175">
        <f t="shared" si="0"/>
        <v>0.3</v>
      </c>
      <c r="E9" s="186"/>
      <c r="F9" s="186"/>
      <c r="G9" s="175"/>
      <c r="H9" s="188">
        <f t="shared" si="2"/>
        <v>781820.14991007745</v>
      </c>
      <c r="I9" s="189">
        <f t="shared" si="3"/>
        <v>784418.76937318209</v>
      </c>
      <c r="J9" s="171">
        <f t="shared" si="4"/>
        <v>0.3</v>
      </c>
    </row>
    <row r="10" spans="1:10" s="43" customFormat="1" ht="15.75" customHeight="1" x14ac:dyDescent="0.2">
      <c r="A10" s="39" t="s">
        <v>368</v>
      </c>
      <c r="B10" s="235">
        <v>21211479.059001159</v>
      </c>
      <c r="C10" s="235">
        <v>19308741.75651937</v>
      </c>
      <c r="D10" s="160">
        <f t="shared" si="0"/>
        <v>-9</v>
      </c>
      <c r="E10" s="235">
        <v>44606708.838434599</v>
      </c>
      <c r="F10" s="235">
        <v>49243113.64593</v>
      </c>
      <c r="G10" s="160">
        <f t="shared" si="1"/>
        <v>10.4</v>
      </c>
      <c r="H10" s="276">
        <f t="shared" si="2"/>
        <v>65818187.897435755</v>
      </c>
      <c r="I10" s="277">
        <f t="shared" si="3"/>
        <v>68551855.402449369</v>
      </c>
      <c r="J10" s="171">
        <f t="shared" si="4"/>
        <v>4.2</v>
      </c>
    </row>
    <row r="11" spans="1:10" s="43" customFormat="1" ht="15.75" customHeight="1" x14ac:dyDescent="0.2">
      <c r="A11" s="39" t="s">
        <v>369</v>
      </c>
      <c r="B11" s="235">
        <v>22541</v>
      </c>
      <c r="C11" s="235">
        <v>45521.815999999999</v>
      </c>
      <c r="D11" s="171">
        <f t="shared" si="0"/>
        <v>102</v>
      </c>
      <c r="E11" s="235">
        <v>205366.20844000002</v>
      </c>
      <c r="F11" s="235">
        <v>230644.28218000001</v>
      </c>
      <c r="G11" s="171">
        <f t="shared" si="1"/>
        <v>12.3</v>
      </c>
      <c r="H11" s="276">
        <f t="shared" si="2"/>
        <v>227907.20844000002</v>
      </c>
      <c r="I11" s="277">
        <f t="shared" si="3"/>
        <v>276166.09818000003</v>
      </c>
      <c r="J11" s="171">
        <f t="shared" si="4"/>
        <v>21.2</v>
      </c>
    </row>
    <row r="12" spans="1:10" s="43" customFormat="1" ht="15.75" customHeight="1" x14ac:dyDescent="0.2">
      <c r="A12" s="563" t="s">
        <v>370</v>
      </c>
      <c r="B12" s="275">
        <v>79</v>
      </c>
      <c r="C12" s="275">
        <v>4903</v>
      </c>
      <c r="D12" s="170">
        <f t="shared" si="0"/>
        <v>999</v>
      </c>
      <c r="E12" s="275">
        <v>173298.80124</v>
      </c>
      <c r="F12" s="275">
        <v>168556.18584999998</v>
      </c>
      <c r="G12" s="169">
        <f t="shared" si="1"/>
        <v>-2.7</v>
      </c>
      <c r="H12" s="278">
        <f t="shared" si="2"/>
        <v>173377.80124</v>
      </c>
      <c r="I12" s="279">
        <f t="shared" si="3"/>
        <v>173459.18584999998</v>
      </c>
      <c r="J12" s="169">
        <f t="shared" si="4"/>
        <v>0</v>
      </c>
    </row>
    <row r="13" spans="1:10" s="43" customFormat="1" ht="15.75" customHeight="1" x14ac:dyDescent="0.2">
      <c r="A13" s="168"/>
      <c r="B13" s="35"/>
      <c r="C13" s="5"/>
      <c r="D13" s="32"/>
      <c r="E13" s="35"/>
      <c r="F13" s="5"/>
      <c r="G13" s="32"/>
      <c r="H13" s="48"/>
      <c r="I13" s="48"/>
      <c r="J13" s="32"/>
    </row>
    <row r="14" spans="1:10" ht="15.75" customHeight="1" x14ac:dyDescent="0.2">
      <c r="A14" s="153" t="s">
        <v>278</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275</v>
      </c>
      <c r="B17" s="28"/>
      <c r="C17" s="28"/>
      <c r="D17" s="29"/>
      <c r="E17" s="28"/>
      <c r="F17" s="28"/>
      <c r="G17" s="28"/>
      <c r="H17" s="28"/>
      <c r="I17" s="28"/>
      <c r="J17" s="28"/>
    </row>
    <row r="18" spans="1:11" ht="15.75" customHeight="1" x14ac:dyDescent="0.25">
      <c r="A18" s="149"/>
      <c r="B18" s="669"/>
      <c r="C18" s="669"/>
      <c r="D18" s="669"/>
      <c r="E18" s="669"/>
      <c r="F18" s="669"/>
      <c r="G18" s="669"/>
      <c r="H18" s="669"/>
      <c r="I18" s="669"/>
      <c r="J18" s="669"/>
    </row>
    <row r="19" spans="1:11" ht="15.75" customHeight="1" x14ac:dyDescent="0.2">
      <c r="A19" s="144"/>
      <c r="B19" s="666" t="s">
        <v>0</v>
      </c>
      <c r="C19" s="667"/>
      <c r="D19" s="667"/>
      <c r="E19" s="666" t="s">
        <v>1</v>
      </c>
      <c r="F19" s="667"/>
      <c r="G19" s="668"/>
      <c r="H19" s="667" t="s">
        <v>2</v>
      </c>
      <c r="I19" s="667"/>
      <c r="J19" s="668"/>
    </row>
    <row r="20" spans="1:11" ht="15.75" customHeight="1" x14ac:dyDescent="0.2">
      <c r="A20" s="140" t="s">
        <v>5</v>
      </c>
      <c r="B20" s="20" t="s">
        <v>407</v>
      </c>
      <c r="C20" s="20" t="s">
        <v>408</v>
      </c>
      <c r="D20" s="248" t="s">
        <v>3</v>
      </c>
      <c r="E20" s="20" t="s">
        <v>407</v>
      </c>
      <c r="F20" s="20" t="s">
        <v>408</v>
      </c>
      <c r="G20" s="248" t="s">
        <v>3</v>
      </c>
      <c r="H20" s="20" t="s">
        <v>407</v>
      </c>
      <c r="I20" s="20" t="s">
        <v>408</v>
      </c>
      <c r="J20" s="248" t="s">
        <v>3</v>
      </c>
    </row>
    <row r="21" spans="1:11" ht="15.75" customHeight="1" x14ac:dyDescent="0.2">
      <c r="A21" s="647"/>
      <c r="B21" s="15"/>
      <c r="C21" s="15"/>
      <c r="D21" s="17" t="s">
        <v>4</v>
      </c>
      <c r="E21" s="16"/>
      <c r="F21" s="16"/>
      <c r="G21" s="15" t="s">
        <v>4</v>
      </c>
      <c r="H21" s="16"/>
      <c r="I21" s="16"/>
      <c r="J21" s="15" t="s">
        <v>4</v>
      </c>
    </row>
    <row r="22" spans="1:11" s="43" customFormat="1" ht="15.75" customHeight="1" x14ac:dyDescent="0.2">
      <c r="A22" s="14" t="s">
        <v>23</v>
      </c>
      <c r="B22" s="235">
        <v>1200599.7574867592</v>
      </c>
      <c r="C22" s="235">
        <v>1362767.7466070242</v>
      </c>
      <c r="D22" s="11">
        <f t="shared" ref="D22:D39" si="5">IF(B22=0, "    ---- ", IF(ABS(ROUND(100/B22*C22-100,1))&lt;999,ROUND(100/B22*C22-100,1),IF(ROUND(100/B22*C22-100,1)&gt;999,999,-999)))</f>
        <v>13.5</v>
      </c>
      <c r="E22" s="235">
        <v>771565.28350999998</v>
      </c>
      <c r="F22" s="307">
        <v>798772.13164000004</v>
      </c>
      <c r="G22" s="350">
        <f t="shared" ref="G22:G35" si="6">IF(E22=0, "    ---- ", IF(ABS(ROUND(100/E22*F22-100,1))&lt;999,ROUND(100/E22*F22-100,1),IF(ROUND(100/E22*F22-100,1)&gt;999,999,-999)))</f>
        <v>3.5</v>
      </c>
      <c r="H22" s="307">
        <f>SUM(B22,E22)</f>
        <v>1972165.0409967592</v>
      </c>
      <c r="I22" s="235">
        <f t="shared" ref="I22:I39" si="7">SUM(C22,F22)</f>
        <v>2161539.8782470245</v>
      </c>
      <c r="J22" s="24">
        <f t="shared" ref="J22:J39" si="8">IF(H22=0, "    ---- ", IF(ABS(ROUND(100/H22*I22-100,1))&lt;999,ROUND(100/H22*I22-100,1),IF(ROUND(100/H22*I22-100,1)&gt;999,999,-999)))</f>
        <v>9.6</v>
      </c>
    </row>
    <row r="23" spans="1:11" ht="15.75" customHeight="1" x14ac:dyDescent="0.2">
      <c r="A23" s="564" t="s">
        <v>371</v>
      </c>
      <c r="B23" s="44">
        <v>874113.30890388903</v>
      </c>
      <c r="C23" s="44">
        <v>989607.04964449711</v>
      </c>
      <c r="D23" s="27">
        <f>IF($A$1=4,IF(B23=0, "    ---- ", IF(ABS(ROUND(100/B23*C23-100,1))&lt;999,ROUND(100/B23*C23-100,1),IF(ROUND(100/B23*C23-100,1)&gt;999,999,-999))),"")</f>
        <v>13.2</v>
      </c>
      <c r="E23" s="44">
        <v>126752.18725</v>
      </c>
      <c r="F23" s="44">
        <v>56671.722369999996</v>
      </c>
      <c r="G23" s="166">
        <f>IF($A$1=4,IF(E23=0, "    ---- ", IF(ABS(ROUND(100/E23*F23-100,1))&lt;999,ROUND(100/E23*F23-100,1),IF(ROUND(100/E23*F23-100,1)&gt;999,999,-999))),"")</f>
        <v>-55.3</v>
      </c>
      <c r="H23" s="233">
        <f t="shared" ref="H23:H39" si="9">SUM(B23,E23)</f>
        <v>1000865.496153889</v>
      </c>
      <c r="I23" s="44">
        <f t="shared" si="7"/>
        <v>1046278.7720144971</v>
      </c>
      <c r="J23" s="23">
        <f t="shared" si="8"/>
        <v>4.5</v>
      </c>
    </row>
    <row r="24" spans="1:11" ht="15.75" customHeight="1" x14ac:dyDescent="0.2">
      <c r="A24" s="564" t="s">
        <v>372</v>
      </c>
      <c r="B24" s="44">
        <v>10597.76558287019</v>
      </c>
      <c r="C24" s="44">
        <v>26464.578962527288</v>
      </c>
      <c r="D24" s="27">
        <f t="shared" ref="D24:D25" si="10">IF($A$1=4,IF(B24=0, "    ---- ", IF(ABS(ROUND(100/B24*C24-100,1))&lt;999,ROUND(100/B24*C24-100,1),IF(ROUND(100/B24*C24-100,1)&gt;999,999,-999))),"")</f>
        <v>149.69999999999999</v>
      </c>
      <c r="E24" s="44">
        <v>25.064235439999997</v>
      </c>
      <c r="F24" s="44">
        <v>1379.3987500000001</v>
      </c>
      <c r="G24" s="166">
        <f t="shared" ref="G24:G25" si="11">IF($A$1=4,IF(E24=0, "    ---- ", IF(ABS(ROUND(100/E24*F24-100,1))&lt;999,ROUND(100/E24*F24-100,1),IF(ROUND(100/E24*F24-100,1)&gt;999,999,-999))),"")</f>
        <v>999</v>
      </c>
      <c r="H24" s="233">
        <f t="shared" si="9"/>
        <v>10622.829818310191</v>
      </c>
      <c r="I24" s="44">
        <f t="shared" si="7"/>
        <v>27843.977712527289</v>
      </c>
      <c r="J24" s="11">
        <f t="shared" si="8"/>
        <v>162.1</v>
      </c>
    </row>
    <row r="25" spans="1:11" ht="15.75" customHeight="1" x14ac:dyDescent="0.2">
      <c r="A25" s="564" t="s">
        <v>373</v>
      </c>
      <c r="B25" s="44">
        <v>24642</v>
      </c>
      <c r="C25" s="44">
        <v>23801.144</v>
      </c>
      <c r="D25" s="27">
        <f t="shared" si="10"/>
        <v>-3.4</v>
      </c>
      <c r="E25" s="44">
        <v>92611.323260000005</v>
      </c>
      <c r="F25" s="44">
        <v>27673.68866</v>
      </c>
      <c r="G25" s="166">
        <f t="shared" si="11"/>
        <v>-70.099999999999994</v>
      </c>
      <c r="H25" s="233">
        <f t="shared" si="9"/>
        <v>117253.32326</v>
      </c>
      <c r="I25" s="44">
        <f t="shared" si="7"/>
        <v>51474.83266</v>
      </c>
      <c r="J25" s="27">
        <f t="shared" si="8"/>
        <v>-56.1</v>
      </c>
    </row>
    <row r="26" spans="1:11" ht="15.75" customHeight="1" x14ac:dyDescent="0.2">
      <c r="A26" s="564" t="s">
        <v>374</v>
      </c>
      <c r="B26" s="44"/>
      <c r="C26" s="44"/>
      <c r="D26" s="27"/>
      <c r="E26" s="44">
        <v>552176.78601000004</v>
      </c>
      <c r="F26" s="44">
        <v>713047.32186000003</v>
      </c>
      <c r="G26" s="166">
        <f t="shared" ref="G26" si="12">IF($A$1=4,IF(E26=0, "    ---- ", IF(ABS(ROUND(100/E26*F26-100,1))&lt;999,ROUND(100/E26*F26-100,1),IF(ROUND(100/E26*F26-100,1)&gt;999,999,-999))),"")</f>
        <v>29.1</v>
      </c>
      <c r="H26" s="233">
        <f t="shared" ref="H26" si="13">SUM(B26,E26)</f>
        <v>552176.78601000004</v>
      </c>
      <c r="I26" s="44">
        <f t="shared" ref="I26" si="14">SUM(C26,F26)</f>
        <v>713047.32186000003</v>
      </c>
      <c r="J26" s="27">
        <f t="shared" ref="J26" si="15">IF(H26=0, "    ---- ", IF(ABS(ROUND(100/H26*I26-100,1))&lt;999,ROUND(100/H26*I26-100,1),IF(ROUND(100/H26*I26-100,1)&gt;999,999,-999)))</f>
        <v>29.1</v>
      </c>
    </row>
    <row r="27" spans="1:11" ht="15.75" customHeight="1" x14ac:dyDescent="0.2">
      <c r="A27" s="562" t="s">
        <v>11</v>
      </c>
      <c r="B27" s="44"/>
      <c r="C27" s="44"/>
      <c r="D27" s="27"/>
      <c r="E27" s="44"/>
      <c r="F27" s="44"/>
      <c r="G27" s="166"/>
      <c r="H27" s="233"/>
      <c r="I27" s="44"/>
      <c r="J27" s="27"/>
    </row>
    <row r="28" spans="1:11" ht="15.75" customHeight="1" x14ac:dyDescent="0.2">
      <c r="A28" s="49" t="s">
        <v>279</v>
      </c>
      <c r="B28" s="44">
        <v>1430236.4066725862</v>
      </c>
      <c r="C28" s="44">
        <v>1454159.145241315</v>
      </c>
      <c r="D28" s="23">
        <f t="shared" si="5"/>
        <v>1.7</v>
      </c>
      <c r="E28" s="186"/>
      <c r="F28" s="186"/>
      <c r="G28" s="166"/>
      <c r="H28" s="233">
        <f t="shared" si="9"/>
        <v>1430236.4066725862</v>
      </c>
      <c r="I28" s="44">
        <f t="shared" si="7"/>
        <v>1454159.145241315</v>
      </c>
      <c r="J28" s="23">
        <f t="shared" si="8"/>
        <v>1.7</v>
      </c>
      <c r="K28" s="3"/>
    </row>
    <row r="29" spans="1:11" s="369" customFormat="1" ht="15.75" customHeight="1" x14ac:dyDescent="0.2">
      <c r="A29" s="39" t="s">
        <v>375</v>
      </c>
      <c r="B29" s="235">
        <v>48187169.287810005</v>
      </c>
      <c r="C29" s="235">
        <v>46962248.738984928</v>
      </c>
      <c r="D29" s="24">
        <f t="shared" si="5"/>
        <v>-2.5</v>
      </c>
      <c r="E29" s="307">
        <v>20599448.362949997</v>
      </c>
      <c r="F29" s="307">
        <v>21296746.107960001</v>
      </c>
      <c r="G29" s="171">
        <f t="shared" si="6"/>
        <v>3.4</v>
      </c>
      <c r="H29" s="307">
        <f t="shared" si="9"/>
        <v>68786617.650759995</v>
      </c>
      <c r="I29" s="235">
        <f t="shared" si="7"/>
        <v>68258994.846944928</v>
      </c>
      <c r="J29" s="24">
        <f t="shared" si="8"/>
        <v>-0.8</v>
      </c>
    </row>
    <row r="30" spans="1:11" s="3" customFormat="1" ht="15.75" customHeight="1" x14ac:dyDescent="0.2">
      <c r="A30" s="564" t="s">
        <v>371</v>
      </c>
      <c r="B30" s="44">
        <v>13215959.22284</v>
      </c>
      <c r="C30" s="44">
        <v>10339543.172037935</v>
      </c>
      <c r="D30" s="27">
        <f t="shared" ref="D30:D32" si="16">IF($A$1=4,IF(B30=0, "    ---- ", IF(ABS(ROUND(100/B30*C30-100,1))&lt;999,ROUND(100/B30*C30-100,1),IF(ROUND(100/B30*C30-100,1)&gt;999,999,-999))),"")</f>
        <v>-21.8</v>
      </c>
      <c r="E30" s="44">
        <v>4409397.0905899992</v>
      </c>
      <c r="F30" s="44">
        <v>4291512.0232324852</v>
      </c>
      <c r="G30" s="166">
        <f t="shared" ref="G30:G32" si="17">IF($A$1=4,IF(E30=0, "    ---- ", IF(ABS(ROUND(100/E30*F30-100,1))&lt;999,ROUND(100/E30*F30-100,1),IF(ROUND(100/E30*F30-100,1)&gt;999,999,-999))),"")</f>
        <v>-2.7</v>
      </c>
      <c r="H30" s="233">
        <f t="shared" si="9"/>
        <v>17625356.31343</v>
      </c>
      <c r="I30" s="44">
        <f t="shared" si="7"/>
        <v>14631055.195270419</v>
      </c>
      <c r="J30" s="23">
        <f t="shared" si="8"/>
        <v>-17</v>
      </c>
    </row>
    <row r="31" spans="1:11" s="3" customFormat="1" ht="15.75" customHeight="1" x14ac:dyDescent="0.2">
      <c r="A31" s="564" t="s">
        <v>372</v>
      </c>
      <c r="B31" s="44">
        <v>31004942.46297</v>
      </c>
      <c r="C31" s="44">
        <v>33118983.752951197</v>
      </c>
      <c r="D31" s="27">
        <f t="shared" si="16"/>
        <v>6.8</v>
      </c>
      <c r="E31" s="44">
        <v>10445302.511610001</v>
      </c>
      <c r="F31" s="44">
        <v>9745211.5039944462</v>
      </c>
      <c r="G31" s="166">
        <f t="shared" si="17"/>
        <v>-6.7</v>
      </c>
      <c r="H31" s="233">
        <f t="shared" si="9"/>
        <v>41450244.974580005</v>
      </c>
      <c r="I31" s="44">
        <f t="shared" si="7"/>
        <v>42864195.25694564</v>
      </c>
      <c r="J31" s="23">
        <f t="shared" si="8"/>
        <v>3.4</v>
      </c>
    </row>
    <row r="32" spans="1:11" ht="15.75" customHeight="1" x14ac:dyDescent="0.2">
      <c r="A32" s="564" t="s">
        <v>373</v>
      </c>
      <c r="B32" s="44">
        <v>2343443.0749999997</v>
      </c>
      <c r="C32" s="44">
        <v>1536023.8139958039</v>
      </c>
      <c r="D32" s="27">
        <f t="shared" si="16"/>
        <v>-34.5</v>
      </c>
      <c r="E32" s="44">
        <v>4298185.4452899992</v>
      </c>
      <c r="F32" s="44">
        <v>4443178.8339660103</v>
      </c>
      <c r="G32" s="166">
        <f t="shared" si="17"/>
        <v>3.4</v>
      </c>
      <c r="H32" s="233">
        <f t="shared" si="9"/>
        <v>6641628.5202899985</v>
      </c>
      <c r="I32" s="44">
        <f t="shared" si="7"/>
        <v>5979202.647961814</v>
      </c>
      <c r="J32" s="24">
        <f t="shared" si="8"/>
        <v>-10</v>
      </c>
    </row>
    <row r="33" spans="1:10" ht="15.75" customHeight="1" x14ac:dyDescent="0.2">
      <c r="A33" s="564" t="s">
        <v>374</v>
      </c>
      <c r="B33" s="44"/>
      <c r="C33" s="44"/>
      <c r="D33" s="27"/>
      <c r="E33" s="44">
        <v>1446562.2144599999</v>
      </c>
      <c r="F33" s="44">
        <v>2816843.746767059</v>
      </c>
      <c r="G33" s="166">
        <f t="shared" ref="G33" si="18">IF($A$1=4,IF(E33=0, "    ---- ", IF(ABS(ROUND(100/E33*F33-100,1))&lt;999,ROUND(100/E33*F33-100,1),IF(ROUND(100/E33*F33-100,1)&gt;999,999,-999))),"")</f>
        <v>94.7</v>
      </c>
      <c r="H33" s="233">
        <f t="shared" ref="H33" si="19">SUM(B33,E33)</f>
        <v>1446562.2144599999</v>
      </c>
      <c r="I33" s="44">
        <f t="shared" ref="I33" si="20">SUM(C33,F33)</f>
        <v>2816843.746767059</v>
      </c>
      <c r="J33" s="24">
        <f t="shared" ref="J33" si="21">IF(H33=0, "    ---- ", IF(ABS(ROUND(100/H33*I33-100,1))&lt;999,ROUND(100/H33*I33-100,1),IF(ROUND(100/H33*I33-100,1)&gt;999,999,-999)))</f>
        <v>94.7</v>
      </c>
    </row>
    <row r="34" spans="1:10" s="43" customFormat="1" ht="15.75" customHeight="1" x14ac:dyDescent="0.2">
      <c r="A34" s="39" t="s">
        <v>369</v>
      </c>
      <c r="B34" s="235">
        <v>21214.471410000002</v>
      </c>
      <c r="C34" s="235">
        <v>21812.762000000002</v>
      </c>
      <c r="D34" s="24">
        <f t="shared" si="5"/>
        <v>2.8</v>
      </c>
      <c r="E34" s="307">
        <v>50224.690560000003</v>
      </c>
      <c r="F34" s="307">
        <v>56709.114930000003</v>
      </c>
      <c r="G34" s="171">
        <f t="shared" si="6"/>
        <v>12.9</v>
      </c>
      <c r="H34" s="307">
        <f t="shared" si="9"/>
        <v>71439.161970000001</v>
      </c>
      <c r="I34" s="235">
        <f t="shared" si="7"/>
        <v>78521.876929999999</v>
      </c>
      <c r="J34" s="24">
        <f t="shared" si="8"/>
        <v>9.9</v>
      </c>
    </row>
    <row r="35" spans="1:10" s="43" customFormat="1" ht="15.75" customHeight="1" x14ac:dyDescent="0.2">
      <c r="A35" s="39" t="s">
        <v>370</v>
      </c>
      <c r="B35" s="235">
        <v>-24272.818340000002</v>
      </c>
      <c r="C35" s="235">
        <v>-14995.950700000001</v>
      </c>
      <c r="D35" s="24">
        <f t="shared" si="5"/>
        <v>-38.200000000000003</v>
      </c>
      <c r="E35" s="307">
        <v>79482.412830000001</v>
      </c>
      <c r="F35" s="307">
        <v>88011.717409999983</v>
      </c>
      <c r="G35" s="171">
        <f t="shared" si="6"/>
        <v>10.7</v>
      </c>
      <c r="H35" s="307">
        <f t="shared" si="9"/>
        <v>55209.594490000003</v>
      </c>
      <c r="I35" s="235">
        <f t="shared" si="7"/>
        <v>73015.766709999982</v>
      </c>
      <c r="J35" s="24">
        <f t="shared" si="8"/>
        <v>32.299999999999997</v>
      </c>
    </row>
    <row r="36" spans="1:10" s="43" customFormat="1" ht="15.75" customHeight="1" x14ac:dyDescent="0.2">
      <c r="A36" s="12" t="s">
        <v>287</v>
      </c>
      <c r="B36" s="235">
        <v>2910.576</v>
      </c>
      <c r="C36" s="235">
        <v>2280.221</v>
      </c>
      <c r="D36" s="11">
        <f t="shared" si="5"/>
        <v>-21.7</v>
      </c>
      <c r="E36" s="318"/>
      <c r="F36" s="318"/>
      <c r="G36" s="171"/>
      <c r="H36" s="307">
        <f t="shared" si="9"/>
        <v>2910.576</v>
      </c>
      <c r="I36" s="235">
        <f t="shared" si="7"/>
        <v>2280.221</v>
      </c>
      <c r="J36" s="11">
        <f t="shared" si="8"/>
        <v>-21.7</v>
      </c>
    </row>
    <row r="37" spans="1:10" s="43" customFormat="1" ht="15.75" customHeight="1" x14ac:dyDescent="0.2">
      <c r="A37" s="565" t="s">
        <v>376</v>
      </c>
      <c r="B37" s="235">
        <v>3921812.1209999998</v>
      </c>
      <c r="C37" s="235">
        <v>3736067.0150000001</v>
      </c>
      <c r="D37" s="24">
        <f t="shared" si="5"/>
        <v>-4.7</v>
      </c>
      <c r="E37" s="323"/>
      <c r="F37" s="323"/>
      <c r="G37" s="171"/>
      <c r="H37" s="307">
        <f t="shared" si="9"/>
        <v>3921812.1209999998</v>
      </c>
      <c r="I37" s="235">
        <f t="shared" si="7"/>
        <v>3736067.0150000001</v>
      </c>
      <c r="J37" s="24">
        <f t="shared" si="8"/>
        <v>-4.7</v>
      </c>
    </row>
    <row r="38" spans="1:10" s="43" customFormat="1" ht="15.75" customHeight="1" x14ac:dyDescent="0.2">
      <c r="A38" s="565" t="s">
        <v>377</v>
      </c>
      <c r="B38" s="235"/>
      <c r="C38" s="235"/>
      <c r="D38" s="24"/>
      <c r="E38" s="318"/>
      <c r="F38" s="324"/>
      <c r="G38" s="171"/>
      <c r="H38" s="307"/>
      <c r="I38" s="235"/>
      <c r="J38" s="24"/>
    </row>
    <row r="39" spans="1:10" s="43" customFormat="1" ht="15.75" customHeight="1" x14ac:dyDescent="0.2">
      <c r="A39" s="566" t="s">
        <v>378</v>
      </c>
      <c r="B39" s="275">
        <v>3</v>
      </c>
      <c r="C39" s="275">
        <v>2</v>
      </c>
      <c r="D39" s="36">
        <f t="shared" si="5"/>
        <v>-33.299999999999997</v>
      </c>
      <c r="E39" s="325"/>
      <c r="F39" s="325"/>
      <c r="G39" s="169"/>
      <c r="H39" s="313">
        <f t="shared" si="9"/>
        <v>3</v>
      </c>
      <c r="I39" s="275">
        <f t="shared" si="7"/>
        <v>2</v>
      </c>
      <c r="J39" s="36">
        <f t="shared" si="8"/>
        <v>-33.299999999999997</v>
      </c>
    </row>
    <row r="40" spans="1:10" ht="15.75" customHeight="1" x14ac:dyDescent="0.2">
      <c r="A40" s="47"/>
    </row>
    <row r="41" spans="1:10" ht="15.75" customHeight="1" x14ac:dyDescent="0.2">
      <c r="A41" s="155"/>
    </row>
    <row r="42" spans="1:10" ht="15.75" customHeight="1" x14ac:dyDescent="0.25">
      <c r="A42" s="147" t="s">
        <v>276</v>
      </c>
      <c r="B42" s="669"/>
      <c r="C42" s="669"/>
      <c r="D42" s="669"/>
      <c r="E42" s="670"/>
      <c r="F42" s="670"/>
      <c r="G42" s="670"/>
      <c r="H42" s="670"/>
      <c r="I42" s="670"/>
      <c r="J42" s="670"/>
    </row>
    <row r="43" spans="1:10" ht="15.75" customHeight="1" x14ac:dyDescent="0.25">
      <c r="A43" s="163"/>
      <c r="B43" s="382"/>
      <c r="C43" s="382"/>
      <c r="D43" s="382"/>
      <c r="E43" s="297"/>
      <c r="F43" s="297"/>
      <c r="G43" s="297"/>
      <c r="H43" s="297"/>
      <c r="I43" s="297"/>
      <c r="J43" s="297"/>
    </row>
    <row r="44" spans="1:10" s="3" customFormat="1" ht="15.75" customHeight="1" x14ac:dyDescent="0.25">
      <c r="A44" s="246"/>
      <c r="B44" s="326" t="s">
        <v>0</v>
      </c>
      <c r="C44" s="327"/>
      <c r="D44" s="251"/>
      <c r="E44" s="42"/>
      <c r="F44" s="42"/>
      <c r="G44" s="40"/>
      <c r="H44" s="42"/>
      <c r="I44" s="42"/>
      <c r="J44" s="40"/>
    </row>
    <row r="45" spans="1:10" s="3" customFormat="1" ht="15.75" customHeight="1" x14ac:dyDescent="0.2">
      <c r="A45" s="140"/>
      <c r="B45" s="20" t="s">
        <v>407</v>
      </c>
      <c r="C45" s="20" t="s">
        <v>408</v>
      </c>
      <c r="D45" s="249" t="s">
        <v>3</v>
      </c>
      <c r="E45" s="42"/>
      <c r="F45" s="42"/>
      <c r="G45" s="40"/>
      <c r="H45" s="42"/>
      <c r="I45" s="42"/>
      <c r="J45" s="40"/>
    </row>
    <row r="46" spans="1:10" s="3" customFormat="1" ht="15.75" customHeight="1" x14ac:dyDescent="0.2">
      <c r="A46" s="647"/>
      <c r="B46" s="46"/>
      <c r="C46" s="250"/>
      <c r="D46" s="17" t="s">
        <v>4</v>
      </c>
      <c r="E46" s="40"/>
      <c r="F46" s="40"/>
      <c r="G46" s="40"/>
      <c r="H46" s="40"/>
      <c r="I46" s="40"/>
      <c r="J46" s="40"/>
    </row>
    <row r="47" spans="1:10" s="369" customFormat="1" ht="15.75" customHeight="1" x14ac:dyDescent="0.2">
      <c r="A47" s="14" t="s">
        <v>23</v>
      </c>
      <c r="B47" s="235">
        <v>3689873.4923725286</v>
      </c>
      <c r="C47" s="328">
        <v>3826287.23887792</v>
      </c>
      <c r="D47" s="24">
        <f t="shared" ref="D47:D58" si="22">IF(B47=0, "    ---- ", IF(ABS(ROUND(100/B47*C47-100,1))&lt;999,ROUND(100/B47*C47-100,1),IF(ROUND(100/B47*C47-100,1)&gt;999,999,-999)))</f>
        <v>3.7</v>
      </c>
      <c r="E47" s="370"/>
      <c r="F47" s="371"/>
      <c r="G47" s="32"/>
      <c r="H47" s="372"/>
      <c r="I47" s="372"/>
      <c r="J47" s="32"/>
    </row>
    <row r="48" spans="1:10" s="3" customFormat="1" ht="15.75" customHeight="1" x14ac:dyDescent="0.2">
      <c r="A48" s="38" t="s">
        <v>379</v>
      </c>
      <c r="B48" s="44">
        <v>2089397.0250325291</v>
      </c>
      <c r="C48" s="44">
        <v>2165927.6114279199</v>
      </c>
      <c r="D48" s="24">
        <f t="shared" si="22"/>
        <v>3.7</v>
      </c>
      <c r="E48" s="35"/>
      <c r="F48" s="5"/>
      <c r="G48" s="34"/>
      <c r="H48" s="33"/>
      <c r="I48" s="33"/>
      <c r="J48" s="32"/>
    </row>
    <row r="49" spans="1:14" s="3" customFormat="1" ht="15.75" customHeight="1" x14ac:dyDescent="0.2">
      <c r="A49" s="38" t="s">
        <v>380</v>
      </c>
      <c r="B49" s="190">
        <v>1600476.46734</v>
      </c>
      <c r="C49" s="190">
        <v>1660359.62745</v>
      </c>
      <c r="D49" s="24">
        <f t="shared" si="22"/>
        <v>3.7</v>
      </c>
      <c r="E49" s="35"/>
      <c r="F49" s="5"/>
      <c r="G49" s="34"/>
      <c r="H49" s="37"/>
      <c r="I49" s="37"/>
      <c r="J49" s="32"/>
    </row>
    <row r="50" spans="1:14" s="3" customFormat="1" ht="15.75" customHeight="1" x14ac:dyDescent="0.2">
      <c r="A50" s="295" t="s">
        <v>6</v>
      </c>
      <c r="B50" s="44"/>
      <c r="C50" s="44"/>
      <c r="D50" s="27"/>
      <c r="E50" s="35"/>
      <c r="F50" s="5"/>
      <c r="G50" s="34"/>
      <c r="H50" s="33"/>
      <c r="I50" s="33"/>
      <c r="J50" s="32"/>
    </row>
    <row r="51" spans="1:14" s="3" customFormat="1" ht="15.75" customHeight="1" x14ac:dyDescent="0.2">
      <c r="A51" s="295" t="s">
        <v>7</v>
      </c>
      <c r="B51" s="44"/>
      <c r="C51" s="44"/>
      <c r="D51" s="27"/>
      <c r="E51" s="35"/>
      <c r="F51" s="5"/>
      <c r="G51" s="34"/>
      <c r="H51" s="33"/>
      <c r="I51" s="33"/>
      <c r="J51" s="32"/>
    </row>
    <row r="52" spans="1:14" s="3" customFormat="1" ht="15.75" customHeight="1" x14ac:dyDescent="0.2">
      <c r="A52" s="295" t="s">
        <v>8</v>
      </c>
      <c r="B52" s="44"/>
      <c r="C52" s="44"/>
      <c r="D52" s="27"/>
      <c r="E52" s="35"/>
      <c r="F52" s="5"/>
      <c r="G52" s="34"/>
      <c r="H52" s="33"/>
      <c r="I52" s="33"/>
      <c r="J52" s="32"/>
    </row>
    <row r="53" spans="1:14" s="369" customFormat="1" ht="15.75" customHeight="1" x14ac:dyDescent="0.2">
      <c r="A53" s="39" t="s">
        <v>381</v>
      </c>
      <c r="B53" s="235">
        <v>97665.195999999982</v>
      </c>
      <c r="C53" s="235">
        <v>227550.31900000002</v>
      </c>
      <c r="D53" s="24">
        <f t="shared" si="22"/>
        <v>133</v>
      </c>
      <c r="E53" s="370"/>
      <c r="F53" s="371"/>
      <c r="G53" s="32"/>
      <c r="H53" s="173"/>
      <c r="I53" s="173"/>
      <c r="J53" s="32"/>
    </row>
    <row r="54" spans="1:14" s="3" customFormat="1" ht="15.75" customHeight="1" x14ac:dyDescent="0.2">
      <c r="A54" s="38" t="s">
        <v>379</v>
      </c>
      <c r="B54" s="44">
        <v>97665.195999999982</v>
      </c>
      <c r="C54" s="44">
        <v>137928.47699999998</v>
      </c>
      <c r="D54" s="24">
        <f t="shared" si="22"/>
        <v>41.2</v>
      </c>
      <c r="E54" s="35"/>
      <c r="F54" s="5"/>
      <c r="G54" s="34"/>
      <c r="H54" s="33"/>
      <c r="I54" s="33"/>
      <c r="J54" s="32"/>
    </row>
    <row r="55" spans="1:14" s="3" customFormat="1" ht="15.75" customHeight="1" x14ac:dyDescent="0.2">
      <c r="A55" s="38" t="s">
        <v>380</v>
      </c>
      <c r="B55" s="44">
        <v>0</v>
      </c>
      <c r="C55" s="44">
        <v>89621.842000000004</v>
      </c>
      <c r="D55" s="24" t="str">
        <f t="shared" si="22"/>
        <v xml:space="preserve">    ---- </v>
      </c>
      <c r="E55" s="35"/>
      <c r="F55" s="5"/>
      <c r="G55" s="34"/>
      <c r="H55" s="33"/>
      <c r="I55" s="33"/>
      <c r="J55" s="32"/>
    </row>
    <row r="56" spans="1:14" s="369" customFormat="1" ht="15.75" customHeight="1" x14ac:dyDescent="0.2">
      <c r="A56" s="39" t="s">
        <v>382</v>
      </c>
      <c r="B56" s="235">
        <v>106500.674</v>
      </c>
      <c r="C56" s="235">
        <v>167772.37900000002</v>
      </c>
      <c r="D56" s="24">
        <f t="shared" si="22"/>
        <v>57.5</v>
      </c>
      <c r="E56" s="370"/>
      <c r="F56" s="371"/>
      <c r="G56" s="32"/>
      <c r="H56" s="173"/>
      <c r="I56" s="173"/>
      <c r="J56" s="32"/>
    </row>
    <row r="57" spans="1:14" s="3" customFormat="1" ht="15.75" customHeight="1" x14ac:dyDescent="0.2">
      <c r="A57" s="38" t="s">
        <v>379</v>
      </c>
      <c r="B57" s="44">
        <v>106497.401</v>
      </c>
      <c r="C57" s="44">
        <v>101179.826</v>
      </c>
      <c r="D57" s="24">
        <f t="shared" si="22"/>
        <v>-5</v>
      </c>
      <c r="E57" s="35"/>
      <c r="F57" s="5"/>
      <c r="G57" s="34"/>
      <c r="H57" s="33"/>
      <c r="I57" s="33"/>
      <c r="J57" s="32"/>
    </row>
    <row r="58" spans="1:14" s="3" customFormat="1" ht="15.75" customHeight="1" x14ac:dyDescent="0.2">
      <c r="A58" s="38" t="s">
        <v>380</v>
      </c>
      <c r="B58" s="45">
        <v>3.2730000000000001</v>
      </c>
      <c r="C58" s="45">
        <v>66592.553</v>
      </c>
      <c r="D58" s="36">
        <f t="shared" si="22"/>
        <v>999</v>
      </c>
      <c r="E58" s="35"/>
      <c r="F58" s="5"/>
      <c r="G58" s="34"/>
      <c r="H58" s="33"/>
      <c r="I58" s="33"/>
      <c r="J58" s="32"/>
    </row>
    <row r="59" spans="1:14" s="3" customFormat="1" ht="15.75" customHeight="1" x14ac:dyDescent="0.25">
      <c r="A59" s="164"/>
      <c r="B59" s="30"/>
      <c r="C59" s="30"/>
      <c r="D59" s="30"/>
      <c r="E59" s="31"/>
      <c r="F59" s="31"/>
      <c r="G59" s="31"/>
      <c r="H59" s="31"/>
      <c r="I59" s="31"/>
      <c r="J59" s="31"/>
    </row>
    <row r="60" spans="1:14" ht="15.75" customHeight="1" x14ac:dyDescent="0.2">
      <c r="A60" s="155"/>
      <c r="L60" s="3"/>
      <c r="M60" s="3"/>
      <c r="N60" s="3"/>
    </row>
    <row r="61" spans="1:14" ht="15.75" customHeight="1" x14ac:dyDescent="0.25">
      <c r="A61" s="147" t="s">
        <v>277</v>
      </c>
      <c r="C61" s="26"/>
      <c r="D61" s="25"/>
      <c r="E61" s="26"/>
      <c r="F61" s="26"/>
      <c r="G61" s="25"/>
      <c r="H61" s="26"/>
      <c r="I61" s="26"/>
      <c r="J61" s="25"/>
      <c r="L61" s="3"/>
      <c r="M61" s="3"/>
      <c r="N61" s="3"/>
    </row>
    <row r="62" spans="1:14" ht="20.100000000000001" customHeight="1" x14ac:dyDescent="0.25">
      <c r="A62" s="149"/>
      <c r="B62" s="669"/>
      <c r="C62" s="669"/>
      <c r="D62" s="669"/>
      <c r="E62" s="669"/>
      <c r="F62" s="669"/>
      <c r="G62" s="669"/>
      <c r="H62" s="669"/>
      <c r="I62" s="669"/>
      <c r="J62" s="669"/>
      <c r="L62" s="3"/>
      <c r="M62" s="3"/>
      <c r="N62" s="3"/>
    </row>
    <row r="63" spans="1:14" ht="15.75" customHeight="1" x14ac:dyDescent="0.2">
      <c r="A63" s="144"/>
      <c r="B63" s="666" t="s">
        <v>0</v>
      </c>
      <c r="C63" s="667"/>
      <c r="D63" s="667"/>
      <c r="E63" s="666" t="s">
        <v>1</v>
      </c>
      <c r="F63" s="667"/>
      <c r="G63" s="668"/>
      <c r="H63" s="667" t="s">
        <v>2</v>
      </c>
      <c r="I63" s="667"/>
      <c r="J63" s="668"/>
      <c r="L63" s="3"/>
      <c r="M63" s="3"/>
      <c r="N63" s="3"/>
    </row>
    <row r="64" spans="1:14" ht="15.75" customHeight="1" x14ac:dyDescent="0.2">
      <c r="A64" s="140"/>
      <c r="B64" s="20" t="s">
        <v>407</v>
      </c>
      <c r="C64" s="20" t="s">
        <v>408</v>
      </c>
      <c r="D64" s="19" t="s">
        <v>3</v>
      </c>
      <c r="E64" s="20" t="s">
        <v>407</v>
      </c>
      <c r="F64" s="20" t="s">
        <v>408</v>
      </c>
      <c r="G64" s="19" t="s">
        <v>3</v>
      </c>
      <c r="H64" s="20" t="s">
        <v>407</v>
      </c>
      <c r="I64" s="20" t="s">
        <v>408</v>
      </c>
      <c r="J64" s="19" t="s">
        <v>3</v>
      </c>
      <c r="L64" s="3"/>
      <c r="M64" s="3"/>
      <c r="N64" s="3"/>
    </row>
    <row r="65" spans="1:14" ht="15.75" customHeight="1" x14ac:dyDescent="0.2">
      <c r="A65" s="647"/>
      <c r="B65" s="15"/>
      <c r="C65" s="15"/>
      <c r="D65" s="17" t="s">
        <v>4</v>
      </c>
      <c r="E65" s="16"/>
      <c r="F65" s="16"/>
      <c r="G65" s="15" t="s">
        <v>4</v>
      </c>
      <c r="H65" s="16"/>
      <c r="I65" s="16"/>
      <c r="J65" s="15" t="s">
        <v>4</v>
      </c>
      <c r="L65" s="3"/>
      <c r="M65" s="3"/>
      <c r="N65" s="3"/>
    </row>
    <row r="66" spans="1:14" s="43" customFormat="1" ht="15.75" customHeight="1" x14ac:dyDescent="0.2">
      <c r="A66" s="14" t="s">
        <v>23</v>
      </c>
      <c r="B66" s="329">
        <v>7196350.2520500002</v>
      </c>
      <c r="C66" s="329">
        <v>7110980.4089499991</v>
      </c>
      <c r="D66" s="24">
        <f t="shared" ref="D66:D111" si="23">IF(B66=0, "    ---- ", IF(ABS(ROUND(100/B66*C66-100,1))&lt;999,ROUND(100/B66*C66-100,1),IF(ROUND(100/B66*C66-100,1)&gt;999,999,-999)))</f>
        <v>-1.2</v>
      </c>
      <c r="E66" s="235">
        <v>21482709.84821</v>
      </c>
      <c r="F66" s="235">
        <v>23786683.901489999</v>
      </c>
      <c r="G66" s="171">
        <f t="shared" ref="G66" si="24">IF(E66=0, "    ---- ", IF(ABS(ROUND(100/E66*F66-100,1))&lt;999,ROUND(100/E66*F66-100,1),IF(ROUND(100/E66*F66-100,1)&gt;999,999,-999)))</f>
        <v>10.7</v>
      </c>
      <c r="H66" s="329">
        <f t="shared" ref="H66:H86" si="25">SUM(B66,E66)</f>
        <v>28679060.100260001</v>
      </c>
      <c r="I66" s="329">
        <f t="shared" ref="I66:I86" si="26">SUM(C66,F66)</f>
        <v>30897664.310439996</v>
      </c>
      <c r="J66" s="24">
        <f t="shared" ref="J66:J111" si="27">IF(H66=0, "    ---- ", IF(ABS(ROUND(100/H66*I66-100,1))&lt;999,ROUND(100/H66*I66-100,1),IF(ROUND(100/H66*I66-100,1)&gt;999,999,-999)))</f>
        <v>7.7</v>
      </c>
      <c r="L66" s="369"/>
      <c r="M66" s="369"/>
      <c r="N66" s="369"/>
    </row>
    <row r="67" spans="1:14" ht="15.75" customHeight="1" x14ac:dyDescent="0.25">
      <c r="A67" s="21" t="s">
        <v>9</v>
      </c>
      <c r="B67" s="233">
        <v>5800050.3408199996</v>
      </c>
      <c r="C67" s="233">
        <v>5435663.0460955352</v>
      </c>
      <c r="D67" s="240">
        <f t="shared" si="23"/>
        <v>-6.3</v>
      </c>
      <c r="E67" s="44">
        <v>0</v>
      </c>
      <c r="F67" s="44">
        <v>0</v>
      </c>
      <c r="G67" s="166"/>
      <c r="H67" s="236">
        <f t="shared" si="25"/>
        <v>5800050.3408199996</v>
      </c>
      <c r="I67" s="236">
        <f t="shared" si="26"/>
        <v>5435663.0460955352</v>
      </c>
      <c r="J67" s="23">
        <f t="shared" si="27"/>
        <v>-6.3</v>
      </c>
      <c r="L67" s="3"/>
      <c r="M67" s="3"/>
      <c r="N67" s="3"/>
    </row>
    <row r="68" spans="1:14" ht="15.75" customHeight="1" x14ac:dyDescent="0.25">
      <c r="A68" s="21" t="s">
        <v>10</v>
      </c>
      <c r="B68" s="233">
        <v>132470.12831</v>
      </c>
      <c r="C68" s="233">
        <v>130691.25651000001</v>
      </c>
      <c r="D68" s="240">
        <f t="shared" si="23"/>
        <v>-1.3</v>
      </c>
      <c r="E68" s="44">
        <v>21178067.78822</v>
      </c>
      <c r="F68" s="44">
        <v>23470528.546039999</v>
      </c>
      <c r="G68" s="166">
        <f t="shared" ref="G68" si="28">IF($A$1=4,IF(E68=0, "    ---- ", IF(ABS(ROUND(100/E68*F68-100,1))&lt;999,ROUND(100/E68*F68-100,1),IF(ROUND(100/E68*F68-100,1)&gt;999,999,-999))),"")</f>
        <v>10.8</v>
      </c>
      <c r="H68" s="236">
        <f t="shared" si="25"/>
        <v>21310537.916529998</v>
      </c>
      <c r="I68" s="236">
        <f t="shared" si="26"/>
        <v>23601219.802549999</v>
      </c>
      <c r="J68" s="23">
        <f t="shared" si="27"/>
        <v>10.7</v>
      </c>
      <c r="L68" s="3"/>
      <c r="M68" s="3"/>
      <c r="N68" s="3"/>
    </row>
    <row r="69" spans="1:14" ht="15.75" customHeight="1" x14ac:dyDescent="0.2">
      <c r="A69" s="295" t="s">
        <v>383</v>
      </c>
      <c r="B69" s="44"/>
      <c r="C69" s="44"/>
      <c r="D69" s="27"/>
      <c r="E69" s="44"/>
      <c r="F69" s="44"/>
      <c r="G69" s="166"/>
      <c r="H69" s="236"/>
      <c r="I69" s="236"/>
      <c r="J69" s="23"/>
      <c r="L69" s="3"/>
      <c r="M69" s="3"/>
      <c r="N69" s="3"/>
    </row>
    <row r="70" spans="1:14" ht="15.75" customHeight="1" x14ac:dyDescent="0.2">
      <c r="A70" s="295" t="s">
        <v>12</v>
      </c>
      <c r="B70" s="234"/>
      <c r="C70" s="234"/>
      <c r="D70" s="27"/>
      <c r="E70" s="44"/>
      <c r="F70" s="44"/>
      <c r="G70" s="166"/>
      <c r="H70" s="236"/>
      <c r="I70" s="236"/>
      <c r="J70" s="23"/>
      <c r="L70" s="3"/>
      <c r="M70" s="3"/>
      <c r="N70" s="3"/>
    </row>
    <row r="71" spans="1:14" ht="15.75" customHeight="1" x14ac:dyDescent="0.2">
      <c r="A71" s="295" t="s">
        <v>13</v>
      </c>
      <c r="B71" s="234"/>
      <c r="C71" s="234"/>
      <c r="D71" s="27"/>
      <c r="E71" s="44"/>
      <c r="F71" s="44"/>
      <c r="G71" s="166"/>
      <c r="H71" s="236"/>
      <c r="I71" s="236"/>
      <c r="J71" s="23"/>
      <c r="L71" s="3"/>
      <c r="M71" s="3"/>
      <c r="N71" s="3"/>
    </row>
    <row r="72" spans="1:14" ht="15.75" customHeight="1" x14ac:dyDescent="0.2">
      <c r="A72" s="295" t="s">
        <v>384</v>
      </c>
      <c r="B72" s="44"/>
      <c r="C72" s="44"/>
      <c r="D72" s="27"/>
      <c r="E72" s="44"/>
      <c r="F72" s="44"/>
      <c r="G72" s="166"/>
      <c r="H72" s="236"/>
      <c r="I72" s="236"/>
      <c r="J72" s="24"/>
      <c r="L72" s="3"/>
      <c r="M72" s="3"/>
      <c r="N72" s="3"/>
    </row>
    <row r="73" spans="1:14" ht="15.75" customHeight="1" x14ac:dyDescent="0.2">
      <c r="A73" s="295" t="s">
        <v>12</v>
      </c>
      <c r="B73" s="234"/>
      <c r="C73" s="234"/>
      <c r="D73" s="27"/>
      <c r="E73" s="44"/>
      <c r="F73" s="44"/>
      <c r="G73" s="166"/>
      <c r="H73" s="236"/>
      <c r="I73" s="236"/>
      <c r="J73" s="23"/>
      <c r="L73" s="3"/>
      <c r="M73" s="3"/>
      <c r="N73" s="3"/>
    </row>
    <row r="74" spans="1:14" s="3" customFormat="1" ht="15.75" customHeight="1" x14ac:dyDescent="0.2">
      <c r="A74" s="295" t="s">
        <v>13</v>
      </c>
      <c r="B74" s="234"/>
      <c r="C74" s="234"/>
      <c r="D74" s="27"/>
      <c r="E74" s="44"/>
      <c r="F74" s="44"/>
      <c r="G74" s="166"/>
      <c r="H74" s="236"/>
      <c r="I74" s="236"/>
      <c r="J74" s="23"/>
    </row>
    <row r="75" spans="1:14" s="3" customFormat="1" ht="15.75" customHeight="1" x14ac:dyDescent="0.2">
      <c r="A75" s="21" t="s">
        <v>353</v>
      </c>
      <c r="B75" s="44">
        <v>243025.87884000002</v>
      </c>
      <c r="C75" s="44">
        <v>295660.35291999998</v>
      </c>
      <c r="D75" s="23">
        <f t="shared" si="23"/>
        <v>21.7</v>
      </c>
      <c r="E75" s="44">
        <v>304642.05998999998</v>
      </c>
      <c r="F75" s="44">
        <v>316155.35545000003</v>
      </c>
      <c r="G75" s="166">
        <f t="shared" ref="G75" si="29">IF($A$1=4,IF(E75=0, "    ---- ", IF(ABS(ROUND(100/E75*F75-100,1))&lt;999,ROUND(100/E75*F75-100,1),IF(ROUND(100/E75*F75-100,1)&gt;999,999,-999))),"")</f>
        <v>3.8</v>
      </c>
      <c r="H75" s="236">
        <f t="shared" si="25"/>
        <v>547667.93883</v>
      </c>
      <c r="I75" s="236">
        <f t="shared" si="26"/>
        <v>611815.70837000001</v>
      </c>
      <c r="J75" s="23">
        <f t="shared" si="27"/>
        <v>11.7</v>
      </c>
    </row>
    <row r="76" spans="1:14" s="3" customFormat="1" ht="15.75" customHeight="1" x14ac:dyDescent="0.2">
      <c r="A76" s="21" t="s">
        <v>352</v>
      </c>
      <c r="B76" s="44">
        <v>1020803.90408</v>
      </c>
      <c r="C76" s="44">
        <v>1248965.753424464</v>
      </c>
      <c r="D76" s="23">
        <f t="shared" ref="D76" si="30">IF(B76=0, "    ---- ", IF(ABS(ROUND(100/B76*C76-100,1))&lt;999,ROUND(100/B76*C76-100,1),IF(ROUND(100/B76*C76-100,1)&gt;999,999,-999)))</f>
        <v>22.4</v>
      </c>
      <c r="E76" s="44"/>
      <c r="F76" s="44"/>
      <c r="G76" s="166"/>
      <c r="H76" s="236">
        <f t="shared" ref="H76" si="31">SUM(B76,E76)</f>
        <v>1020803.90408</v>
      </c>
      <c r="I76" s="236">
        <f t="shared" ref="I76" si="32">SUM(C76,F76)</f>
        <v>1248965.753424464</v>
      </c>
      <c r="J76" s="23">
        <f>IF(H76=0, "    ---- ", IF(ABS(ROUND(100/H76*I76-100,1))&lt;999,ROUND(100/H76*I76-100,1),IF(ROUND(100/H76*I76-100,1)&gt;999,999,-999)))</f>
        <v>22.4</v>
      </c>
    </row>
    <row r="77" spans="1:14" ht="15.75" customHeight="1" x14ac:dyDescent="0.2">
      <c r="A77" s="21" t="s">
        <v>385</v>
      </c>
      <c r="B77" s="44">
        <v>5826678.6981300004</v>
      </c>
      <c r="C77" s="233">
        <v>5481349.1536055356</v>
      </c>
      <c r="D77" s="23">
        <f t="shared" si="23"/>
        <v>-5.9</v>
      </c>
      <c r="E77" s="44">
        <v>21168378.720389999</v>
      </c>
      <c r="F77" s="44">
        <v>23460571.515000001</v>
      </c>
      <c r="G77" s="166">
        <f t="shared" ref="G77" si="33">IF($A$1=4,IF(E77=0, "    ---- ", IF(ABS(ROUND(100/E77*F77-100,1))&lt;999,ROUND(100/E77*F77-100,1),IF(ROUND(100/E77*F77-100,1)&gt;999,999,-999))),"")</f>
        <v>10.8</v>
      </c>
      <c r="H77" s="236">
        <f t="shared" si="25"/>
        <v>26995057.41852</v>
      </c>
      <c r="I77" s="236">
        <f t="shared" si="26"/>
        <v>28941920.668605536</v>
      </c>
      <c r="J77" s="23">
        <f t="shared" si="27"/>
        <v>7.2</v>
      </c>
      <c r="L77" s="3"/>
      <c r="M77" s="3"/>
      <c r="N77" s="3"/>
    </row>
    <row r="78" spans="1:14" ht="15.75" customHeight="1" x14ac:dyDescent="0.2">
      <c r="A78" s="21" t="s">
        <v>9</v>
      </c>
      <c r="B78" s="44">
        <v>5697337.42282</v>
      </c>
      <c r="C78" s="233">
        <v>5353710.8970955359</v>
      </c>
      <c r="D78" s="23">
        <f t="shared" si="23"/>
        <v>-6</v>
      </c>
      <c r="E78" s="44"/>
      <c r="F78" s="44"/>
      <c r="G78" s="166"/>
      <c r="H78" s="236">
        <f t="shared" si="25"/>
        <v>5697337.42282</v>
      </c>
      <c r="I78" s="236">
        <f t="shared" si="26"/>
        <v>5353710.8970955359</v>
      </c>
      <c r="J78" s="23">
        <f t="shared" si="27"/>
        <v>-6</v>
      </c>
      <c r="L78" s="3"/>
      <c r="M78" s="3"/>
      <c r="N78" s="3"/>
    </row>
    <row r="79" spans="1:14" ht="15.75" customHeight="1" x14ac:dyDescent="0.2">
      <c r="A79" s="21" t="s">
        <v>10</v>
      </c>
      <c r="B79" s="44">
        <v>129341.27531</v>
      </c>
      <c r="C79" s="145">
        <v>127638.25651000001</v>
      </c>
      <c r="D79" s="23">
        <f t="shared" si="23"/>
        <v>-1.3</v>
      </c>
      <c r="E79" s="44">
        <v>21168378.720389999</v>
      </c>
      <c r="F79" s="44">
        <v>23460571.515000001</v>
      </c>
      <c r="G79" s="166">
        <f t="shared" ref="G79" si="34">IF($A$1=4,IF(E79=0, "    ---- ", IF(ABS(ROUND(100/E79*F79-100,1))&lt;999,ROUND(100/E79*F79-100,1),IF(ROUND(100/E79*F79-100,1)&gt;999,999,-999))),"")</f>
        <v>10.8</v>
      </c>
      <c r="H79" s="236">
        <f t="shared" si="25"/>
        <v>21297719.995699998</v>
      </c>
      <c r="I79" s="236">
        <f t="shared" si="26"/>
        <v>23588209.771510001</v>
      </c>
      <c r="J79" s="23">
        <f t="shared" si="27"/>
        <v>10.8</v>
      </c>
      <c r="L79" s="3"/>
      <c r="M79" s="3"/>
      <c r="N79" s="3"/>
    </row>
    <row r="80" spans="1:14" ht="15.75" customHeight="1" x14ac:dyDescent="0.2">
      <c r="A80" s="295" t="s">
        <v>383</v>
      </c>
      <c r="B80" s="44"/>
      <c r="C80" s="44"/>
      <c r="D80" s="27"/>
      <c r="E80" s="44"/>
      <c r="F80" s="44"/>
      <c r="G80" s="166"/>
      <c r="H80" s="236"/>
      <c r="I80" s="236"/>
      <c r="J80" s="23"/>
      <c r="L80" s="3"/>
      <c r="M80" s="3"/>
      <c r="N80" s="3"/>
    </row>
    <row r="81" spans="1:14" ht="15.75" customHeight="1" x14ac:dyDescent="0.2">
      <c r="A81" s="295" t="s">
        <v>12</v>
      </c>
      <c r="B81" s="234"/>
      <c r="C81" s="234"/>
      <c r="D81" s="27"/>
      <c r="E81" s="44"/>
      <c r="F81" s="44"/>
      <c r="G81" s="166"/>
      <c r="H81" s="236"/>
      <c r="I81" s="236"/>
      <c r="J81" s="23"/>
      <c r="L81" s="3"/>
      <c r="M81" s="3"/>
      <c r="N81" s="3"/>
    </row>
    <row r="82" spans="1:14" ht="15.75" customHeight="1" x14ac:dyDescent="0.2">
      <c r="A82" s="295" t="s">
        <v>13</v>
      </c>
      <c r="B82" s="234"/>
      <c r="C82" s="234"/>
      <c r="D82" s="27"/>
      <c r="E82" s="44"/>
      <c r="F82" s="44"/>
      <c r="G82" s="166"/>
      <c r="H82" s="236"/>
      <c r="I82" s="236"/>
      <c r="J82" s="23"/>
      <c r="L82" s="3"/>
      <c r="M82" s="3"/>
      <c r="N82" s="3"/>
    </row>
    <row r="83" spans="1:14" ht="15.75" customHeight="1" x14ac:dyDescent="0.2">
      <c r="A83" s="295" t="s">
        <v>384</v>
      </c>
      <c r="B83" s="44"/>
      <c r="C83" s="44"/>
      <c r="D83" s="27"/>
      <c r="E83" s="44"/>
      <c r="F83" s="44"/>
      <c r="G83" s="166"/>
      <c r="H83" s="236"/>
      <c r="I83" s="236"/>
      <c r="J83" s="24"/>
      <c r="L83" s="3"/>
      <c r="M83" s="3"/>
      <c r="N83" s="3"/>
    </row>
    <row r="84" spans="1:14" ht="15.75" customHeight="1" x14ac:dyDescent="0.2">
      <c r="A84" s="295" t="s">
        <v>12</v>
      </c>
      <c r="B84" s="234"/>
      <c r="C84" s="234"/>
      <c r="D84" s="27"/>
      <c r="E84" s="44"/>
      <c r="F84" s="44"/>
      <c r="G84" s="166"/>
      <c r="H84" s="236"/>
      <c r="I84" s="236"/>
      <c r="J84" s="23"/>
      <c r="L84" s="3"/>
      <c r="M84" s="3"/>
      <c r="N84" s="3"/>
    </row>
    <row r="85" spans="1:14" ht="15.75" customHeight="1" x14ac:dyDescent="0.2">
      <c r="A85" s="295" t="s">
        <v>13</v>
      </c>
      <c r="B85" s="234"/>
      <c r="C85" s="234"/>
      <c r="D85" s="27"/>
      <c r="E85" s="44"/>
      <c r="F85" s="44"/>
      <c r="G85" s="166"/>
      <c r="H85" s="236"/>
      <c r="I85" s="236"/>
      <c r="J85" s="23"/>
      <c r="L85" s="3"/>
      <c r="M85" s="3"/>
      <c r="N85" s="3"/>
    </row>
    <row r="86" spans="1:14" ht="15.75" customHeight="1" x14ac:dyDescent="0.2">
      <c r="A86" s="21" t="s">
        <v>386</v>
      </c>
      <c r="B86" s="233">
        <v>105841.77100000001</v>
      </c>
      <c r="C86" s="233">
        <v>85004.95</v>
      </c>
      <c r="D86" s="23">
        <f t="shared" si="23"/>
        <v>-19.7</v>
      </c>
      <c r="E86" s="44">
        <v>9689.0668299999998</v>
      </c>
      <c r="F86" s="44">
        <v>9957.0310399999998</v>
      </c>
      <c r="G86" s="166">
        <f t="shared" ref="G86:G87" si="35">IF($A$1=4,IF(E86=0, "    ---- ", IF(ABS(ROUND(100/E86*F86-100,1))&lt;999,ROUND(100/E86*F86-100,1),IF(ROUND(100/E86*F86-100,1)&gt;999,999,-999))),"")</f>
        <v>2.8</v>
      </c>
      <c r="H86" s="236">
        <f t="shared" si="25"/>
        <v>115530.83783</v>
      </c>
      <c r="I86" s="236">
        <f t="shared" si="26"/>
        <v>94961.981039999999</v>
      </c>
      <c r="J86" s="23">
        <f t="shared" si="27"/>
        <v>-17.8</v>
      </c>
      <c r="L86" s="3"/>
      <c r="M86" s="3"/>
      <c r="N86" s="3"/>
    </row>
    <row r="87" spans="1:14" s="43" customFormat="1" ht="15.75" customHeight="1" x14ac:dyDescent="0.2">
      <c r="A87" s="13" t="s">
        <v>368</v>
      </c>
      <c r="B87" s="307">
        <v>385752452.07682163</v>
      </c>
      <c r="C87" s="307">
        <v>390291110.36356461</v>
      </c>
      <c r="D87" s="24">
        <f t="shared" si="23"/>
        <v>1.2</v>
      </c>
      <c r="E87" s="235">
        <v>259587592.96527541</v>
      </c>
      <c r="F87" s="235">
        <v>294500655.63305002</v>
      </c>
      <c r="G87" s="171">
        <f t="shared" si="35"/>
        <v>13.4</v>
      </c>
      <c r="H87" s="329">
        <f t="shared" ref="H87:H111" si="36">SUM(B87,E87)</f>
        <v>645340045.04209709</v>
      </c>
      <c r="I87" s="329">
        <f t="shared" ref="I87:I111" si="37">SUM(C87,F87)</f>
        <v>684791765.99661469</v>
      </c>
      <c r="J87" s="24">
        <f t="shared" si="27"/>
        <v>6.1</v>
      </c>
      <c r="L87" s="373"/>
      <c r="M87" s="369"/>
      <c r="N87" s="369"/>
    </row>
    <row r="88" spans="1:14" ht="15.75" customHeight="1" x14ac:dyDescent="0.2">
      <c r="A88" s="21" t="s">
        <v>9</v>
      </c>
      <c r="B88" s="233">
        <v>377020967.67783427</v>
      </c>
      <c r="C88" s="233">
        <v>380837400.11759108</v>
      </c>
      <c r="D88" s="23">
        <f t="shared" si="23"/>
        <v>1</v>
      </c>
      <c r="E88" s="44"/>
      <c r="F88" s="44"/>
      <c r="G88" s="166"/>
      <c r="H88" s="236">
        <f t="shared" si="36"/>
        <v>377020967.67783427</v>
      </c>
      <c r="I88" s="236">
        <f t="shared" si="37"/>
        <v>380837400.11759108</v>
      </c>
      <c r="J88" s="23">
        <f t="shared" si="27"/>
        <v>1</v>
      </c>
      <c r="L88" s="148"/>
      <c r="M88" s="3"/>
      <c r="N88" s="3"/>
    </row>
    <row r="89" spans="1:14" ht="15.75" customHeight="1" x14ac:dyDescent="0.2">
      <c r="A89" s="21" t="s">
        <v>10</v>
      </c>
      <c r="B89" s="233">
        <v>2636927.1810573502</v>
      </c>
      <c r="C89" s="233">
        <v>3033395.3110634806</v>
      </c>
      <c r="D89" s="23">
        <f t="shared" si="23"/>
        <v>15</v>
      </c>
      <c r="E89" s="44">
        <v>258556149.83675539</v>
      </c>
      <c r="F89" s="44">
        <v>293104991.97979999</v>
      </c>
      <c r="G89" s="166">
        <f t="shared" ref="G89" si="38">IF($A$1=4,IF(E89=0, "    ---- ", IF(ABS(ROUND(100/E89*F89-100,1))&lt;999,ROUND(100/E89*F89-100,1),IF(ROUND(100/E89*F89-100,1)&gt;999,999,-999))),"")</f>
        <v>13.4</v>
      </c>
      <c r="H89" s="236">
        <f t="shared" si="36"/>
        <v>261193077.01781276</v>
      </c>
      <c r="I89" s="236">
        <f t="shared" si="37"/>
        <v>296138387.29086345</v>
      </c>
      <c r="J89" s="23">
        <f t="shared" si="27"/>
        <v>13.4</v>
      </c>
      <c r="L89" s="3"/>
      <c r="M89" s="3"/>
      <c r="N89" s="3"/>
    </row>
    <row r="90" spans="1:14" ht="15.75" customHeight="1" x14ac:dyDescent="0.2">
      <c r="A90" s="295" t="s">
        <v>383</v>
      </c>
      <c r="B90" s="44"/>
      <c r="C90" s="44"/>
      <c r="D90" s="27"/>
      <c r="E90" s="44"/>
      <c r="F90" s="44"/>
      <c r="G90" s="166"/>
      <c r="H90" s="236"/>
      <c r="I90" s="236"/>
      <c r="J90" s="23"/>
      <c r="L90" s="3"/>
      <c r="M90" s="3"/>
      <c r="N90" s="3"/>
    </row>
    <row r="91" spans="1:14" ht="15.75" customHeight="1" x14ac:dyDescent="0.2">
      <c r="A91" s="295" t="s">
        <v>12</v>
      </c>
      <c r="B91" s="234"/>
      <c r="C91" s="234"/>
      <c r="D91" s="27"/>
      <c r="E91" s="44"/>
      <c r="F91" s="44"/>
      <c r="G91" s="166"/>
      <c r="H91" s="236"/>
      <c r="I91" s="236"/>
      <c r="J91" s="23"/>
      <c r="L91" s="3"/>
      <c r="M91" s="3"/>
      <c r="N91" s="3"/>
    </row>
    <row r="92" spans="1:14" ht="15.75" customHeight="1" x14ac:dyDescent="0.2">
      <c r="A92" s="295" t="s">
        <v>13</v>
      </c>
      <c r="B92" s="234"/>
      <c r="C92" s="234"/>
      <c r="D92" s="27"/>
      <c r="E92" s="44"/>
      <c r="F92" s="44"/>
      <c r="G92" s="166"/>
      <c r="H92" s="236"/>
      <c r="I92" s="236"/>
      <c r="J92" s="23"/>
      <c r="L92" s="3"/>
      <c r="M92" s="3"/>
      <c r="N92" s="3"/>
    </row>
    <row r="93" spans="1:14" ht="15.75" customHeight="1" x14ac:dyDescent="0.2">
      <c r="A93" s="295" t="s">
        <v>384</v>
      </c>
      <c r="B93" s="44"/>
      <c r="C93" s="44"/>
      <c r="D93" s="27"/>
      <c r="E93" s="44"/>
      <c r="F93" s="44"/>
      <c r="G93" s="166"/>
      <c r="H93" s="236"/>
      <c r="I93" s="236"/>
      <c r="J93" s="23"/>
      <c r="L93" s="3"/>
      <c r="M93" s="3"/>
      <c r="N93" s="3"/>
    </row>
    <row r="94" spans="1:14" ht="15.75" customHeight="1" x14ac:dyDescent="0.2">
      <c r="A94" s="295" t="s">
        <v>12</v>
      </c>
      <c r="B94" s="234"/>
      <c r="C94" s="234"/>
      <c r="D94" s="27"/>
      <c r="E94" s="44"/>
      <c r="F94" s="44"/>
      <c r="G94" s="166"/>
      <c r="H94" s="236"/>
      <c r="I94" s="236"/>
      <c r="J94" s="23"/>
      <c r="L94" s="3"/>
      <c r="M94" s="3"/>
      <c r="N94" s="3"/>
    </row>
    <row r="95" spans="1:14" ht="15.75" customHeight="1" x14ac:dyDescent="0.2">
      <c r="A95" s="295" t="s">
        <v>13</v>
      </c>
      <c r="B95" s="234"/>
      <c r="C95" s="234"/>
      <c r="D95" s="27"/>
      <c r="E95" s="44"/>
      <c r="F95" s="44"/>
      <c r="G95" s="166"/>
      <c r="H95" s="236"/>
      <c r="I95" s="236"/>
      <c r="J95" s="23"/>
      <c r="L95" s="3"/>
      <c r="M95" s="3"/>
      <c r="N95" s="3"/>
    </row>
    <row r="96" spans="1:14" ht="15.75" customHeight="1" x14ac:dyDescent="0.2">
      <c r="A96" s="21" t="s">
        <v>353</v>
      </c>
      <c r="B96" s="233">
        <v>756706.69482999993</v>
      </c>
      <c r="C96" s="233">
        <v>1242885.31745</v>
      </c>
      <c r="D96" s="23">
        <f t="shared" si="23"/>
        <v>64.2</v>
      </c>
      <c r="E96" s="44">
        <v>1031443.12852</v>
      </c>
      <c r="F96" s="44">
        <v>1395663.65325</v>
      </c>
      <c r="G96" s="166">
        <f t="shared" ref="G96" si="39">IF($A$1=4,IF(E96=0, "    ---- ", IF(ABS(ROUND(100/E96*F96-100,1))&lt;999,ROUND(100/E96*F96-100,1),IF(ROUND(100/E96*F96-100,1)&gt;999,999,-999))),"")</f>
        <v>35.299999999999997</v>
      </c>
      <c r="H96" s="236">
        <f t="shared" si="36"/>
        <v>1788149.82335</v>
      </c>
      <c r="I96" s="236">
        <f t="shared" si="37"/>
        <v>2638548.9706999999</v>
      </c>
      <c r="J96" s="23">
        <f t="shared" si="27"/>
        <v>47.6</v>
      </c>
      <c r="L96" s="3"/>
      <c r="M96" s="3"/>
      <c r="N96" s="3"/>
    </row>
    <row r="97" spans="1:14" ht="15.75" customHeight="1" x14ac:dyDescent="0.2">
      <c r="A97" s="21" t="s">
        <v>352</v>
      </c>
      <c r="B97" s="233">
        <v>5337850.5230999999</v>
      </c>
      <c r="C97" s="233">
        <v>5177429.6174600003</v>
      </c>
      <c r="D97" s="23">
        <f t="shared" ref="D97" si="40">IF(B97=0, "    ---- ", IF(ABS(ROUND(100/B97*C97-100,1))&lt;999,ROUND(100/B97*C97-100,1),IF(ROUND(100/B97*C97-100,1)&gt;999,999,-999)))</f>
        <v>-3</v>
      </c>
      <c r="E97" s="44"/>
      <c r="F97" s="44"/>
      <c r="G97" s="166"/>
      <c r="H97" s="236">
        <f t="shared" ref="H97" si="41">SUM(B97,E97)</f>
        <v>5337850.5230999999</v>
      </c>
      <c r="I97" s="236">
        <f t="shared" ref="I97" si="42">SUM(C97,F97)</f>
        <v>5177429.6174600003</v>
      </c>
      <c r="J97" s="23">
        <f t="shared" ref="J97" si="43">IF(H97=0, "    ---- ", IF(ABS(ROUND(100/H97*I97-100,1))&lt;999,ROUND(100/H97*I97-100,1),IF(ROUND(100/H97*I97-100,1)&gt;999,999,-999)))</f>
        <v>-3</v>
      </c>
      <c r="L97" s="3"/>
      <c r="M97" s="3"/>
      <c r="N97" s="3"/>
    </row>
    <row r="98" spans="1:14" ht="15.75" customHeight="1" x14ac:dyDescent="0.2">
      <c r="A98" s="21" t="s">
        <v>385</v>
      </c>
      <c r="B98" s="233">
        <v>374800405.29489166</v>
      </c>
      <c r="C98" s="233">
        <v>379135164.91265458</v>
      </c>
      <c r="D98" s="23">
        <f t="shared" si="23"/>
        <v>1.2</v>
      </c>
      <c r="E98" s="44">
        <v>257853688.3500154</v>
      </c>
      <c r="F98" s="44">
        <v>292295165.40559995</v>
      </c>
      <c r="G98" s="166">
        <f t="shared" ref="G98" si="44">IF($A$1=4,IF(E98=0, "    ---- ", IF(ABS(ROUND(100/E98*F98-100,1))&lt;999,ROUND(100/E98*F98-100,1),IF(ROUND(100/E98*F98-100,1)&gt;999,999,-999))),"")</f>
        <v>13.4</v>
      </c>
      <c r="H98" s="236">
        <f t="shared" si="36"/>
        <v>632654093.644907</v>
      </c>
      <c r="I98" s="236">
        <f t="shared" si="37"/>
        <v>671430330.31825447</v>
      </c>
      <c r="J98" s="23">
        <f t="shared" si="27"/>
        <v>6.1</v>
      </c>
      <c r="L98" s="3"/>
      <c r="M98" s="3"/>
      <c r="N98" s="3"/>
    </row>
    <row r="99" spans="1:14" ht="15.75" customHeight="1" x14ac:dyDescent="0.2">
      <c r="A99" s="21" t="s">
        <v>9</v>
      </c>
      <c r="B99" s="233">
        <v>372163478.11383426</v>
      </c>
      <c r="C99" s="233">
        <v>376101769.60159111</v>
      </c>
      <c r="D99" s="23">
        <f t="shared" si="23"/>
        <v>1.1000000000000001</v>
      </c>
      <c r="E99" s="44"/>
      <c r="F99" s="44"/>
      <c r="G99" s="166"/>
      <c r="H99" s="236">
        <f t="shared" si="36"/>
        <v>372163478.11383426</v>
      </c>
      <c r="I99" s="236">
        <f t="shared" si="37"/>
        <v>376101769.60159111</v>
      </c>
      <c r="J99" s="23">
        <f t="shared" si="27"/>
        <v>1.1000000000000001</v>
      </c>
      <c r="L99" s="3"/>
      <c r="M99" s="3"/>
      <c r="N99" s="3"/>
    </row>
    <row r="100" spans="1:14" ht="15.75" customHeight="1" x14ac:dyDescent="0.2">
      <c r="A100" s="21" t="s">
        <v>10</v>
      </c>
      <c r="B100" s="233">
        <v>2636927.1810573502</v>
      </c>
      <c r="C100" s="233">
        <v>3033395.3110634806</v>
      </c>
      <c r="D100" s="23">
        <f t="shared" si="23"/>
        <v>15</v>
      </c>
      <c r="E100" s="44">
        <v>257853688.3500154</v>
      </c>
      <c r="F100" s="44">
        <v>292295165.40559995</v>
      </c>
      <c r="G100" s="166">
        <f t="shared" ref="G100" si="45">IF($A$1=4,IF(E100=0, "    ---- ", IF(ABS(ROUND(100/E100*F100-100,1))&lt;999,ROUND(100/E100*F100-100,1),IF(ROUND(100/E100*F100-100,1)&gt;999,999,-999))),"")</f>
        <v>13.4</v>
      </c>
      <c r="H100" s="236">
        <f t="shared" si="36"/>
        <v>260490615.53107277</v>
      </c>
      <c r="I100" s="236">
        <f t="shared" si="37"/>
        <v>295328560.71666342</v>
      </c>
      <c r="J100" s="23">
        <f t="shared" si="27"/>
        <v>13.4</v>
      </c>
      <c r="L100" s="3"/>
      <c r="M100" s="3"/>
      <c r="N100" s="3"/>
    </row>
    <row r="101" spans="1:14" ht="15.75" customHeight="1" x14ac:dyDescent="0.2">
      <c r="A101" s="295" t="s">
        <v>383</v>
      </c>
      <c r="B101" s="44"/>
      <c r="C101" s="44"/>
      <c r="D101" s="27"/>
      <c r="E101" s="44"/>
      <c r="F101" s="44"/>
      <c r="G101" s="166"/>
      <c r="H101" s="236"/>
      <c r="I101" s="236"/>
      <c r="J101" s="23"/>
      <c r="L101" s="3"/>
      <c r="M101" s="3"/>
      <c r="N101" s="3"/>
    </row>
    <row r="102" spans="1:14" ht="15.75" customHeight="1" x14ac:dyDescent="0.2">
      <c r="A102" s="295" t="s">
        <v>12</v>
      </c>
      <c r="B102" s="234"/>
      <c r="C102" s="234"/>
      <c r="D102" s="27"/>
      <c r="E102" s="44"/>
      <c r="F102" s="44"/>
      <c r="G102" s="166"/>
      <c r="H102" s="236"/>
      <c r="I102" s="236"/>
      <c r="J102" s="23"/>
      <c r="L102" s="3"/>
      <c r="M102" s="3"/>
      <c r="N102" s="3"/>
    </row>
    <row r="103" spans="1:14" ht="15.75" customHeight="1" x14ac:dyDescent="0.2">
      <c r="A103" s="295" t="s">
        <v>13</v>
      </c>
      <c r="B103" s="234"/>
      <c r="C103" s="234"/>
      <c r="D103" s="27"/>
      <c r="E103" s="44"/>
      <c r="F103" s="44"/>
      <c r="G103" s="166"/>
      <c r="H103" s="236"/>
      <c r="I103" s="236"/>
      <c r="J103" s="23"/>
      <c r="L103" s="3"/>
      <c r="M103" s="3"/>
      <c r="N103" s="3"/>
    </row>
    <row r="104" spans="1:14" ht="15.75" customHeight="1" x14ac:dyDescent="0.2">
      <c r="A104" s="295" t="s">
        <v>384</v>
      </c>
      <c r="B104" s="44"/>
      <c r="C104" s="44"/>
      <c r="D104" s="27"/>
      <c r="E104" s="44"/>
      <c r="F104" s="44"/>
      <c r="G104" s="166"/>
      <c r="H104" s="236"/>
      <c r="I104" s="236"/>
      <c r="J104" s="23"/>
      <c r="L104" s="3"/>
      <c r="M104" s="3"/>
      <c r="N104" s="3"/>
    </row>
    <row r="105" spans="1:14" ht="15.75" customHeight="1" x14ac:dyDescent="0.2">
      <c r="A105" s="295" t="s">
        <v>12</v>
      </c>
      <c r="B105" s="234"/>
      <c r="C105" s="234"/>
      <c r="D105" s="27"/>
      <c r="E105" s="44"/>
      <c r="F105" s="44"/>
      <c r="G105" s="166"/>
      <c r="H105" s="236"/>
      <c r="I105" s="236"/>
      <c r="J105" s="23"/>
      <c r="L105" s="3"/>
      <c r="M105" s="3"/>
      <c r="N105" s="3"/>
    </row>
    <row r="106" spans="1:14" ht="15.75" customHeight="1" x14ac:dyDescent="0.2">
      <c r="A106" s="295" t="s">
        <v>13</v>
      </c>
      <c r="B106" s="234"/>
      <c r="C106" s="234"/>
      <c r="D106" s="27"/>
      <c r="E106" s="44"/>
      <c r="F106" s="44"/>
      <c r="G106" s="166"/>
      <c r="H106" s="236"/>
      <c r="I106" s="236"/>
      <c r="J106" s="23"/>
      <c r="L106" s="3"/>
      <c r="M106" s="3"/>
      <c r="N106" s="3"/>
    </row>
    <row r="107" spans="1:14" ht="15.75" customHeight="1" x14ac:dyDescent="0.2">
      <c r="A107" s="21" t="s">
        <v>386</v>
      </c>
      <c r="B107" s="233">
        <v>4857489.9850000003</v>
      </c>
      <c r="C107" s="233">
        <v>4735630.5159999998</v>
      </c>
      <c r="D107" s="23">
        <f t="shared" si="23"/>
        <v>-2.5</v>
      </c>
      <c r="E107" s="44">
        <v>702461.92574000009</v>
      </c>
      <c r="F107" s="44">
        <v>809826.57419999992</v>
      </c>
      <c r="G107" s="166">
        <f t="shared" ref="G107:G109" si="46">IF($A$1=4,IF(E107=0, "    ---- ", IF(ABS(ROUND(100/E107*F107-100,1))&lt;999,ROUND(100/E107*F107-100,1),IF(ROUND(100/E107*F107-100,1)&gt;999,999,-999))),"")</f>
        <v>15.3</v>
      </c>
      <c r="H107" s="236">
        <f t="shared" si="36"/>
        <v>5559951.9107400002</v>
      </c>
      <c r="I107" s="236">
        <f t="shared" si="37"/>
        <v>5545457.0901999995</v>
      </c>
      <c r="J107" s="23">
        <f t="shared" si="27"/>
        <v>-0.3</v>
      </c>
      <c r="L107" s="3"/>
      <c r="M107" s="3"/>
      <c r="N107" s="3"/>
    </row>
    <row r="108" spans="1:14" ht="15.75" customHeight="1" x14ac:dyDescent="0.2">
      <c r="A108" s="21" t="s">
        <v>387</v>
      </c>
      <c r="B108" s="233">
        <v>308835022.99411529</v>
      </c>
      <c r="C108" s="233">
        <v>316052714.28343719</v>
      </c>
      <c r="D108" s="23">
        <f t="shared" si="23"/>
        <v>2.2999999999999998</v>
      </c>
      <c r="E108" s="44">
        <v>16185786.369999999</v>
      </c>
      <c r="F108" s="44">
        <v>16499435.256000001</v>
      </c>
      <c r="G108" s="166">
        <f t="shared" si="46"/>
        <v>1.9</v>
      </c>
      <c r="H108" s="236">
        <f t="shared" si="36"/>
        <v>325020809.3641153</v>
      </c>
      <c r="I108" s="236">
        <f t="shared" si="37"/>
        <v>332552149.53943717</v>
      </c>
      <c r="J108" s="23">
        <f t="shared" si="27"/>
        <v>2.2999999999999998</v>
      </c>
      <c r="L108" s="3"/>
      <c r="M108" s="3"/>
      <c r="N108" s="3"/>
    </row>
    <row r="109" spans="1:14" ht="15.75" customHeight="1" x14ac:dyDescent="0.2">
      <c r="A109" s="21" t="s">
        <v>388</v>
      </c>
      <c r="B109" s="233">
        <v>920350.364717772</v>
      </c>
      <c r="C109" s="233">
        <v>978579.22192826797</v>
      </c>
      <c r="D109" s="23">
        <f t="shared" si="23"/>
        <v>6.3</v>
      </c>
      <c r="E109" s="44">
        <v>82253023.067784801</v>
      </c>
      <c r="F109" s="44">
        <v>99962108.68073</v>
      </c>
      <c r="G109" s="166">
        <f t="shared" si="46"/>
        <v>21.5</v>
      </c>
      <c r="H109" s="236">
        <f t="shared" si="36"/>
        <v>83173373.432502568</v>
      </c>
      <c r="I109" s="236">
        <f t="shared" si="37"/>
        <v>100940687.90265827</v>
      </c>
      <c r="J109" s="23">
        <f t="shared" si="27"/>
        <v>21.4</v>
      </c>
      <c r="L109" s="3"/>
      <c r="M109" s="148"/>
      <c r="N109" s="148"/>
    </row>
    <row r="110" spans="1:14" ht="15.75" customHeight="1" x14ac:dyDescent="0.2">
      <c r="A110" s="21" t="s">
        <v>389</v>
      </c>
      <c r="B110" s="233">
        <v>105217.73650999999</v>
      </c>
      <c r="C110" s="233">
        <v>254520.97074000002</v>
      </c>
      <c r="D110" s="23">
        <f t="shared" si="23"/>
        <v>141.9</v>
      </c>
      <c r="E110" s="44">
        <v>0</v>
      </c>
      <c r="F110" s="44">
        <v>0</v>
      </c>
      <c r="G110" s="166"/>
      <c r="H110" s="236">
        <f t="shared" si="36"/>
        <v>105217.73650999999</v>
      </c>
      <c r="I110" s="236">
        <f t="shared" si="37"/>
        <v>254520.97074000002</v>
      </c>
      <c r="J110" s="23">
        <f t="shared" si="27"/>
        <v>141.9</v>
      </c>
      <c r="L110" s="3"/>
      <c r="M110" s="3"/>
      <c r="N110" s="3"/>
    </row>
    <row r="111" spans="1:14" s="43" customFormat="1" ht="15.75" customHeight="1" x14ac:dyDescent="0.2">
      <c r="A111" s="13" t="s">
        <v>369</v>
      </c>
      <c r="B111" s="307">
        <v>357377.45717999997</v>
      </c>
      <c r="C111" s="307">
        <v>379040.60068999999</v>
      </c>
      <c r="D111" s="24">
        <f t="shared" si="23"/>
        <v>6.1</v>
      </c>
      <c r="E111" s="235">
        <v>10813675.01701</v>
      </c>
      <c r="F111" s="235">
        <v>11036026.356990002</v>
      </c>
      <c r="G111" s="171">
        <f t="shared" ref="G111:G114" si="47">IF($A$1=4,IF(E111=0, "    ---- ", IF(ABS(ROUND(100/E111*F111-100,1))&lt;999,ROUND(100/E111*F111-100,1),IF(ROUND(100/E111*F111-100,1)&gt;999,999,-999))),"")</f>
        <v>2.1</v>
      </c>
      <c r="H111" s="329">
        <f t="shared" si="36"/>
        <v>11171052.47419</v>
      </c>
      <c r="I111" s="329">
        <f t="shared" si="37"/>
        <v>11415066.957680002</v>
      </c>
      <c r="J111" s="24">
        <f t="shared" si="27"/>
        <v>2.2000000000000002</v>
      </c>
      <c r="L111" s="369"/>
      <c r="M111" s="369"/>
      <c r="N111" s="369"/>
    </row>
    <row r="112" spans="1:14" ht="15.75" customHeight="1" x14ac:dyDescent="0.2">
      <c r="A112" s="21" t="s">
        <v>9</v>
      </c>
      <c r="B112" s="233">
        <v>306765.55401999998</v>
      </c>
      <c r="C112" s="233">
        <v>302508.10580999998</v>
      </c>
      <c r="D112" s="23">
        <f t="shared" ref="D112:D125" si="48">IF(B112=0, "    ---- ", IF(ABS(ROUND(100/B112*C112-100,1))&lt;999,ROUND(100/B112*C112-100,1),IF(ROUND(100/B112*C112-100,1)&gt;999,999,-999)))</f>
        <v>-1.4</v>
      </c>
      <c r="E112" s="44">
        <v>1442.1869999999999</v>
      </c>
      <c r="F112" s="44">
        <v>5871.0330000000004</v>
      </c>
      <c r="G112" s="166">
        <f t="shared" si="47"/>
        <v>307.10000000000002</v>
      </c>
      <c r="H112" s="236">
        <f t="shared" ref="H112:H125" si="49">SUM(B112,E112)</f>
        <v>308207.74101999996</v>
      </c>
      <c r="I112" s="236">
        <f t="shared" ref="I112:I125" si="50">SUM(C112,F112)</f>
        <v>308379.13880999997</v>
      </c>
      <c r="J112" s="23">
        <f t="shared" ref="J112:J125" si="51">IF(H112=0, "    ---- ", IF(ABS(ROUND(100/H112*I112-100,1))&lt;999,ROUND(100/H112*I112-100,1),IF(ROUND(100/H112*I112-100,1)&gt;999,999,-999)))</f>
        <v>0.1</v>
      </c>
      <c r="L112" s="3"/>
      <c r="M112" s="3"/>
      <c r="N112" s="3"/>
    </row>
    <row r="113" spans="1:14" ht="15.75" customHeight="1" x14ac:dyDescent="0.2">
      <c r="A113" s="21" t="s">
        <v>10</v>
      </c>
      <c r="B113" s="233">
        <v>2035.66705</v>
      </c>
      <c r="C113" s="233">
        <v>1392.58835</v>
      </c>
      <c r="D113" s="23">
        <f t="shared" si="48"/>
        <v>-31.6</v>
      </c>
      <c r="E113" s="44">
        <v>10773018.39501</v>
      </c>
      <c r="F113" s="44">
        <v>10999269.363010002</v>
      </c>
      <c r="G113" s="166">
        <f t="shared" si="47"/>
        <v>2.1</v>
      </c>
      <c r="H113" s="236">
        <f t="shared" si="49"/>
        <v>10775054.06206</v>
      </c>
      <c r="I113" s="236">
        <f t="shared" si="50"/>
        <v>11000661.951360002</v>
      </c>
      <c r="J113" s="24">
        <f t="shared" si="51"/>
        <v>2.1</v>
      </c>
      <c r="L113" s="3"/>
      <c r="M113" s="3"/>
      <c r="N113" s="3"/>
    </row>
    <row r="114" spans="1:14" ht="15.75" customHeight="1" x14ac:dyDescent="0.2">
      <c r="A114" s="21" t="s">
        <v>26</v>
      </c>
      <c r="B114" s="233">
        <v>48576.236109999998</v>
      </c>
      <c r="C114" s="233">
        <v>75139.906530000007</v>
      </c>
      <c r="D114" s="23">
        <f t="shared" si="48"/>
        <v>54.7</v>
      </c>
      <c r="E114" s="44">
        <v>39214.434999999998</v>
      </c>
      <c r="F114" s="44">
        <v>30885.96098</v>
      </c>
      <c r="G114" s="166">
        <f t="shared" si="47"/>
        <v>-21.2</v>
      </c>
      <c r="H114" s="236">
        <f t="shared" si="49"/>
        <v>87790.671109999996</v>
      </c>
      <c r="I114" s="236">
        <f t="shared" si="50"/>
        <v>106025.86751000001</v>
      </c>
      <c r="J114" s="24">
        <f t="shared" si="51"/>
        <v>20.8</v>
      </c>
      <c r="L114" s="3"/>
      <c r="M114" s="3"/>
      <c r="N114" s="3"/>
    </row>
    <row r="115" spans="1:14" ht="15.75" customHeight="1" x14ac:dyDescent="0.2">
      <c r="A115" s="295" t="s">
        <v>15</v>
      </c>
      <c r="B115" s="44"/>
      <c r="C115" s="44"/>
      <c r="D115" s="27"/>
      <c r="E115" s="44"/>
      <c r="F115" s="44"/>
      <c r="G115" s="166"/>
      <c r="H115" s="236"/>
      <c r="I115" s="236"/>
      <c r="J115" s="23"/>
      <c r="L115" s="3"/>
      <c r="M115" s="3"/>
      <c r="N115" s="3"/>
    </row>
    <row r="116" spans="1:14" ht="15.75" customHeight="1" x14ac:dyDescent="0.2">
      <c r="A116" s="21" t="s">
        <v>390</v>
      </c>
      <c r="B116" s="233">
        <v>153153.47065</v>
      </c>
      <c r="C116" s="233">
        <v>109506.11413</v>
      </c>
      <c r="D116" s="23">
        <f t="shared" si="48"/>
        <v>-28.5</v>
      </c>
      <c r="E116" s="44">
        <v>2208.5889999999999</v>
      </c>
      <c r="F116" s="44">
        <v>5871.0330000000004</v>
      </c>
      <c r="G116" s="166">
        <f t="shared" ref="G116:G117" si="52">IF($A$1=4,IF(E116=0, "    ---- ", IF(ABS(ROUND(100/E116*F116-100,1))&lt;999,ROUND(100/E116*F116-100,1),IF(ROUND(100/E116*F116-100,1)&gt;999,999,-999))),"")</f>
        <v>165.8</v>
      </c>
      <c r="H116" s="236">
        <f t="shared" si="49"/>
        <v>155362.05965000001</v>
      </c>
      <c r="I116" s="236">
        <f t="shared" si="50"/>
        <v>115377.14713</v>
      </c>
      <c r="J116" s="23">
        <f t="shared" si="51"/>
        <v>-25.7</v>
      </c>
      <c r="L116" s="3"/>
      <c r="M116" s="3"/>
      <c r="N116" s="3"/>
    </row>
    <row r="117" spans="1:14" ht="15.75" customHeight="1" x14ac:dyDescent="0.2">
      <c r="A117" s="21" t="s">
        <v>391</v>
      </c>
      <c r="B117" s="233"/>
      <c r="C117" s="233"/>
      <c r="D117" s="23"/>
      <c r="E117" s="44">
        <v>1645555.52226</v>
      </c>
      <c r="F117" s="44">
        <v>2146859.7734000003</v>
      </c>
      <c r="G117" s="166">
        <f t="shared" si="52"/>
        <v>30.5</v>
      </c>
      <c r="H117" s="236">
        <f t="shared" si="49"/>
        <v>1645555.52226</v>
      </c>
      <c r="I117" s="236">
        <f t="shared" si="50"/>
        <v>2146859.7734000003</v>
      </c>
      <c r="J117" s="23">
        <f t="shared" si="51"/>
        <v>30.5</v>
      </c>
    </row>
    <row r="118" spans="1:14" ht="15.75" customHeight="1" x14ac:dyDescent="0.2">
      <c r="A118" s="21" t="s">
        <v>389</v>
      </c>
      <c r="B118" s="233"/>
      <c r="C118" s="233"/>
      <c r="D118" s="23"/>
      <c r="E118" s="44"/>
      <c r="F118" s="44"/>
      <c r="G118" s="166"/>
      <c r="H118" s="236"/>
      <c r="I118" s="236"/>
      <c r="J118" s="23"/>
    </row>
    <row r="119" spans="1:14" s="43" customFormat="1" ht="15.75" customHeight="1" x14ac:dyDescent="0.2">
      <c r="A119" s="13" t="s">
        <v>370</v>
      </c>
      <c r="B119" s="329">
        <v>794097.99107999995</v>
      </c>
      <c r="C119" s="329">
        <v>388362.41899999988</v>
      </c>
      <c r="D119" s="24">
        <f t="shared" si="48"/>
        <v>-51.1</v>
      </c>
      <c r="E119" s="235">
        <v>10893609.215970002</v>
      </c>
      <c r="F119" s="235">
        <v>11062987.154130001</v>
      </c>
      <c r="G119" s="171">
        <f t="shared" ref="G119" si="53">IF($A$1=4,IF(E119=0, "    ---- ", IF(ABS(ROUND(100/E119*F119-100,1))&lt;999,ROUND(100/E119*F119-100,1),IF(ROUND(100/E119*F119-100,1)&gt;999,999,-999))),"")</f>
        <v>1.6</v>
      </c>
      <c r="H119" s="329">
        <f t="shared" si="49"/>
        <v>11687707.207050001</v>
      </c>
      <c r="I119" s="329">
        <f t="shared" si="50"/>
        <v>11451349.57313</v>
      </c>
      <c r="J119" s="24">
        <f t="shared" si="51"/>
        <v>-2</v>
      </c>
    </row>
    <row r="120" spans="1:14" ht="15.75" customHeight="1" x14ac:dyDescent="0.2">
      <c r="A120" s="21" t="s">
        <v>9</v>
      </c>
      <c r="B120" s="236">
        <v>377586.66015000001</v>
      </c>
      <c r="C120" s="236">
        <v>209650.64556999988</v>
      </c>
      <c r="D120" s="23">
        <f t="shared" si="48"/>
        <v>-44.5</v>
      </c>
      <c r="E120" s="44"/>
      <c r="F120" s="44"/>
      <c r="G120" s="166"/>
      <c r="H120" s="236">
        <f t="shared" si="49"/>
        <v>377586.66015000001</v>
      </c>
      <c r="I120" s="236">
        <f t="shared" si="50"/>
        <v>209650.64556999988</v>
      </c>
      <c r="J120" s="23">
        <f t="shared" si="51"/>
        <v>-44.5</v>
      </c>
    </row>
    <row r="121" spans="1:14" ht="15.75" customHeight="1" x14ac:dyDescent="0.2">
      <c r="A121" s="21" t="s">
        <v>10</v>
      </c>
      <c r="B121" s="236">
        <v>27225.563000000002</v>
      </c>
      <c r="C121" s="236">
        <v>34815.485439999997</v>
      </c>
      <c r="D121" s="23">
        <f t="shared" si="48"/>
        <v>27.9</v>
      </c>
      <c r="E121" s="44">
        <v>10893609.215970002</v>
      </c>
      <c r="F121" s="44">
        <v>11062987.154130001</v>
      </c>
      <c r="G121" s="166">
        <f t="shared" ref="G121" si="54">IF($A$1=4,IF(E121=0, "    ---- ", IF(ABS(ROUND(100/E121*F121-100,1))&lt;999,ROUND(100/E121*F121-100,1),IF(ROUND(100/E121*F121-100,1)&gt;999,999,-999))),"")</f>
        <v>1.6</v>
      </c>
      <c r="H121" s="236">
        <f t="shared" si="49"/>
        <v>10920834.778970001</v>
      </c>
      <c r="I121" s="236">
        <f t="shared" si="50"/>
        <v>11097802.639570002</v>
      </c>
      <c r="J121" s="23">
        <f t="shared" si="51"/>
        <v>1.6</v>
      </c>
    </row>
    <row r="122" spans="1:14" ht="15.75" customHeight="1" x14ac:dyDescent="0.2">
      <c r="A122" s="21" t="s">
        <v>26</v>
      </c>
      <c r="B122" s="236">
        <v>389285.76792999997</v>
      </c>
      <c r="C122" s="236">
        <v>143896.28799000001</v>
      </c>
      <c r="D122" s="23">
        <f t="shared" si="48"/>
        <v>-63</v>
      </c>
      <c r="E122" s="44"/>
      <c r="F122" s="44"/>
      <c r="G122" s="166"/>
      <c r="H122" s="236">
        <f t="shared" si="49"/>
        <v>389285.76792999997</v>
      </c>
      <c r="I122" s="236">
        <f t="shared" si="50"/>
        <v>143896.28799000001</v>
      </c>
      <c r="J122" s="23">
        <f t="shared" si="51"/>
        <v>-63</v>
      </c>
    </row>
    <row r="123" spans="1:14" ht="15.75" customHeight="1" x14ac:dyDescent="0.2">
      <c r="A123" s="295" t="s">
        <v>14</v>
      </c>
      <c r="B123" s="44"/>
      <c r="C123" s="44"/>
      <c r="D123" s="27"/>
      <c r="E123" s="44"/>
      <c r="F123" s="44"/>
      <c r="G123" s="166"/>
      <c r="H123" s="236"/>
      <c r="I123" s="236"/>
      <c r="J123" s="23"/>
    </row>
    <row r="124" spans="1:14" ht="15.75" customHeight="1" x14ac:dyDescent="0.2">
      <c r="A124" s="21" t="s">
        <v>387</v>
      </c>
      <c r="B124" s="236">
        <v>110714.31599999999</v>
      </c>
      <c r="C124" s="236">
        <v>53616.676609999995</v>
      </c>
      <c r="D124" s="23">
        <f t="shared" si="48"/>
        <v>-51.6</v>
      </c>
      <c r="E124" s="44">
        <v>25940.243000000002</v>
      </c>
      <c r="F124" s="44">
        <v>19716.014999999999</v>
      </c>
      <c r="G124" s="166">
        <f t="shared" ref="G124:G125" si="55">IF($A$1=4,IF(E124=0, "    ---- ", IF(ABS(ROUND(100/E124*F124-100,1))&lt;999,ROUND(100/E124*F124-100,1),IF(ROUND(100/E124*F124-100,1)&gt;999,999,-999))),"")</f>
        <v>-24</v>
      </c>
      <c r="H124" s="236">
        <f t="shared" si="49"/>
        <v>136654.55900000001</v>
      </c>
      <c r="I124" s="236">
        <f t="shared" si="50"/>
        <v>73332.691609999994</v>
      </c>
      <c r="J124" s="23">
        <f t="shared" si="51"/>
        <v>-46.3</v>
      </c>
    </row>
    <row r="125" spans="1:14" ht="15.75" customHeight="1" x14ac:dyDescent="0.2">
      <c r="A125" s="21" t="s">
        <v>388</v>
      </c>
      <c r="B125" s="236">
        <v>2576.0078199999998</v>
      </c>
      <c r="C125" s="236">
        <v>2613.38528</v>
      </c>
      <c r="D125" s="23">
        <f t="shared" si="48"/>
        <v>1.5</v>
      </c>
      <c r="E125" s="44">
        <v>1555259.1051400001</v>
      </c>
      <c r="F125" s="44">
        <v>2253165.1133699999</v>
      </c>
      <c r="G125" s="166">
        <f t="shared" si="55"/>
        <v>44.9</v>
      </c>
      <c r="H125" s="236">
        <f t="shared" si="49"/>
        <v>1557835.1129600001</v>
      </c>
      <c r="I125" s="236">
        <f t="shared" si="50"/>
        <v>2255778.49865</v>
      </c>
      <c r="J125" s="23">
        <f t="shared" si="51"/>
        <v>44.8</v>
      </c>
    </row>
    <row r="126" spans="1:14" ht="15.75" customHeight="1" x14ac:dyDescent="0.2">
      <c r="A126" s="10" t="s">
        <v>389</v>
      </c>
      <c r="B126" s="237"/>
      <c r="C126" s="238"/>
      <c r="D126" s="22"/>
      <c r="E126" s="45"/>
      <c r="F126" s="45"/>
      <c r="G126" s="167"/>
      <c r="H126" s="237"/>
      <c r="I126" s="238"/>
      <c r="J126" s="22"/>
    </row>
    <row r="127" spans="1:14" ht="15.75" customHeight="1" x14ac:dyDescent="0.2">
      <c r="A127" s="155"/>
    </row>
    <row r="128" spans="1:14" ht="15.75" customHeight="1" x14ac:dyDescent="0.2">
      <c r="A128" s="149"/>
    </row>
    <row r="129" spans="1:10" ht="15.75" customHeight="1" x14ac:dyDescent="0.25">
      <c r="A129" s="165" t="s">
        <v>27</v>
      </c>
    </row>
    <row r="130" spans="1:10" ht="15.75" customHeight="1" x14ac:dyDescent="0.25">
      <c r="A130" s="149"/>
      <c r="B130" s="669"/>
      <c r="C130" s="669"/>
      <c r="D130" s="669"/>
      <c r="E130" s="669"/>
      <c r="F130" s="669"/>
      <c r="G130" s="669"/>
      <c r="H130" s="669"/>
      <c r="I130" s="669"/>
      <c r="J130" s="669"/>
    </row>
    <row r="131" spans="1:10" s="3" customFormat="1" ht="20.100000000000001" customHeight="1" x14ac:dyDescent="0.2">
      <c r="A131" s="144"/>
      <c r="B131" s="666" t="s">
        <v>0</v>
      </c>
      <c r="C131" s="667"/>
      <c r="D131" s="668"/>
      <c r="E131" s="667" t="s">
        <v>1</v>
      </c>
      <c r="F131" s="667"/>
      <c r="G131" s="667"/>
      <c r="H131" s="666" t="s">
        <v>2</v>
      </c>
      <c r="I131" s="667"/>
      <c r="J131" s="668"/>
    </row>
    <row r="132" spans="1:10" s="3" customFormat="1" ht="15.75" customHeight="1" x14ac:dyDescent="0.2">
      <c r="A132" s="140"/>
      <c r="B132" s="20" t="s">
        <v>407</v>
      </c>
      <c r="C132" s="20" t="s">
        <v>408</v>
      </c>
      <c r="D132" s="19" t="s">
        <v>3</v>
      </c>
      <c r="E132" s="20" t="s">
        <v>407</v>
      </c>
      <c r="F132" s="20" t="s">
        <v>408</v>
      </c>
      <c r="G132" s="19" t="s">
        <v>3</v>
      </c>
      <c r="H132" s="20" t="s">
        <v>407</v>
      </c>
      <c r="I132" s="20" t="s">
        <v>408</v>
      </c>
      <c r="J132" s="19" t="s">
        <v>3</v>
      </c>
    </row>
    <row r="133" spans="1:10" s="3" customFormat="1" ht="15.75" customHeight="1" x14ac:dyDescent="0.2">
      <c r="A133" s="647"/>
      <c r="B133" s="15"/>
      <c r="C133" s="15"/>
      <c r="D133" s="17" t="s">
        <v>4</v>
      </c>
      <c r="E133" s="16"/>
      <c r="F133" s="16"/>
      <c r="G133" s="15" t="s">
        <v>4</v>
      </c>
      <c r="H133" s="16"/>
      <c r="I133" s="16"/>
      <c r="J133" s="15" t="s">
        <v>4</v>
      </c>
    </row>
    <row r="134" spans="1:10" s="369" customFormat="1" ht="15.75" customHeight="1" x14ac:dyDescent="0.2">
      <c r="A134" s="14" t="s">
        <v>392</v>
      </c>
      <c r="B134" s="235">
        <v>35322559.840970002</v>
      </c>
      <c r="C134" s="235">
        <v>36679238.238579996</v>
      </c>
      <c r="D134" s="11">
        <f t="shared" ref="D134:D137" si="56">IF(B134=0, "    ---- ", IF(ABS(ROUND(100/B134*C134-100,1))&lt;999,ROUND(100/B134*C134-100,1),IF(ROUND(100/B134*C134-100,1)&gt;999,999,-999)))</f>
        <v>3.8</v>
      </c>
      <c r="E134" s="235">
        <v>116827.63</v>
      </c>
      <c r="F134" s="235">
        <v>125663.209</v>
      </c>
      <c r="G134" s="11">
        <f t="shared" ref="G134:G136" si="57">IF(E134=0, "    ---- ", IF(ABS(ROUND(100/E134*F134-100,1))&lt;999,ROUND(100/E134*F134-100,1),IF(ROUND(100/E134*F134-100,1)&gt;999,999,-999)))</f>
        <v>7.6</v>
      </c>
      <c r="H134" s="235">
        <f t="shared" ref="H134:I137" si="58">SUM(B134,E134)</f>
        <v>35439387.470970005</v>
      </c>
      <c r="I134" s="235">
        <f t="shared" si="58"/>
        <v>36804901.447579995</v>
      </c>
      <c r="J134" s="11">
        <f t="shared" ref="J134:J137" si="59">IF(H134=0, "    ---- ", IF(ABS(ROUND(100/H134*I134-100,1))&lt;999,ROUND(100/H134*I134-100,1),IF(ROUND(100/H134*I134-100,1)&gt;999,999,-999)))</f>
        <v>3.9</v>
      </c>
    </row>
    <row r="135" spans="1:10" s="369" customFormat="1" ht="15.75" customHeight="1" x14ac:dyDescent="0.2">
      <c r="A135" s="13" t="s">
        <v>393</v>
      </c>
      <c r="B135" s="235">
        <v>546877923.79205</v>
      </c>
      <c r="C135" s="235">
        <v>576252216.01008999</v>
      </c>
      <c r="D135" s="11">
        <f t="shared" si="56"/>
        <v>5.4</v>
      </c>
      <c r="E135" s="235">
        <v>2478827.29715</v>
      </c>
      <c r="F135" s="235">
        <v>2644541.49015</v>
      </c>
      <c r="G135" s="11">
        <f t="shared" si="57"/>
        <v>6.7</v>
      </c>
      <c r="H135" s="235">
        <f t="shared" si="58"/>
        <v>549356751.08920002</v>
      </c>
      <c r="I135" s="235">
        <f t="shared" si="58"/>
        <v>578896757.50023997</v>
      </c>
      <c r="J135" s="11">
        <f t="shared" si="59"/>
        <v>5.4</v>
      </c>
    </row>
    <row r="136" spans="1:10" s="369" customFormat="1" ht="15.75" customHeight="1" x14ac:dyDescent="0.2">
      <c r="A136" s="13" t="s">
        <v>394</v>
      </c>
      <c r="B136" s="235">
        <v>315551.48612999998</v>
      </c>
      <c r="C136" s="235">
        <v>106107.522</v>
      </c>
      <c r="D136" s="11">
        <f t="shared" si="56"/>
        <v>-66.400000000000006</v>
      </c>
      <c r="E136" s="235">
        <v>-10.804</v>
      </c>
      <c r="F136" s="235">
        <v>0</v>
      </c>
      <c r="G136" s="11">
        <f t="shared" si="57"/>
        <v>-100</v>
      </c>
      <c r="H136" s="235">
        <f t="shared" si="58"/>
        <v>315540.68212999997</v>
      </c>
      <c r="I136" s="235">
        <f t="shared" si="58"/>
        <v>106107.522</v>
      </c>
      <c r="J136" s="11">
        <f t="shared" si="59"/>
        <v>-66.400000000000006</v>
      </c>
    </row>
    <row r="137" spans="1:10" s="369" customFormat="1" ht="15.75" customHeight="1" x14ac:dyDescent="0.2">
      <c r="A137" s="41" t="s">
        <v>395</v>
      </c>
      <c r="B137" s="275">
        <v>496739.50099999999</v>
      </c>
      <c r="C137" s="275">
        <v>288211.58799999999</v>
      </c>
      <c r="D137" s="9">
        <f t="shared" si="56"/>
        <v>-42</v>
      </c>
      <c r="E137" s="275"/>
      <c r="F137" s="275"/>
      <c r="G137" s="9"/>
      <c r="H137" s="275">
        <f t="shared" si="58"/>
        <v>496739.50099999999</v>
      </c>
      <c r="I137" s="275">
        <f t="shared" si="58"/>
        <v>288211.58799999999</v>
      </c>
      <c r="J137" s="9">
        <f t="shared" si="59"/>
        <v>-42</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01:I106">
    <cfRule type="expression" dxfId="1548" priority="46">
      <formula>kvartal&lt;4</formula>
    </cfRule>
  </conditionalFormatting>
  <conditionalFormatting sqref="H69:I74">
    <cfRule type="expression" dxfId="1547" priority="54">
      <formula>kvartal&lt;4</formula>
    </cfRule>
  </conditionalFormatting>
  <conditionalFormatting sqref="H80:I85">
    <cfRule type="expression" dxfId="1546" priority="51">
      <formula>kvartal&lt;4</formula>
    </cfRule>
  </conditionalFormatting>
  <conditionalFormatting sqref="H90:I95">
    <cfRule type="expression" dxfId="1545" priority="47">
      <formula>kvartal&lt;4</formula>
    </cfRule>
  </conditionalFormatting>
  <conditionalFormatting sqref="H115:I115">
    <cfRule type="expression" dxfId="1544" priority="45">
      <formula>kvartal&lt;4</formula>
    </cfRule>
  </conditionalFormatting>
  <conditionalFormatting sqref="H123:I123">
    <cfRule type="expression" dxfId="1543" priority="44">
      <formula>kvartal&lt;4</formula>
    </cfRule>
  </conditionalFormatting>
  <conditionalFormatting sqref="A50:A52">
    <cfRule type="expression" dxfId="1542" priority="40">
      <formula>kvartal &lt; 4</formula>
    </cfRule>
  </conditionalFormatting>
  <conditionalFormatting sqref="A69:A74">
    <cfRule type="expression" dxfId="1541" priority="38">
      <formula>kvartal &lt; 4</formula>
    </cfRule>
  </conditionalFormatting>
  <conditionalFormatting sqref="A80:A85">
    <cfRule type="expression" dxfId="1540" priority="37">
      <formula>kvartal &lt; 4</formula>
    </cfRule>
  </conditionalFormatting>
  <conditionalFormatting sqref="A90:A95">
    <cfRule type="expression" dxfId="1539" priority="34">
      <formula>kvartal &lt; 4</formula>
    </cfRule>
  </conditionalFormatting>
  <conditionalFormatting sqref="A101:A106">
    <cfRule type="expression" dxfId="1538" priority="33">
      <formula>kvartal &lt; 4</formula>
    </cfRule>
  </conditionalFormatting>
  <conditionalFormatting sqref="A115">
    <cfRule type="expression" dxfId="1537" priority="32">
      <formula>kvartal &lt; 4</formula>
    </cfRule>
  </conditionalFormatting>
  <conditionalFormatting sqref="A123">
    <cfRule type="expression" dxfId="1536" priority="31">
      <formula>kvartal &lt; 4</formula>
    </cfRule>
  </conditionalFormatting>
  <conditionalFormatting sqref="B50:C52">
    <cfRule type="expression" dxfId="1535" priority="24">
      <formula>kvartal&lt;4</formula>
    </cfRule>
  </conditionalFormatting>
  <conditionalFormatting sqref="B69:C69">
    <cfRule type="expression" dxfId="1534" priority="22">
      <formula>kvartal&lt;4</formula>
    </cfRule>
  </conditionalFormatting>
  <conditionalFormatting sqref="B72:C72">
    <cfRule type="expression" dxfId="1533" priority="21">
      <formula>kvartal&lt;4</formula>
    </cfRule>
  </conditionalFormatting>
  <conditionalFormatting sqref="B80:C80">
    <cfRule type="expression" dxfId="1532" priority="20">
      <formula>kvartal&lt;4</formula>
    </cfRule>
  </conditionalFormatting>
  <conditionalFormatting sqref="B83:C83">
    <cfRule type="expression" dxfId="1531" priority="19">
      <formula>kvartal&lt;4</formula>
    </cfRule>
  </conditionalFormatting>
  <conditionalFormatting sqref="B90:C90">
    <cfRule type="expression" dxfId="1530" priority="14">
      <formula>kvartal&lt;4</formula>
    </cfRule>
  </conditionalFormatting>
  <conditionalFormatting sqref="B93:C93">
    <cfRule type="expression" dxfId="1529" priority="13">
      <formula>kvartal&lt;4</formula>
    </cfRule>
  </conditionalFormatting>
  <conditionalFormatting sqref="B101:C101">
    <cfRule type="expression" dxfId="1528" priority="12">
      <formula>kvartal&lt;4</formula>
    </cfRule>
  </conditionalFormatting>
  <conditionalFormatting sqref="B104:C104">
    <cfRule type="expression" dxfId="1527" priority="11">
      <formula>kvartal&lt;4</formula>
    </cfRule>
  </conditionalFormatting>
  <conditionalFormatting sqref="B115:C115">
    <cfRule type="expression" dxfId="1526" priority="10">
      <formula>kvartal&lt;4</formula>
    </cfRule>
  </conditionalFormatting>
  <conditionalFormatting sqref="B123:C123">
    <cfRule type="expression" dxfId="1525" priority="9">
      <formula>kvartal&lt;4</formula>
    </cfRule>
  </conditionalFormatting>
  <conditionalFormatting sqref="E69:F74">
    <cfRule type="expression" dxfId="1524" priority="8">
      <formula>kvartal&lt;4</formula>
    </cfRule>
  </conditionalFormatting>
  <conditionalFormatting sqref="E80:F85">
    <cfRule type="expression" dxfId="1523" priority="7">
      <formula>kvartal&lt;4</formula>
    </cfRule>
  </conditionalFormatting>
  <conditionalFormatting sqref="E90:F95">
    <cfRule type="expression" dxfId="1522" priority="4">
      <formula>kvartal&lt;4</formula>
    </cfRule>
  </conditionalFormatting>
  <conditionalFormatting sqref="E101:F106">
    <cfRule type="expression" dxfId="1521" priority="3">
      <formula>kvartal&lt;4</formula>
    </cfRule>
  </conditionalFormatting>
  <conditionalFormatting sqref="E115:F115">
    <cfRule type="expression" dxfId="1520" priority="2">
      <formula>kvartal&lt;4</formula>
    </cfRule>
  </conditionalFormatting>
  <conditionalFormatting sqref="E123:F123">
    <cfRule type="expression" dxfId="1519"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137</v>
      </c>
      <c r="B1" s="648"/>
      <c r="C1" s="247" t="s">
        <v>84</v>
      </c>
      <c r="D1" s="26"/>
      <c r="E1" s="26"/>
      <c r="F1" s="26"/>
      <c r="G1" s="26"/>
      <c r="H1" s="26"/>
      <c r="I1" s="26"/>
      <c r="J1" s="26"/>
      <c r="K1" s="26"/>
      <c r="L1" s="26"/>
      <c r="M1" s="26"/>
    </row>
    <row r="2" spans="1:14" ht="15.75" x14ac:dyDescent="0.25">
      <c r="A2" s="165" t="s">
        <v>28</v>
      </c>
      <c r="B2" s="671"/>
      <c r="C2" s="671"/>
      <c r="D2" s="671"/>
      <c r="E2" s="358"/>
      <c r="F2" s="671"/>
      <c r="G2" s="671"/>
      <c r="H2" s="671"/>
      <c r="I2" s="358"/>
      <c r="J2" s="671"/>
      <c r="K2" s="671"/>
      <c r="L2" s="671"/>
      <c r="M2" s="358"/>
    </row>
    <row r="3" spans="1:14" ht="15.75" x14ac:dyDescent="0.25">
      <c r="A3" s="163"/>
      <c r="B3" s="358"/>
      <c r="C3" s="358"/>
      <c r="D3" s="358"/>
      <c r="E3" s="358"/>
      <c r="F3" s="358"/>
      <c r="G3" s="358"/>
      <c r="H3" s="358"/>
      <c r="I3" s="358"/>
      <c r="J3" s="358"/>
      <c r="K3" s="358"/>
      <c r="L3" s="358"/>
      <c r="M3" s="358"/>
    </row>
    <row r="4" spans="1:14" x14ac:dyDescent="0.2">
      <c r="A4" s="144"/>
      <c r="B4" s="672" t="s">
        <v>0</v>
      </c>
      <c r="C4" s="673"/>
      <c r="D4" s="673"/>
      <c r="E4" s="357"/>
      <c r="F4" s="672" t="s">
        <v>1</v>
      </c>
      <c r="G4" s="673"/>
      <c r="H4" s="673"/>
      <c r="I4" s="360"/>
      <c r="J4" s="672" t="s">
        <v>2</v>
      </c>
      <c r="K4" s="673"/>
      <c r="L4" s="673"/>
      <c r="M4" s="360"/>
    </row>
    <row r="5" spans="1:14"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4" x14ac:dyDescent="0.2">
      <c r="A6" s="646"/>
      <c r="B6" s="156"/>
      <c r="C6" s="156"/>
      <c r="D6" s="245" t="s">
        <v>4</v>
      </c>
      <c r="E6" s="156" t="s">
        <v>30</v>
      </c>
      <c r="F6" s="161"/>
      <c r="G6" s="161"/>
      <c r="H6" s="244" t="s">
        <v>4</v>
      </c>
      <c r="I6" s="156" t="s">
        <v>30</v>
      </c>
      <c r="J6" s="161"/>
      <c r="K6" s="161"/>
      <c r="L6" s="244" t="s">
        <v>4</v>
      </c>
      <c r="M6" s="156" t="s">
        <v>30</v>
      </c>
    </row>
    <row r="7" spans="1:14" ht="15.75" x14ac:dyDescent="0.2">
      <c r="A7" s="14" t="s">
        <v>23</v>
      </c>
      <c r="B7" s="305">
        <v>211001.497</v>
      </c>
      <c r="C7" s="306">
        <v>212195.07199999999</v>
      </c>
      <c r="D7" s="350">
        <f>IF(B7=0, "    ---- ", IF(ABS(ROUND(100/B7*C7-100,1))&lt;999,ROUND(100/B7*C7-100,1),IF(ROUND(100/B7*C7-100,1)&gt;999,999,-999)))</f>
        <v>0.6</v>
      </c>
      <c r="E7" s="11">
        <f>IFERROR(100/'Skjema total MA'!C7*C7,0)</f>
        <v>5.816527139036185</v>
      </c>
      <c r="F7" s="305">
        <v>266465.21899999998</v>
      </c>
      <c r="G7" s="306">
        <v>216544.95199999999</v>
      </c>
      <c r="H7" s="350">
        <f>IF(F7=0, "    ---- ", IF(ABS(ROUND(100/F7*G7-100,1))&lt;999,ROUND(100/F7*G7-100,1),IF(ROUND(100/F7*G7-100,1)&gt;999,999,-999)))</f>
        <v>-18.7</v>
      </c>
      <c r="I7" s="160">
        <f>IFERROR(100/'Skjema total MA'!F7*G7,0)</f>
        <v>3.0219190650606191</v>
      </c>
      <c r="J7" s="307">
        <f t="shared" ref="J7:K12" si="0">SUM(B7,F7)</f>
        <v>477466.71600000001</v>
      </c>
      <c r="K7" s="308">
        <f t="shared" si="0"/>
        <v>428740.02399999998</v>
      </c>
      <c r="L7" s="374">
        <f>IF(J7=0, "    ---- ", IF(ABS(ROUND(100/J7*K7-100,1))&lt;999,ROUND(100/J7*K7-100,1),IF(ROUND(100/J7*K7-100,1)&gt;999,999,-999)))</f>
        <v>-10.199999999999999</v>
      </c>
      <c r="M7" s="11">
        <f>IFERROR(100/'Skjema total MA'!I7*K7,0)</f>
        <v>3.9646941774832678</v>
      </c>
    </row>
    <row r="8" spans="1:14" ht="15.75" x14ac:dyDescent="0.2">
      <c r="A8" s="21" t="s">
        <v>25</v>
      </c>
      <c r="B8" s="280">
        <v>101963.326</v>
      </c>
      <c r="C8" s="281">
        <v>101275.159</v>
      </c>
      <c r="D8" s="166">
        <f t="shared" ref="D8:D10" si="1">IF(B8=0, "    ---- ", IF(ABS(ROUND(100/B8*C8-100,1))&lt;999,ROUND(100/B8*C8-100,1),IF(ROUND(100/B8*C8-100,1)&gt;999,999,-999)))</f>
        <v>-0.7</v>
      </c>
      <c r="E8" s="27">
        <f>IFERROR(100/'Skjema total MA'!C8*C8,0)</f>
        <v>4.6255800477902671</v>
      </c>
      <c r="F8" s="284"/>
      <c r="G8" s="285"/>
      <c r="H8" s="166"/>
      <c r="I8" s="175"/>
      <c r="J8" s="233">
        <f t="shared" si="0"/>
        <v>101963.326</v>
      </c>
      <c r="K8" s="286">
        <f t="shared" si="0"/>
        <v>101275.159</v>
      </c>
      <c r="L8" s="253">
        <f t="shared" ref="L8:L12" si="2">IF(J8=0, "    ---- ", IF(ABS(ROUND(100/J8*K8-100,1))&lt;999,ROUND(100/J8*K8-100,1),IF(ROUND(100/J8*K8-100,1)&gt;999,999,-999)))</f>
        <v>-0.7</v>
      </c>
      <c r="M8" s="27">
        <f>IFERROR(100/'Skjema total MA'!I8*K8,0)</f>
        <v>4.6255800477902671</v>
      </c>
    </row>
    <row r="9" spans="1:14" ht="15.75" x14ac:dyDescent="0.2">
      <c r="A9" s="21" t="s">
        <v>24</v>
      </c>
      <c r="B9" s="280">
        <v>55546.400999999998</v>
      </c>
      <c r="C9" s="281">
        <v>51985.794000000002</v>
      </c>
      <c r="D9" s="166">
        <f t="shared" si="1"/>
        <v>-6.4</v>
      </c>
      <c r="E9" s="27">
        <f>IFERROR(100/'Skjema total MA'!C9*C9,0)</f>
        <v>6.6273011342578032</v>
      </c>
      <c r="F9" s="284"/>
      <c r="G9" s="285"/>
      <c r="H9" s="166"/>
      <c r="I9" s="175"/>
      <c r="J9" s="233">
        <f t="shared" si="0"/>
        <v>55546.400999999998</v>
      </c>
      <c r="K9" s="286">
        <f t="shared" si="0"/>
        <v>51985.794000000002</v>
      </c>
      <c r="L9" s="253">
        <f t="shared" si="2"/>
        <v>-6.4</v>
      </c>
      <c r="M9" s="27">
        <f>IFERROR(100/'Skjema total MA'!I9*K9,0)</f>
        <v>6.6273011342578032</v>
      </c>
    </row>
    <row r="10" spans="1:14" ht="15.75" x14ac:dyDescent="0.2">
      <c r="A10" s="13" t="s">
        <v>368</v>
      </c>
      <c r="B10" s="309">
        <v>335236.36099999998</v>
      </c>
      <c r="C10" s="310">
        <v>313469.46799999999</v>
      </c>
      <c r="D10" s="171">
        <f t="shared" si="1"/>
        <v>-6.5</v>
      </c>
      <c r="E10" s="11">
        <f>IFERROR(100/'Skjema total MA'!C10*C10,0)</f>
        <v>1.6234588040629871</v>
      </c>
      <c r="F10" s="309">
        <v>2636128.176</v>
      </c>
      <c r="G10" s="310">
        <v>2641206.1860000002</v>
      </c>
      <c r="H10" s="171">
        <f t="shared" ref="H10:H12" si="3">IF(F10=0, "    ---- ", IF(ABS(ROUND(100/F10*G10-100,1))&lt;999,ROUND(100/F10*G10-100,1),IF(ROUND(100/F10*G10-100,1)&gt;999,999,-999)))</f>
        <v>0.2</v>
      </c>
      <c r="I10" s="160">
        <f>IFERROR(100/'Skjema total MA'!F10*G10,0)</f>
        <v>5.3636051631318784</v>
      </c>
      <c r="J10" s="307">
        <f t="shared" si="0"/>
        <v>2971364.537</v>
      </c>
      <c r="K10" s="308">
        <f t="shared" si="0"/>
        <v>2954675.6540000001</v>
      </c>
      <c r="L10" s="375">
        <f t="shared" si="2"/>
        <v>-0.6</v>
      </c>
      <c r="M10" s="11">
        <f>IFERROR(100/'Skjema total MA'!I10*K10,0)</f>
        <v>4.3101322884025528</v>
      </c>
    </row>
    <row r="11" spans="1:14" s="43" customFormat="1" ht="15.75" x14ac:dyDescent="0.2">
      <c r="A11" s="13" t="s">
        <v>369</v>
      </c>
      <c r="B11" s="309"/>
      <c r="C11" s="310"/>
      <c r="D11" s="171"/>
      <c r="E11" s="11"/>
      <c r="F11" s="309">
        <v>9394.7929999999997</v>
      </c>
      <c r="G11" s="310">
        <v>27497.279999999999</v>
      </c>
      <c r="H11" s="171">
        <f t="shared" si="3"/>
        <v>192.7</v>
      </c>
      <c r="I11" s="160">
        <f>IFERROR(100/'Skjema total MA'!F11*G11,0)</f>
        <v>11.921943063188751</v>
      </c>
      <c r="J11" s="307">
        <f t="shared" si="0"/>
        <v>9394.7929999999997</v>
      </c>
      <c r="K11" s="308">
        <f t="shared" si="0"/>
        <v>27497.279999999999</v>
      </c>
      <c r="L11" s="375">
        <f t="shared" si="2"/>
        <v>192.7</v>
      </c>
      <c r="M11" s="11">
        <f>IFERROR(100/'Skjema total MA'!I11*K11,0)</f>
        <v>9.9567905623512747</v>
      </c>
      <c r="N11" s="143"/>
    </row>
    <row r="12" spans="1:14" s="43" customFormat="1" ht="15.75" x14ac:dyDescent="0.2">
      <c r="A12" s="41" t="s">
        <v>370</v>
      </c>
      <c r="B12" s="311"/>
      <c r="C12" s="312"/>
      <c r="D12" s="169"/>
      <c r="E12" s="36"/>
      <c r="F12" s="311">
        <v>31312.755000000001</v>
      </c>
      <c r="G12" s="312">
        <v>22955.428</v>
      </c>
      <c r="H12" s="169">
        <f t="shared" si="3"/>
        <v>-26.7</v>
      </c>
      <c r="I12" s="169">
        <f>IFERROR(100/'Skjema total MA'!F12*G12,0)</f>
        <v>13.618858236640625</v>
      </c>
      <c r="J12" s="313">
        <f t="shared" si="0"/>
        <v>31312.755000000001</v>
      </c>
      <c r="K12" s="314">
        <f t="shared" si="0"/>
        <v>22955.428</v>
      </c>
      <c r="L12" s="376">
        <f t="shared" si="2"/>
        <v>-26.7</v>
      </c>
      <c r="M12" s="36">
        <f>IFERROR(100/'Skjema total MA'!I12*K12,0)</f>
        <v>13.233907381446413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358"/>
      <c r="F18" s="674"/>
      <c r="G18" s="674"/>
      <c r="H18" s="674"/>
      <c r="I18" s="358"/>
      <c r="J18" s="674"/>
      <c r="K18" s="674"/>
      <c r="L18" s="674"/>
      <c r="M18" s="358"/>
    </row>
    <row r="19" spans="1:14" x14ac:dyDescent="0.2">
      <c r="A19" s="144"/>
      <c r="B19" s="672" t="s">
        <v>0</v>
      </c>
      <c r="C19" s="673"/>
      <c r="D19" s="673"/>
      <c r="E19" s="357"/>
      <c r="F19" s="672" t="s">
        <v>1</v>
      </c>
      <c r="G19" s="673"/>
      <c r="H19" s="673"/>
      <c r="I19" s="360"/>
      <c r="J19" s="672" t="s">
        <v>2</v>
      </c>
      <c r="K19" s="673"/>
      <c r="L19" s="673"/>
      <c r="M19" s="360"/>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365" t="s">
        <v>30</v>
      </c>
      <c r="F21" s="161"/>
      <c r="G21" s="161"/>
      <c r="H21" s="244" t="s">
        <v>4</v>
      </c>
      <c r="I21" s="156" t="s">
        <v>30</v>
      </c>
      <c r="J21" s="161"/>
      <c r="K21" s="161"/>
      <c r="L21" s="156" t="s">
        <v>4</v>
      </c>
      <c r="M21" s="156" t="s">
        <v>30</v>
      </c>
    </row>
    <row r="22" spans="1:14" ht="15.75" x14ac:dyDescent="0.2">
      <c r="A22" s="14" t="s">
        <v>23</v>
      </c>
      <c r="B22" s="309">
        <v>12203.633</v>
      </c>
      <c r="C22" s="309">
        <v>11397.422</v>
      </c>
      <c r="D22" s="350">
        <f t="shared" ref="D22:D29" si="4">IF(B22=0, "    ---- ", IF(ABS(ROUND(100/B22*C22-100,1))&lt;999,ROUND(100/B22*C22-100,1),IF(ROUND(100/B22*C22-100,1)&gt;999,999,-999)))</f>
        <v>-6.6</v>
      </c>
      <c r="E22" s="11">
        <f>IFERROR(100/'Skjema total MA'!C22*C22,0)</f>
        <v>0.83634368573639484</v>
      </c>
      <c r="F22" s="317">
        <v>39876.353000000003</v>
      </c>
      <c r="G22" s="317">
        <v>39035.349000000002</v>
      </c>
      <c r="H22" s="350">
        <f t="shared" ref="H22:H35" si="5">IF(F22=0, "    ---- ", IF(ABS(ROUND(100/F22*G22-100,1))&lt;999,ROUND(100/F22*G22-100,1),IF(ROUND(100/F22*G22-100,1)&gt;999,999,-999)))</f>
        <v>-2.1</v>
      </c>
      <c r="I22" s="160">
        <f>IFERROR(100/'Skjema total MA'!F22*G22,0)</f>
        <v>4.8869192418937457</v>
      </c>
      <c r="J22" s="315">
        <f t="shared" ref="J22:K35" si="6">SUM(B22,F22)</f>
        <v>52079.986000000004</v>
      </c>
      <c r="K22" s="315">
        <f t="shared" si="6"/>
        <v>50432.771000000001</v>
      </c>
      <c r="L22" s="374">
        <f t="shared" ref="L22:L35" si="7">IF(J22=0, "    ---- ", IF(ABS(ROUND(100/J22*K22-100,1))&lt;999,ROUND(100/J22*K22-100,1),IF(ROUND(100/J22*K22-100,1)&gt;999,999,-999)))</f>
        <v>-3.2</v>
      </c>
      <c r="M22" s="24">
        <f>IFERROR(100/'Skjema total MA'!I22*K22,0)</f>
        <v>2.3331871647401758</v>
      </c>
    </row>
    <row r="23" spans="1:14" ht="15.75" x14ac:dyDescent="0.2">
      <c r="A23" s="562" t="s">
        <v>371</v>
      </c>
      <c r="B23" s="280"/>
      <c r="C23" s="280"/>
      <c r="D23" s="166"/>
      <c r="E23" s="11"/>
      <c r="F23" s="289">
        <v>4218.8090000000002</v>
      </c>
      <c r="G23" s="289">
        <v>3915.8330000000001</v>
      </c>
      <c r="H23" s="166">
        <f t="shared" si="5"/>
        <v>-7.2</v>
      </c>
      <c r="I23" s="239">
        <f>IFERROR(100/'Skjema total MA'!F23*G23,0)</f>
        <v>6.9096770598115853</v>
      </c>
      <c r="J23" s="289">
        <f t="shared" ref="J23:J26" si="8">SUM(B23,F23)</f>
        <v>4218.8090000000002</v>
      </c>
      <c r="K23" s="289">
        <f t="shared" ref="K23:K26" si="9">SUM(C23,G23)</f>
        <v>3915.8330000000001</v>
      </c>
      <c r="L23" s="166">
        <f t="shared" si="7"/>
        <v>-7.2</v>
      </c>
      <c r="M23" s="23">
        <f>IFERROR(100/'Skjema total MA'!I23*K23,0)</f>
        <v>0.37426287379036521</v>
      </c>
    </row>
    <row r="24" spans="1:14" ht="15.75" x14ac:dyDescent="0.2">
      <c r="A24" s="562" t="s">
        <v>372</v>
      </c>
      <c r="B24" s="280"/>
      <c r="C24" s="280"/>
      <c r="D24" s="166"/>
      <c r="E24" s="11"/>
      <c r="F24" s="289"/>
      <c r="G24" s="289"/>
      <c r="H24" s="166"/>
      <c r="I24" s="239"/>
      <c r="J24" s="289"/>
      <c r="K24" s="289"/>
      <c r="L24" s="166"/>
      <c r="M24" s="23"/>
    </row>
    <row r="25" spans="1:14" ht="15.75" x14ac:dyDescent="0.2">
      <c r="A25" s="562" t="s">
        <v>373</v>
      </c>
      <c r="B25" s="280"/>
      <c r="C25" s="280"/>
      <c r="D25" s="166"/>
      <c r="E25" s="11"/>
      <c r="F25" s="289">
        <v>1320.5219999999999</v>
      </c>
      <c r="G25" s="289">
        <v>1135.289</v>
      </c>
      <c r="H25" s="166">
        <f t="shared" si="5"/>
        <v>-14</v>
      </c>
      <c r="I25" s="239">
        <f>IFERROR(100/'Skjema total MA'!F25*G25,0)</f>
        <v>4.102412995781676</v>
      </c>
      <c r="J25" s="289">
        <f t="shared" si="8"/>
        <v>1320.5219999999999</v>
      </c>
      <c r="K25" s="289">
        <f t="shared" si="9"/>
        <v>1135.289</v>
      </c>
      <c r="L25" s="166">
        <f t="shared" si="7"/>
        <v>-14</v>
      </c>
      <c r="M25" s="23">
        <f>IFERROR(100/'Skjema total MA'!I25*K25,0)</f>
        <v>2.2055224686183563</v>
      </c>
    </row>
    <row r="26" spans="1:14" ht="15.75" x14ac:dyDescent="0.2">
      <c r="A26" s="562" t="s">
        <v>374</v>
      </c>
      <c r="B26" s="280"/>
      <c r="C26" s="280"/>
      <c r="D26" s="166"/>
      <c r="E26" s="11"/>
      <c r="F26" s="289">
        <v>34337.021999999997</v>
      </c>
      <c r="G26" s="289">
        <v>33984.226999999999</v>
      </c>
      <c r="H26" s="166">
        <f t="shared" si="5"/>
        <v>-1</v>
      </c>
      <c r="I26" s="239">
        <f>IFERROR(100/'Skjema total MA'!F26*G26,0)</f>
        <v>4.7660549248472561</v>
      </c>
      <c r="J26" s="289">
        <f t="shared" si="8"/>
        <v>34337.021999999997</v>
      </c>
      <c r="K26" s="289">
        <f t="shared" si="9"/>
        <v>33984.226999999999</v>
      </c>
      <c r="L26" s="166">
        <f t="shared" si="7"/>
        <v>-1</v>
      </c>
      <c r="M26" s="23">
        <f>IFERROR(100/'Skjema total MA'!I26*K26,0)</f>
        <v>4.7660549248472561</v>
      </c>
    </row>
    <row r="27" spans="1:14" x14ac:dyDescent="0.2">
      <c r="A27" s="562" t="s">
        <v>11</v>
      </c>
      <c r="B27" s="280"/>
      <c r="C27" s="280"/>
      <c r="D27" s="166"/>
      <c r="E27" s="11"/>
      <c r="F27" s="289"/>
      <c r="G27" s="289"/>
      <c r="H27" s="166"/>
      <c r="I27" s="239"/>
      <c r="J27" s="289"/>
      <c r="K27" s="289"/>
      <c r="L27" s="166"/>
      <c r="M27" s="23"/>
    </row>
    <row r="28" spans="1:14" ht="15.75" x14ac:dyDescent="0.2">
      <c r="A28" s="49" t="s">
        <v>279</v>
      </c>
      <c r="B28" s="44">
        <v>12203.633</v>
      </c>
      <c r="C28" s="286">
        <v>11397.422</v>
      </c>
      <c r="D28" s="166">
        <f t="shared" si="4"/>
        <v>-6.6</v>
      </c>
      <c r="E28" s="11">
        <f>IFERROR(100/'Skjema total MA'!C28*C28,0)</f>
        <v>0.7837809250313259</v>
      </c>
      <c r="F28" s="233"/>
      <c r="G28" s="286"/>
      <c r="H28" s="166"/>
      <c r="I28" s="175"/>
      <c r="J28" s="44">
        <f t="shared" si="6"/>
        <v>12203.633</v>
      </c>
      <c r="K28" s="44">
        <f t="shared" si="6"/>
        <v>11397.422</v>
      </c>
      <c r="L28" s="253">
        <f t="shared" si="7"/>
        <v>-6.6</v>
      </c>
      <c r="M28" s="23">
        <f>IFERROR(100/'Skjema total MA'!I28*K28,0)</f>
        <v>0.7837809250313259</v>
      </c>
    </row>
    <row r="29" spans="1:14" s="3" customFormat="1" ht="15.75" x14ac:dyDescent="0.2">
      <c r="A29" s="13" t="s">
        <v>368</v>
      </c>
      <c r="B29" s="235">
        <v>88295.493000000002</v>
      </c>
      <c r="C29" s="235">
        <v>99620.047999999995</v>
      </c>
      <c r="D29" s="171">
        <f t="shared" si="4"/>
        <v>12.8</v>
      </c>
      <c r="E29" s="11">
        <f>IFERROR(100/'Skjema total MA'!C29*C29,0)</f>
        <v>0.21212793397881322</v>
      </c>
      <c r="F29" s="307">
        <v>2197831.4640000002</v>
      </c>
      <c r="G29" s="307">
        <v>2099939.5920000002</v>
      </c>
      <c r="H29" s="171">
        <f t="shared" si="5"/>
        <v>-4.5</v>
      </c>
      <c r="I29" s="160">
        <f>IFERROR(100/'Skjema total MA'!F29*G29,0)</f>
        <v>9.8603776433955517</v>
      </c>
      <c r="J29" s="235">
        <f t="shared" si="6"/>
        <v>2286126.9569999999</v>
      </c>
      <c r="K29" s="235">
        <f t="shared" si="6"/>
        <v>2199559.64</v>
      </c>
      <c r="L29" s="375">
        <f t="shared" si="7"/>
        <v>-3.8</v>
      </c>
      <c r="M29" s="24">
        <f>IFERROR(100/'Skjema total MA'!I29*K29,0)</f>
        <v>3.2223733222735054</v>
      </c>
      <c r="N29" s="148"/>
    </row>
    <row r="30" spans="1:14" s="3" customFormat="1" ht="15.75" x14ac:dyDescent="0.2">
      <c r="A30" s="562" t="s">
        <v>371</v>
      </c>
      <c r="B30" s="280"/>
      <c r="C30" s="280"/>
      <c r="D30" s="166"/>
      <c r="E30" s="11"/>
      <c r="F30" s="289">
        <v>672636.64399999997</v>
      </c>
      <c r="G30" s="289">
        <v>619122.804</v>
      </c>
      <c r="H30" s="166">
        <f t="shared" si="5"/>
        <v>-8</v>
      </c>
      <c r="I30" s="239">
        <f>IFERROR(100/'Skjema total MA'!F30*G30,0)</f>
        <v>14.426682266024729</v>
      </c>
      <c r="J30" s="289">
        <f t="shared" ref="J30:J33" si="10">SUM(B30,F30)</f>
        <v>672636.64399999997</v>
      </c>
      <c r="K30" s="289">
        <f t="shared" ref="K30:K33" si="11">SUM(C30,G30)</f>
        <v>619122.804</v>
      </c>
      <c r="L30" s="166">
        <f t="shared" si="7"/>
        <v>-8</v>
      </c>
      <c r="M30" s="23">
        <f>IFERROR(100/'Skjema total MA'!I30*K30,0)</f>
        <v>4.2315663206583718</v>
      </c>
      <c r="N30" s="148"/>
    </row>
    <row r="31" spans="1:14" s="3" customFormat="1" ht="15.75" x14ac:dyDescent="0.2">
      <c r="A31" s="562" t="s">
        <v>372</v>
      </c>
      <c r="B31" s="280"/>
      <c r="C31" s="280"/>
      <c r="D31" s="166"/>
      <c r="E31" s="11"/>
      <c r="F31" s="289">
        <v>1356067.973</v>
      </c>
      <c r="G31" s="289">
        <v>1238072.048</v>
      </c>
      <c r="H31" s="166">
        <f t="shared" si="5"/>
        <v>-8.6999999999999993</v>
      </c>
      <c r="I31" s="239">
        <f>IFERROR(100/'Skjema total MA'!F31*G31,0)</f>
        <v>12.704414342290354</v>
      </c>
      <c r="J31" s="289">
        <f t="shared" si="10"/>
        <v>1356067.973</v>
      </c>
      <c r="K31" s="289">
        <f t="shared" si="11"/>
        <v>1238072.048</v>
      </c>
      <c r="L31" s="166">
        <f t="shared" si="7"/>
        <v>-8.6999999999999993</v>
      </c>
      <c r="M31" s="23">
        <f>IFERROR(100/'Skjema total MA'!I31*K31,0)</f>
        <v>2.8883594817970715</v>
      </c>
      <c r="N31" s="148"/>
    </row>
    <row r="32" spans="1:14" ht="15.75" x14ac:dyDescent="0.2">
      <c r="A32" s="562" t="s">
        <v>373</v>
      </c>
      <c r="B32" s="280"/>
      <c r="C32" s="280"/>
      <c r="D32" s="166"/>
      <c r="E32" s="11"/>
      <c r="F32" s="289">
        <v>79108.953999999998</v>
      </c>
      <c r="G32" s="289">
        <v>62467.635999999999</v>
      </c>
      <c r="H32" s="166">
        <f t="shared" si="5"/>
        <v>-21</v>
      </c>
      <c r="I32" s="239">
        <f>IFERROR(100/'Skjema total MA'!F32*G32,0)</f>
        <v>1.4059221637100072</v>
      </c>
      <c r="J32" s="289">
        <f t="shared" si="10"/>
        <v>79108.953999999998</v>
      </c>
      <c r="K32" s="289">
        <f t="shared" si="11"/>
        <v>62467.635999999999</v>
      </c>
      <c r="L32" s="166">
        <f t="shared" si="7"/>
        <v>-21</v>
      </c>
      <c r="M32" s="23">
        <f>IFERROR(100/'Skjema total MA'!I32*K32,0)</f>
        <v>1.0447486007401661</v>
      </c>
    </row>
    <row r="33" spans="1:14" ht="15.75" x14ac:dyDescent="0.2">
      <c r="A33" s="562" t="s">
        <v>374</v>
      </c>
      <c r="B33" s="280"/>
      <c r="C33" s="280"/>
      <c r="D33" s="166"/>
      <c r="E33" s="11"/>
      <c r="F33" s="289">
        <v>90017.892999999996</v>
      </c>
      <c r="G33" s="289">
        <v>180277.10399999999</v>
      </c>
      <c r="H33" s="166">
        <f t="shared" si="5"/>
        <v>100.3</v>
      </c>
      <c r="I33" s="239">
        <f>IFERROR(100/'Skjema total MA'!F33*G33,0)</f>
        <v>6.3999681986942729</v>
      </c>
      <c r="J33" s="289">
        <f t="shared" si="10"/>
        <v>90017.892999999996</v>
      </c>
      <c r="K33" s="289">
        <f t="shared" si="11"/>
        <v>180277.10399999999</v>
      </c>
      <c r="L33" s="166">
        <f t="shared" si="7"/>
        <v>100.3</v>
      </c>
      <c r="M33" s="23">
        <f>IFERROR(100/'Skjema total MA'!I33*K33,0)</f>
        <v>6.3999681986942729</v>
      </c>
    </row>
    <row r="34" spans="1:14" ht="15.75" x14ac:dyDescent="0.2">
      <c r="A34" s="13" t="s">
        <v>369</v>
      </c>
      <c r="B34" s="235"/>
      <c r="C34" s="308"/>
      <c r="D34" s="171"/>
      <c r="E34" s="11"/>
      <c r="F34" s="307">
        <v>8616.0249999999996</v>
      </c>
      <c r="G34" s="308">
        <v>5482.3649999999998</v>
      </c>
      <c r="H34" s="171">
        <f t="shared" si="5"/>
        <v>-36.4</v>
      </c>
      <c r="I34" s="160">
        <f>IFERROR(100/'Skjema total MA'!F34*G34,0)</f>
        <v>9.667519951188206</v>
      </c>
      <c r="J34" s="235">
        <f t="shared" si="6"/>
        <v>8616.0249999999996</v>
      </c>
      <c r="K34" s="235">
        <f t="shared" si="6"/>
        <v>5482.3649999999998</v>
      </c>
      <c r="L34" s="375">
        <f t="shared" si="7"/>
        <v>-36.4</v>
      </c>
      <c r="M34" s="24">
        <f>IFERROR(100/'Skjema total MA'!I34*K34,0)</f>
        <v>6.9819586774363165</v>
      </c>
    </row>
    <row r="35" spans="1:14" ht="15.75" x14ac:dyDescent="0.2">
      <c r="A35" s="13" t="s">
        <v>370</v>
      </c>
      <c r="B35" s="235"/>
      <c r="C35" s="308"/>
      <c r="D35" s="171"/>
      <c r="E35" s="11"/>
      <c r="F35" s="307">
        <v>10817.683999999999</v>
      </c>
      <c r="G35" s="308">
        <v>8384.3439999999991</v>
      </c>
      <c r="H35" s="171">
        <f t="shared" si="5"/>
        <v>-22.5</v>
      </c>
      <c r="I35" s="160">
        <f>IFERROR(100/'Skjema total MA'!F35*G35,0)</f>
        <v>9.5263951741127606</v>
      </c>
      <c r="J35" s="235">
        <f t="shared" si="6"/>
        <v>10817.683999999999</v>
      </c>
      <c r="K35" s="235">
        <f t="shared" si="6"/>
        <v>8384.3439999999991</v>
      </c>
      <c r="L35" s="375">
        <f t="shared" si="7"/>
        <v>-22.5</v>
      </c>
      <c r="M35" s="24">
        <f>IFERROR(100/'Skjema total MA'!I35*K35,0)</f>
        <v>11.482922631355056</v>
      </c>
    </row>
    <row r="36" spans="1:14" ht="15.75" x14ac:dyDescent="0.2">
      <c r="A36" s="12" t="s">
        <v>287</v>
      </c>
      <c r="B36" s="235"/>
      <c r="C36" s="308"/>
      <c r="D36" s="171"/>
      <c r="E36" s="11"/>
      <c r="F36" s="318"/>
      <c r="G36" s="319"/>
      <c r="H36" s="171"/>
      <c r="I36" s="377"/>
      <c r="J36" s="235"/>
      <c r="K36" s="235"/>
      <c r="L36" s="375"/>
      <c r="M36" s="24"/>
    </row>
    <row r="37" spans="1:14" ht="15.75" x14ac:dyDescent="0.2">
      <c r="A37" s="12" t="s">
        <v>376</v>
      </c>
      <c r="B37" s="235"/>
      <c r="C37" s="308"/>
      <c r="D37" s="171"/>
      <c r="E37" s="11"/>
      <c r="F37" s="318"/>
      <c r="G37" s="320"/>
      <c r="H37" s="171"/>
      <c r="I37" s="377"/>
      <c r="J37" s="235"/>
      <c r="K37" s="235"/>
      <c r="L37" s="375"/>
      <c r="M37" s="24"/>
    </row>
    <row r="38" spans="1:14" ht="15.75" x14ac:dyDescent="0.2">
      <c r="A38" s="12" t="s">
        <v>377</v>
      </c>
      <c r="B38" s="235"/>
      <c r="C38" s="308"/>
      <c r="D38" s="171"/>
      <c r="E38" s="24"/>
      <c r="F38" s="318"/>
      <c r="G38" s="319"/>
      <c r="H38" s="171"/>
      <c r="I38" s="377"/>
      <c r="J38" s="235"/>
      <c r="K38" s="235"/>
      <c r="L38" s="375"/>
      <c r="M38" s="24"/>
    </row>
    <row r="39" spans="1:14" ht="15.75" x14ac:dyDescent="0.2">
      <c r="A39" s="18" t="s">
        <v>378</v>
      </c>
      <c r="B39" s="275"/>
      <c r="C39" s="314"/>
      <c r="D39" s="169"/>
      <c r="E39" s="36"/>
      <c r="F39" s="321"/>
      <c r="G39" s="322"/>
      <c r="H39" s="169"/>
      <c r="I39" s="169"/>
      <c r="J39" s="235"/>
      <c r="K39" s="235"/>
      <c r="L39" s="376"/>
      <c r="M39" s="36"/>
    </row>
    <row r="40" spans="1:14" ht="15.75" x14ac:dyDescent="0.25">
      <c r="A40" s="47"/>
      <c r="B40" s="252"/>
      <c r="C40" s="252"/>
      <c r="D40" s="675"/>
      <c r="E40" s="675"/>
      <c r="F40" s="675"/>
      <c r="G40" s="675"/>
      <c r="H40" s="675"/>
      <c r="I40" s="675"/>
      <c r="J40" s="675"/>
      <c r="K40" s="675"/>
      <c r="L40" s="675"/>
      <c r="M40" s="359"/>
    </row>
    <row r="41" spans="1:14" x14ac:dyDescent="0.2">
      <c r="A41" s="155"/>
    </row>
    <row r="42" spans="1:14" ht="15.75" x14ac:dyDescent="0.25">
      <c r="A42" s="147" t="s">
        <v>276</v>
      </c>
      <c r="B42" s="671"/>
      <c r="C42" s="671"/>
      <c r="D42" s="671"/>
      <c r="E42" s="358"/>
      <c r="F42" s="676"/>
      <c r="G42" s="676"/>
      <c r="H42" s="676"/>
      <c r="I42" s="359"/>
      <c r="J42" s="676"/>
      <c r="K42" s="676"/>
      <c r="L42" s="676"/>
      <c r="M42" s="359"/>
    </row>
    <row r="43" spans="1:14" ht="15.75" x14ac:dyDescent="0.25">
      <c r="A43" s="163"/>
      <c r="B43" s="355"/>
      <c r="C43" s="355"/>
      <c r="D43" s="355"/>
      <c r="E43" s="355"/>
      <c r="F43" s="359"/>
      <c r="G43" s="359"/>
      <c r="H43" s="359"/>
      <c r="I43" s="359"/>
      <c r="J43" s="359"/>
      <c r="K43" s="359"/>
      <c r="L43" s="359"/>
      <c r="M43" s="359"/>
    </row>
    <row r="44" spans="1:14" ht="15.75" x14ac:dyDescent="0.25">
      <c r="A44" s="246"/>
      <c r="B44" s="672" t="s">
        <v>0</v>
      </c>
      <c r="C44" s="673"/>
      <c r="D44" s="673"/>
      <c r="E44" s="242"/>
      <c r="F44" s="359"/>
      <c r="G44" s="359"/>
      <c r="H44" s="359"/>
      <c r="I44" s="359"/>
      <c r="J44" s="359"/>
      <c r="K44" s="359"/>
      <c r="L44" s="359"/>
      <c r="M44" s="359"/>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6012.0420000000004</v>
      </c>
      <c r="C47" s="310">
        <v>6013.6350000000002</v>
      </c>
      <c r="D47" s="374">
        <f t="shared" ref="D47:D48" si="12">IF(B47=0, "    ---- ", IF(ABS(ROUND(100/B47*C47-100,1))&lt;999,ROUND(100/B47*C47-100,1),IF(ROUND(100/B47*C47-100,1)&gt;999,999,-999)))</f>
        <v>0</v>
      </c>
      <c r="E47" s="11">
        <f>IFERROR(100/'Skjema total MA'!C47*C47,0)</f>
        <v>0.15716632402546787</v>
      </c>
      <c r="F47" s="145"/>
      <c r="G47" s="33"/>
      <c r="H47" s="159"/>
      <c r="I47" s="159"/>
      <c r="J47" s="37"/>
      <c r="K47" s="37"/>
      <c r="L47" s="159"/>
      <c r="M47" s="159"/>
      <c r="N47" s="148"/>
    </row>
    <row r="48" spans="1:14" s="3" customFormat="1" ht="15.75" x14ac:dyDescent="0.2">
      <c r="A48" s="38" t="s">
        <v>379</v>
      </c>
      <c r="B48" s="280">
        <v>6012.0420000000004</v>
      </c>
      <c r="C48" s="281">
        <v>6013.6350000000002</v>
      </c>
      <c r="D48" s="253">
        <f t="shared" si="12"/>
        <v>0</v>
      </c>
      <c r="E48" s="27">
        <f>IFERROR(100/'Skjema total MA'!C48*C48,0)</f>
        <v>0.27764709070934379</v>
      </c>
      <c r="F48" s="145"/>
      <c r="G48" s="33"/>
      <c r="H48" s="145"/>
      <c r="I48" s="145"/>
      <c r="J48" s="33"/>
      <c r="K48" s="33"/>
      <c r="L48" s="159"/>
      <c r="M48" s="159"/>
      <c r="N48" s="148"/>
    </row>
    <row r="49" spans="1:14" s="3" customFormat="1" ht="15.75" x14ac:dyDescent="0.2">
      <c r="A49" s="38" t="s">
        <v>380</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c r="C53" s="310"/>
      <c r="D53" s="375"/>
      <c r="E53" s="11"/>
      <c r="F53" s="145"/>
      <c r="G53" s="33"/>
      <c r="H53" s="145"/>
      <c r="I53" s="145"/>
      <c r="J53" s="33"/>
      <c r="K53" s="33"/>
      <c r="L53" s="159"/>
      <c r="M53" s="159"/>
      <c r="N53" s="148"/>
    </row>
    <row r="54" spans="1:14" s="3" customFormat="1" ht="15.75" x14ac:dyDescent="0.2">
      <c r="A54" s="38" t="s">
        <v>379</v>
      </c>
      <c r="B54" s="280"/>
      <c r="C54" s="281"/>
      <c r="D54" s="253"/>
      <c r="E54" s="27"/>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c r="C56" s="310"/>
      <c r="D56" s="375"/>
      <c r="E56" s="11"/>
      <c r="F56" s="145"/>
      <c r="G56" s="33"/>
      <c r="H56" s="145"/>
      <c r="I56" s="145"/>
      <c r="J56" s="33"/>
      <c r="K56" s="33"/>
      <c r="L56" s="159"/>
      <c r="M56" s="159"/>
      <c r="N56" s="148"/>
    </row>
    <row r="57" spans="1:14" s="3" customFormat="1" ht="15.75" x14ac:dyDescent="0.2">
      <c r="A57" s="38" t="s">
        <v>379</v>
      </c>
      <c r="B57" s="280"/>
      <c r="C57" s="281"/>
      <c r="D57" s="253"/>
      <c r="E57" s="27"/>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358"/>
      <c r="F62" s="674"/>
      <c r="G62" s="674"/>
      <c r="H62" s="674"/>
      <c r="I62" s="358"/>
      <c r="J62" s="674"/>
      <c r="K62" s="674"/>
      <c r="L62" s="674"/>
      <c r="M62" s="358"/>
    </row>
    <row r="63" spans="1:14" x14ac:dyDescent="0.2">
      <c r="A63" s="144"/>
      <c r="B63" s="672" t="s">
        <v>0</v>
      </c>
      <c r="C63" s="673"/>
      <c r="D63" s="677"/>
      <c r="E63" s="356"/>
      <c r="F63" s="673" t="s">
        <v>1</v>
      </c>
      <c r="G63" s="673"/>
      <c r="H63" s="673"/>
      <c r="I63" s="360"/>
      <c r="J63" s="672" t="s">
        <v>2</v>
      </c>
      <c r="K63" s="673"/>
      <c r="L63" s="673"/>
      <c r="M63" s="360"/>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v>82686.683999999994</v>
      </c>
      <c r="C66" s="353">
        <v>87998.042000000001</v>
      </c>
      <c r="D66" s="350">
        <f t="shared" ref="D66:D124" si="13">IF(B66=0, "    ---- ", IF(ABS(ROUND(100/B66*C66-100,1))&lt;999,ROUND(100/B66*C66-100,1),IF(ROUND(100/B66*C66-100,1)&gt;999,999,-999)))</f>
        <v>6.4</v>
      </c>
      <c r="E66" s="11">
        <f>IFERROR(100/'Skjema total MA'!C66*C66,0)</f>
        <v>1.2374952107763395</v>
      </c>
      <c r="F66" s="352">
        <v>1072265.53</v>
      </c>
      <c r="G66" s="352">
        <v>1206947.0589999999</v>
      </c>
      <c r="H66" s="350">
        <f t="shared" ref="H66:H125" si="14">IF(F66=0, "    ---- ", IF(ABS(ROUND(100/F66*G66-100,1))&lt;999,ROUND(100/F66*G66-100,1),IF(ROUND(100/F66*G66-100,1)&gt;999,999,-999)))</f>
        <v>12.6</v>
      </c>
      <c r="I66" s="11">
        <f>IFERROR(100/'Skjema total MA'!F66*G66,0)</f>
        <v>5.0740450581444723</v>
      </c>
      <c r="J66" s="308">
        <f t="shared" ref="J66:K79" si="15">SUM(B66,F66)</f>
        <v>1154952.2139999999</v>
      </c>
      <c r="K66" s="315">
        <f t="shared" si="15"/>
        <v>1294945.1009999998</v>
      </c>
      <c r="L66" s="375">
        <f t="shared" ref="L66:L125" si="16">IF(J66=0, "    ---- ", IF(ABS(ROUND(100/J66*K66-100,1))&lt;999,ROUND(100/J66*K66-100,1),IF(ROUND(100/J66*K66-100,1)&gt;999,999,-999)))</f>
        <v>12.1</v>
      </c>
      <c r="M66" s="11">
        <f>IFERROR(100/'Skjema total MA'!I66*K66,0)</f>
        <v>4.1910776425985423</v>
      </c>
    </row>
    <row r="67" spans="1:14" x14ac:dyDescent="0.2">
      <c r="A67" s="21" t="s">
        <v>9</v>
      </c>
      <c r="B67" s="44">
        <v>82686.683999999994</v>
      </c>
      <c r="C67" s="145">
        <v>87998.042000000001</v>
      </c>
      <c r="D67" s="166">
        <f t="shared" si="13"/>
        <v>6.4</v>
      </c>
      <c r="E67" s="27">
        <f>IFERROR(100/'Skjema total MA'!C67*C67,0)</f>
        <v>1.6189017099433611</v>
      </c>
      <c r="F67" s="233"/>
      <c r="G67" s="145"/>
      <c r="H67" s="166"/>
      <c r="I67" s="27"/>
      <c r="J67" s="286">
        <f t="shared" si="15"/>
        <v>82686.683999999994</v>
      </c>
      <c r="K67" s="44">
        <f t="shared" si="15"/>
        <v>87998.042000000001</v>
      </c>
      <c r="L67" s="253">
        <f t="shared" si="16"/>
        <v>6.4</v>
      </c>
      <c r="M67" s="27">
        <f>IFERROR(100/'Skjema total MA'!I67*K67,0)</f>
        <v>1.6189017099433611</v>
      </c>
    </row>
    <row r="68" spans="1:14" x14ac:dyDescent="0.2">
      <c r="A68" s="21" t="s">
        <v>10</v>
      </c>
      <c r="B68" s="291"/>
      <c r="C68" s="292"/>
      <c r="D68" s="166"/>
      <c r="E68" s="27"/>
      <c r="F68" s="291">
        <v>1072265.53</v>
      </c>
      <c r="G68" s="292">
        <v>1206947.0589999999</v>
      </c>
      <c r="H68" s="166">
        <f t="shared" si="14"/>
        <v>12.6</v>
      </c>
      <c r="I68" s="27">
        <f>IFERROR(100/'Skjema total MA'!F68*G68,0)</f>
        <v>5.1423940310182692</v>
      </c>
      <c r="J68" s="286">
        <f t="shared" si="15"/>
        <v>1072265.53</v>
      </c>
      <c r="K68" s="44">
        <f t="shared" si="15"/>
        <v>1206947.0589999999</v>
      </c>
      <c r="L68" s="253">
        <f t="shared" si="16"/>
        <v>12.6</v>
      </c>
      <c r="M68" s="27">
        <f>IFERROR(100/'Skjema total MA'!I68*K68,0)</f>
        <v>5.1139181326110741</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c r="C76" s="145"/>
      <c r="D76" s="166"/>
      <c r="E76" s="27"/>
      <c r="F76" s="233"/>
      <c r="G76" s="145"/>
      <c r="H76" s="166"/>
      <c r="I76" s="27"/>
      <c r="J76" s="286"/>
      <c r="K76" s="44"/>
      <c r="L76" s="253"/>
      <c r="M76" s="27"/>
      <c r="N76" s="148"/>
    </row>
    <row r="77" spans="1:14" ht="15.75" x14ac:dyDescent="0.2">
      <c r="A77" s="21" t="s">
        <v>385</v>
      </c>
      <c r="B77" s="233">
        <v>82686.683999999994</v>
      </c>
      <c r="C77" s="233">
        <v>87998.042000000001</v>
      </c>
      <c r="D77" s="166">
        <f t="shared" si="13"/>
        <v>6.4</v>
      </c>
      <c r="E77" s="27">
        <f>IFERROR(100/'Skjema total MA'!C77*C77,0)</f>
        <v>1.6054084411338114</v>
      </c>
      <c r="F77" s="233">
        <v>1072265.5290000001</v>
      </c>
      <c r="G77" s="145">
        <v>1206947.0589999999</v>
      </c>
      <c r="H77" s="166">
        <f t="shared" si="14"/>
        <v>12.6</v>
      </c>
      <c r="I77" s="27">
        <f>IFERROR(100/'Skjema total MA'!F77*G77,0)</f>
        <v>5.1445765429384922</v>
      </c>
      <c r="J77" s="286">
        <f t="shared" si="15"/>
        <v>1154952.213</v>
      </c>
      <c r="K77" s="44">
        <f t="shared" si="15"/>
        <v>1294945.1009999998</v>
      </c>
      <c r="L77" s="253">
        <f t="shared" si="16"/>
        <v>12.1</v>
      </c>
      <c r="M77" s="27">
        <f>IFERROR(100/'Skjema total MA'!I77*K77,0)</f>
        <v>4.474288751695318</v>
      </c>
    </row>
    <row r="78" spans="1:14" x14ac:dyDescent="0.2">
      <c r="A78" s="21" t="s">
        <v>9</v>
      </c>
      <c r="B78" s="233">
        <v>82686.683999999994</v>
      </c>
      <c r="C78" s="145">
        <v>87998.042000000001</v>
      </c>
      <c r="D78" s="166">
        <f t="shared" si="13"/>
        <v>6.4</v>
      </c>
      <c r="E78" s="27">
        <f>IFERROR(100/'Skjema total MA'!C78*C78,0)</f>
        <v>1.6436831142253161</v>
      </c>
      <c r="F78" s="233"/>
      <c r="G78" s="145"/>
      <c r="H78" s="166"/>
      <c r="I78" s="27"/>
      <c r="J78" s="286">
        <f t="shared" si="15"/>
        <v>82686.683999999994</v>
      </c>
      <c r="K78" s="44">
        <f t="shared" si="15"/>
        <v>87998.042000000001</v>
      </c>
      <c r="L78" s="253">
        <f t="shared" si="16"/>
        <v>6.4</v>
      </c>
      <c r="M78" s="27">
        <f>IFERROR(100/'Skjema total MA'!I78*K78,0)</f>
        <v>1.6436831142253161</v>
      </c>
    </row>
    <row r="79" spans="1:14" x14ac:dyDescent="0.2">
      <c r="A79" s="21" t="s">
        <v>10</v>
      </c>
      <c r="B79" s="291"/>
      <c r="C79" s="292"/>
      <c r="D79" s="166"/>
      <c r="E79" s="27"/>
      <c r="F79" s="291">
        <v>1072265.5290000001</v>
      </c>
      <c r="G79" s="292">
        <v>1206947.0589999999</v>
      </c>
      <c r="H79" s="166">
        <f t="shared" si="14"/>
        <v>12.6</v>
      </c>
      <c r="I79" s="27">
        <f>IFERROR(100/'Skjema total MA'!F79*G79,0)</f>
        <v>5.1445765429384922</v>
      </c>
      <c r="J79" s="286">
        <f t="shared" si="15"/>
        <v>1072265.5290000001</v>
      </c>
      <c r="K79" s="44">
        <f t="shared" si="15"/>
        <v>1206947.0589999999</v>
      </c>
      <c r="L79" s="253">
        <f t="shared" si="16"/>
        <v>12.6</v>
      </c>
      <c r="M79" s="27">
        <f>IFERROR(100/'Skjema total MA'!I79*K79,0)</f>
        <v>5.1167387041714321</v>
      </c>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c r="C86" s="145"/>
      <c r="D86" s="166"/>
      <c r="E86" s="27"/>
      <c r="F86" s="233"/>
      <c r="G86" s="145"/>
      <c r="H86" s="166"/>
      <c r="I86" s="27"/>
      <c r="J86" s="286"/>
      <c r="K86" s="44"/>
      <c r="L86" s="253"/>
      <c r="M86" s="27"/>
    </row>
    <row r="87" spans="1:13" ht="15.75" x14ac:dyDescent="0.2">
      <c r="A87" s="13" t="s">
        <v>368</v>
      </c>
      <c r="B87" s="353">
        <v>664063.76800000004</v>
      </c>
      <c r="C87" s="353">
        <v>734809.13500000001</v>
      </c>
      <c r="D87" s="171">
        <f t="shared" si="13"/>
        <v>10.7</v>
      </c>
      <c r="E87" s="11">
        <f>IFERROR(100/'Skjema total MA'!C87*C87,0)</f>
        <v>0.18827206551425404</v>
      </c>
      <c r="F87" s="352">
        <v>13124475.103</v>
      </c>
      <c r="G87" s="352">
        <v>14952595.821</v>
      </c>
      <c r="H87" s="171">
        <f t="shared" si="14"/>
        <v>13.9</v>
      </c>
      <c r="I87" s="11">
        <f>IFERROR(100/'Skjema total MA'!F87*G87,0)</f>
        <v>5.077270809077941</v>
      </c>
      <c r="J87" s="308">
        <f t="shared" ref="J87:K111" si="17">SUM(B87,F87)</f>
        <v>13788538.870999999</v>
      </c>
      <c r="K87" s="235">
        <f t="shared" si="17"/>
        <v>15687404.956</v>
      </c>
      <c r="L87" s="375">
        <f t="shared" si="16"/>
        <v>13.8</v>
      </c>
      <c r="M87" s="11">
        <f>IFERROR(100/'Skjema total MA'!I87*K87,0)</f>
        <v>2.290828502175295</v>
      </c>
    </row>
    <row r="88" spans="1:13" x14ac:dyDescent="0.2">
      <c r="A88" s="21" t="s">
        <v>9</v>
      </c>
      <c r="B88" s="233">
        <v>664063.76800000004</v>
      </c>
      <c r="C88" s="145">
        <v>734809.13500000001</v>
      </c>
      <c r="D88" s="166">
        <f t="shared" si="13"/>
        <v>10.7</v>
      </c>
      <c r="E88" s="27">
        <f>IFERROR(100/'Skjema total MA'!C88*C88,0)</f>
        <v>0.19294563369383183</v>
      </c>
      <c r="F88" s="233"/>
      <c r="G88" s="145"/>
      <c r="H88" s="166"/>
      <c r="I88" s="27"/>
      <c r="J88" s="286">
        <f t="shared" si="17"/>
        <v>664063.76800000004</v>
      </c>
      <c r="K88" s="44">
        <f t="shared" si="17"/>
        <v>734809.13500000001</v>
      </c>
      <c r="L88" s="253">
        <f t="shared" si="16"/>
        <v>10.7</v>
      </c>
      <c r="M88" s="27">
        <f>IFERROR(100/'Skjema total MA'!I88*K88,0)</f>
        <v>0.19294563369383183</v>
      </c>
    </row>
    <row r="89" spans="1:13" x14ac:dyDescent="0.2">
      <c r="A89" s="21" t="s">
        <v>10</v>
      </c>
      <c r="B89" s="233"/>
      <c r="C89" s="145"/>
      <c r="D89" s="166"/>
      <c r="E89" s="27"/>
      <c r="F89" s="233">
        <v>13124475.103</v>
      </c>
      <c r="G89" s="145">
        <v>14952595.821</v>
      </c>
      <c r="H89" s="166">
        <f t="shared" si="14"/>
        <v>13.9</v>
      </c>
      <c r="I89" s="27">
        <f>IFERROR(100/'Skjema total MA'!F89*G89,0)</f>
        <v>5.1014470002716612</v>
      </c>
      <c r="J89" s="286">
        <f t="shared" si="17"/>
        <v>13124475.103</v>
      </c>
      <c r="K89" s="44">
        <f t="shared" si="17"/>
        <v>14952595.821</v>
      </c>
      <c r="L89" s="253">
        <f t="shared" si="16"/>
        <v>13.9</v>
      </c>
      <c r="M89" s="27">
        <f>IFERROR(100/'Skjema total MA'!I89*K89,0)</f>
        <v>5.0491920205919625</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c r="C97" s="145"/>
      <c r="D97" s="166"/>
      <c r="E97" s="27"/>
      <c r="F97" s="233"/>
      <c r="G97" s="145"/>
      <c r="H97" s="166"/>
      <c r="I97" s="27"/>
      <c r="J97" s="286"/>
      <c r="K97" s="44"/>
      <c r="L97" s="253"/>
      <c r="M97" s="27"/>
    </row>
    <row r="98" spans="1:13" ht="15.75" x14ac:dyDescent="0.2">
      <c r="A98" s="21" t="s">
        <v>385</v>
      </c>
      <c r="B98" s="233">
        <v>664063.76800000004</v>
      </c>
      <c r="C98" s="233">
        <v>734809.13500000001</v>
      </c>
      <c r="D98" s="166">
        <f t="shared" si="13"/>
        <v>10.7</v>
      </c>
      <c r="E98" s="27">
        <f>IFERROR(100/'Skjema total MA'!C98*C98,0)</f>
        <v>0.1938119180185478</v>
      </c>
      <c r="F98" s="291">
        <v>13124475.103</v>
      </c>
      <c r="G98" s="291">
        <v>14952595.821</v>
      </c>
      <c r="H98" s="166">
        <f t="shared" si="14"/>
        <v>13.9</v>
      </c>
      <c r="I98" s="27">
        <f>IFERROR(100/'Skjema total MA'!F98*G98,0)</f>
        <v>5.1155809574377349</v>
      </c>
      <c r="J98" s="286">
        <f t="shared" si="17"/>
        <v>13788538.870999999</v>
      </c>
      <c r="K98" s="44">
        <f t="shared" si="17"/>
        <v>15687404.956</v>
      </c>
      <c r="L98" s="253">
        <f t="shared" si="16"/>
        <v>13.8</v>
      </c>
      <c r="M98" s="27">
        <f>IFERROR(100/'Skjema total MA'!I98*K98,0)</f>
        <v>2.336415894194749</v>
      </c>
    </row>
    <row r="99" spans="1:13" x14ac:dyDescent="0.2">
      <c r="A99" s="21" t="s">
        <v>9</v>
      </c>
      <c r="B99" s="291">
        <v>664063.76800000004</v>
      </c>
      <c r="C99" s="292">
        <v>734809.13500000001</v>
      </c>
      <c r="D99" s="166">
        <f t="shared" si="13"/>
        <v>10.7</v>
      </c>
      <c r="E99" s="27">
        <f>IFERROR(100/'Skjema total MA'!C99*C99,0)</f>
        <v>0.19537508046781904</v>
      </c>
      <c r="F99" s="233"/>
      <c r="G99" s="145"/>
      <c r="H99" s="166"/>
      <c r="I99" s="27"/>
      <c r="J99" s="286">
        <f t="shared" si="17"/>
        <v>664063.76800000004</v>
      </c>
      <c r="K99" s="44">
        <f t="shared" si="17"/>
        <v>734809.13500000001</v>
      </c>
      <c r="L99" s="253">
        <f t="shared" si="16"/>
        <v>10.7</v>
      </c>
      <c r="M99" s="27">
        <f>IFERROR(100/'Skjema total MA'!I99*K99,0)</f>
        <v>0.19537508046781904</v>
      </c>
    </row>
    <row r="100" spans="1:13" x14ac:dyDescent="0.2">
      <c r="A100" s="21" t="s">
        <v>10</v>
      </c>
      <c r="B100" s="291"/>
      <c r="C100" s="292"/>
      <c r="D100" s="166"/>
      <c r="E100" s="27"/>
      <c r="F100" s="233">
        <v>13124475.103</v>
      </c>
      <c r="G100" s="233">
        <v>14952595.821</v>
      </c>
      <c r="H100" s="166">
        <f t="shared" si="14"/>
        <v>13.9</v>
      </c>
      <c r="I100" s="27">
        <f>IFERROR(100/'Skjema total MA'!F100*G100,0)</f>
        <v>5.1155809574377349</v>
      </c>
      <c r="J100" s="286">
        <f t="shared" si="17"/>
        <v>13124475.103</v>
      </c>
      <c r="K100" s="44">
        <f t="shared" si="17"/>
        <v>14952595.821</v>
      </c>
      <c r="L100" s="253">
        <f t="shared" si="16"/>
        <v>13.9</v>
      </c>
      <c r="M100" s="27">
        <f>IFERROR(100/'Skjema total MA'!I100*K100,0)</f>
        <v>5.0630375147987934</v>
      </c>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c r="C107" s="145"/>
      <c r="D107" s="166"/>
      <c r="E107" s="27"/>
      <c r="F107" s="233"/>
      <c r="G107" s="145"/>
      <c r="H107" s="166"/>
      <c r="I107" s="27"/>
      <c r="J107" s="286"/>
      <c r="K107" s="44"/>
      <c r="L107" s="253"/>
      <c r="M107" s="27"/>
    </row>
    <row r="108" spans="1:13" ht="15.75" x14ac:dyDescent="0.2">
      <c r="A108" s="21" t="s">
        <v>387</v>
      </c>
      <c r="B108" s="233">
        <v>27500.83</v>
      </c>
      <c r="C108" s="233">
        <v>256659.372</v>
      </c>
      <c r="D108" s="166">
        <f t="shared" si="13"/>
        <v>833.3</v>
      </c>
      <c r="E108" s="27">
        <f>IFERROR(100/'Skjema total MA'!C108*C108,0)</f>
        <v>8.1207773387393517E-2</v>
      </c>
      <c r="F108" s="233">
        <v>187258.04399999999</v>
      </c>
      <c r="G108" s="233">
        <v>181946.258</v>
      </c>
      <c r="H108" s="166">
        <f t="shared" si="14"/>
        <v>-2.8</v>
      </c>
      <c r="I108" s="27">
        <f>IFERROR(100/'Skjema total MA'!F108*G108,0)</f>
        <v>1.1027423374011267</v>
      </c>
      <c r="J108" s="286">
        <f t="shared" si="17"/>
        <v>214758.87400000001</v>
      </c>
      <c r="K108" s="44">
        <f t="shared" si="17"/>
        <v>438605.63</v>
      </c>
      <c r="L108" s="253">
        <f t="shared" si="16"/>
        <v>104.2</v>
      </c>
      <c r="M108" s="27">
        <f>IFERROR(100/'Skjema total MA'!I108*K108,0)</f>
        <v>0.13189078182397554</v>
      </c>
    </row>
    <row r="109" spans="1:13" ht="15.75" x14ac:dyDescent="0.2">
      <c r="A109" s="21" t="s">
        <v>388</v>
      </c>
      <c r="B109" s="233"/>
      <c r="C109" s="233"/>
      <c r="D109" s="166"/>
      <c r="E109" s="27"/>
      <c r="F109" s="233">
        <v>4679468.1569999997</v>
      </c>
      <c r="G109" s="233">
        <v>5227297.983</v>
      </c>
      <c r="H109" s="166">
        <f t="shared" si="14"/>
        <v>11.7</v>
      </c>
      <c r="I109" s="27">
        <f>IFERROR(100/'Skjema total MA'!F109*G109,0)</f>
        <v>5.2292794259628117</v>
      </c>
      <c r="J109" s="286">
        <f t="shared" si="17"/>
        <v>4679468.1569999997</v>
      </c>
      <c r="K109" s="44">
        <f t="shared" si="17"/>
        <v>5227297.983</v>
      </c>
      <c r="L109" s="253">
        <f t="shared" si="16"/>
        <v>11.7</v>
      </c>
      <c r="M109" s="27">
        <f>IFERROR(100/'Skjema total MA'!I109*K109,0)</f>
        <v>5.1785836728603662</v>
      </c>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v>19237.758000000002</v>
      </c>
      <c r="C111" s="159">
        <v>22171.800999999999</v>
      </c>
      <c r="D111" s="171">
        <f t="shared" si="13"/>
        <v>15.3</v>
      </c>
      <c r="E111" s="11">
        <f>IFERROR(100/'Skjema total MA'!C111*C111,0)</f>
        <v>5.8494527920330377</v>
      </c>
      <c r="F111" s="307">
        <v>570565.75800000003</v>
      </c>
      <c r="G111" s="159">
        <v>757818.28700000001</v>
      </c>
      <c r="H111" s="171">
        <f t="shared" si="14"/>
        <v>32.799999999999997</v>
      </c>
      <c r="I111" s="11">
        <f>IFERROR(100/'Skjema total MA'!F111*G111,0)</f>
        <v>6.8667676434101015</v>
      </c>
      <c r="J111" s="308">
        <f t="shared" si="17"/>
        <v>589803.51600000006</v>
      </c>
      <c r="K111" s="235">
        <f t="shared" si="17"/>
        <v>779990.08799999999</v>
      </c>
      <c r="L111" s="375">
        <f t="shared" si="16"/>
        <v>32.200000000000003</v>
      </c>
      <c r="M111" s="11">
        <f>IFERROR(100/'Skjema total MA'!I111*K111,0)</f>
        <v>6.8329874094625991</v>
      </c>
    </row>
    <row r="112" spans="1:13" x14ac:dyDescent="0.2">
      <c r="A112" s="21" t="s">
        <v>9</v>
      </c>
      <c r="B112" s="233">
        <v>19237.758000000002</v>
      </c>
      <c r="C112" s="145">
        <v>22171.800999999999</v>
      </c>
      <c r="D112" s="166">
        <f t="shared" si="13"/>
        <v>15.3</v>
      </c>
      <c r="E112" s="27">
        <f>IFERROR(100/'Skjema total MA'!C112*C112,0)</f>
        <v>7.3293245946691155</v>
      </c>
      <c r="F112" s="233"/>
      <c r="G112" s="145"/>
      <c r="H112" s="166"/>
      <c r="I112" s="27"/>
      <c r="J112" s="286">
        <f t="shared" ref="J112:K125" si="18">SUM(B112,F112)</f>
        <v>19237.758000000002</v>
      </c>
      <c r="K112" s="44">
        <f t="shared" si="18"/>
        <v>22171.800999999999</v>
      </c>
      <c r="L112" s="253">
        <f t="shared" si="16"/>
        <v>15.3</v>
      </c>
      <c r="M112" s="27">
        <f>IFERROR(100/'Skjema total MA'!I112*K112,0)</f>
        <v>7.1897862759324314</v>
      </c>
    </row>
    <row r="113" spans="1:14" x14ac:dyDescent="0.2">
      <c r="A113" s="21" t="s">
        <v>10</v>
      </c>
      <c r="B113" s="233"/>
      <c r="C113" s="145"/>
      <c r="D113" s="166"/>
      <c r="E113" s="27"/>
      <c r="F113" s="233">
        <v>570565.75800000003</v>
      </c>
      <c r="G113" s="145">
        <v>757818.28700000001</v>
      </c>
      <c r="H113" s="166">
        <f t="shared" si="14"/>
        <v>32.799999999999997</v>
      </c>
      <c r="I113" s="27">
        <f>IFERROR(100/'Skjema total MA'!F113*G113,0)</f>
        <v>6.8897147800426213</v>
      </c>
      <c r="J113" s="286">
        <f t="shared" si="18"/>
        <v>570565.75800000003</v>
      </c>
      <c r="K113" s="44">
        <f t="shared" si="18"/>
        <v>757818.28700000001</v>
      </c>
      <c r="L113" s="253">
        <f t="shared" si="16"/>
        <v>32.799999999999997</v>
      </c>
      <c r="M113" s="27">
        <f>IFERROR(100/'Skjema total MA'!I113*K113,0)</f>
        <v>6.8888426019337103</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v>244.19300000000001</v>
      </c>
      <c r="C116" s="233">
        <v>0</v>
      </c>
      <c r="D116" s="166">
        <f t="shared" si="13"/>
        <v>-100</v>
      </c>
      <c r="E116" s="27">
        <f>IFERROR(100/'Skjema total MA'!C116*C116,0)</f>
        <v>0</v>
      </c>
      <c r="F116" s="233">
        <v>766.40200000000004</v>
      </c>
      <c r="G116" s="233">
        <v>0</v>
      </c>
      <c r="H116" s="166">
        <f t="shared" si="14"/>
        <v>-100</v>
      </c>
      <c r="I116" s="27">
        <f>IFERROR(100/'Skjema total MA'!F116*G116,0)</f>
        <v>0</v>
      </c>
      <c r="J116" s="286">
        <f t="shared" si="18"/>
        <v>1010.595</v>
      </c>
      <c r="K116" s="44">
        <f t="shared" si="18"/>
        <v>0</v>
      </c>
      <c r="L116" s="253">
        <f t="shared" si="16"/>
        <v>-100</v>
      </c>
      <c r="M116" s="27">
        <f>IFERROR(100/'Skjema total MA'!I116*K116,0)</f>
        <v>0</v>
      </c>
    </row>
    <row r="117" spans="1:14" ht="15.75" x14ac:dyDescent="0.2">
      <c r="A117" s="21" t="s">
        <v>391</v>
      </c>
      <c r="B117" s="233"/>
      <c r="C117" s="233"/>
      <c r="D117" s="166"/>
      <c r="E117" s="27"/>
      <c r="F117" s="233">
        <v>58952.794999999998</v>
      </c>
      <c r="G117" s="233">
        <v>80898.320000000007</v>
      </c>
      <c r="H117" s="166">
        <f t="shared" si="14"/>
        <v>37.200000000000003</v>
      </c>
      <c r="I117" s="27">
        <f>IFERROR(100/'Skjema total MA'!F117*G117,0)</f>
        <v>3.768216303754234</v>
      </c>
      <c r="J117" s="286">
        <f t="shared" si="18"/>
        <v>58952.794999999998</v>
      </c>
      <c r="K117" s="44">
        <f t="shared" si="18"/>
        <v>80898.320000000007</v>
      </c>
      <c r="L117" s="253">
        <f t="shared" si="16"/>
        <v>37.200000000000003</v>
      </c>
      <c r="M117" s="27">
        <f>IFERROR(100/'Skjema total MA'!I117*K117,0)</f>
        <v>3.768216303754234</v>
      </c>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v>14307.946</v>
      </c>
      <c r="C119" s="159">
        <v>11217.334999999999</v>
      </c>
      <c r="D119" s="171">
        <f t="shared" si="13"/>
        <v>-21.6</v>
      </c>
      <c r="E119" s="11">
        <f>IFERROR(100/'Skjema total MA'!C119*C119,0)</f>
        <v>2.8883677851434957</v>
      </c>
      <c r="F119" s="307">
        <v>674384.52099999995</v>
      </c>
      <c r="G119" s="159">
        <v>501861.16399999999</v>
      </c>
      <c r="H119" s="171">
        <f t="shared" si="14"/>
        <v>-25.6</v>
      </c>
      <c r="I119" s="11">
        <f>IFERROR(100/'Skjema total MA'!F119*G119,0)</f>
        <v>4.5363983254074975</v>
      </c>
      <c r="J119" s="308">
        <f t="shared" si="18"/>
        <v>688692.46699999995</v>
      </c>
      <c r="K119" s="235">
        <f t="shared" si="18"/>
        <v>513078.49900000001</v>
      </c>
      <c r="L119" s="375">
        <f t="shared" si="16"/>
        <v>-25.5</v>
      </c>
      <c r="M119" s="11">
        <f>IFERROR(100/'Skjema total MA'!I119*K119,0)</f>
        <v>4.4805068234395025</v>
      </c>
    </row>
    <row r="120" spans="1:14" x14ac:dyDescent="0.2">
      <c r="A120" s="21" t="s">
        <v>9</v>
      </c>
      <c r="B120" s="233">
        <v>14307.946</v>
      </c>
      <c r="C120" s="145">
        <v>11217.334999999999</v>
      </c>
      <c r="D120" s="166">
        <f t="shared" si="13"/>
        <v>-21.6</v>
      </c>
      <c r="E120" s="27">
        <f>IFERROR(100/'Skjema total MA'!C120*C120,0)</f>
        <v>5.3504891289517467</v>
      </c>
      <c r="F120" s="233"/>
      <c r="G120" s="145"/>
      <c r="H120" s="166"/>
      <c r="I120" s="27"/>
      <c r="J120" s="286">
        <f t="shared" si="18"/>
        <v>14307.946</v>
      </c>
      <c r="K120" s="44">
        <f t="shared" si="18"/>
        <v>11217.334999999999</v>
      </c>
      <c r="L120" s="253">
        <f t="shared" si="16"/>
        <v>-21.6</v>
      </c>
      <c r="M120" s="27">
        <f>IFERROR(100/'Skjema total MA'!I120*K120,0)</f>
        <v>5.3504891289517467</v>
      </c>
    </row>
    <row r="121" spans="1:14" x14ac:dyDescent="0.2">
      <c r="A121" s="21" t="s">
        <v>10</v>
      </c>
      <c r="B121" s="233"/>
      <c r="C121" s="145"/>
      <c r="D121" s="166"/>
      <c r="E121" s="27"/>
      <c r="F121" s="233">
        <v>674384.52099999995</v>
      </c>
      <c r="G121" s="145">
        <v>501861.16399999999</v>
      </c>
      <c r="H121" s="166">
        <f t="shared" si="14"/>
        <v>-25.6</v>
      </c>
      <c r="I121" s="27">
        <f>IFERROR(100/'Skjema total MA'!F121*G121,0)</f>
        <v>4.5363983254074975</v>
      </c>
      <c r="J121" s="286">
        <f t="shared" si="18"/>
        <v>674384.52099999995</v>
      </c>
      <c r="K121" s="44">
        <f t="shared" si="18"/>
        <v>501861.16399999999</v>
      </c>
      <c r="L121" s="253">
        <f t="shared" si="16"/>
        <v>-25.6</v>
      </c>
      <c r="M121" s="27">
        <f>IFERROR(100/'Skjema total MA'!I121*K121,0)</f>
        <v>4.5221669577234911</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v>16.984000000000002</v>
      </c>
      <c r="C124" s="233">
        <v>18.431000000000001</v>
      </c>
      <c r="D124" s="166">
        <f t="shared" si="13"/>
        <v>8.5</v>
      </c>
      <c r="E124" s="27">
        <f>IFERROR(100/'Skjema total MA'!C124*C124,0)</f>
        <v>3.4375498753987398E-2</v>
      </c>
      <c r="F124" s="233">
        <v>124.96899999999999</v>
      </c>
      <c r="G124" s="233">
        <v>2354.4630000000002</v>
      </c>
      <c r="H124" s="166">
        <f t="shared" si="14"/>
        <v>999</v>
      </c>
      <c r="I124" s="27">
        <f>IFERROR(100/'Skjema total MA'!F124*G124,0)</f>
        <v>11.941880750242888</v>
      </c>
      <c r="J124" s="286">
        <f t="shared" si="18"/>
        <v>141.953</v>
      </c>
      <c r="K124" s="44">
        <f t="shared" si="18"/>
        <v>2372.8940000000002</v>
      </c>
      <c r="L124" s="253">
        <f t="shared" si="16"/>
        <v>999</v>
      </c>
      <c r="M124" s="27">
        <f>IFERROR(100/'Skjema total MA'!I124*K124,0)</f>
        <v>3.2357928611424667</v>
      </c>
    </row>
    <row r="125" spans="1:14" ht="15.75" x14ac:dyDescent="0.2">
      <c r="A125" s="21" t="s">
        <v>388</v>
      </c>
      <c r="B125" s="233"/>
      <c r="C125" s="233"/>
      <c r="D125" s="166"/>
      <c r="E125" s="27"/>
      <c r="F125" s="233">
        <v>117030.09699999999</v>
      </c>
      <c r="G125" s="233">
        <v>140066.58499999999</v>
      </c>
      <c r="H125" s="166">
        <f t="shared" si="14"/>
        <v>19.7</v>
      </c>
      <c r="I125" s="27">
        <f>IFERROR(100/'Skjema total MA'!F125*G125,0)</f>
        <v>6.2164367879150264</v>
      </c>
      <c r="J125" s="286">
        <f t="shared" si="18"/>
        <v>117030.09699999999</v>
      </c>
      <c r="K125" s="44">
        <f t="shared" si="18"/>
        <v>140066.58499999999</v>
      </c>
      <c r="L125" s="253">
        <f t="shared" si="16"/>
        <v>19.7</v>
      </c>
      <c r="M125" s="27">
        <f>IFERROR(100/'Skjema total MA'!I125*K125,0)</f>
        <v>6.2092348643195532</v>
      </c>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358"/>
      <c r="F130" s="674"/>
      <c r="G130" s="674"/>
      <c r="H130" s="674"/>
      <c r="I130" s="358"/>
      <c r="J130" s="674"/>
      <c r="K130" s="674"/>
      <c r="L130" s="674"/>
      <c r="M130" s="358"/>
    </row>
    <row r="131" spans="1:14" s="3" customFormat="1" x14ac:dyDescent="0.2">
      <c r="A131" s="144"/>
      <c r="B131" s="672" t="s">
        <v>0</v>
      </c>
      <c r="C131" s="673"/>
      <c r="D131" s="673"/>
      <c r="E131" s="357"/>
      <c r="F131" s="672" t="s">
        <v>1</v>
      </c>
      <c r="G131" s="673"/>
      <c r="H131" s="673"/>
      <c r="I131" s="360"/>
      <c r="J131" s="672" t="s">
        <v>2</v>
      </c>
      <c r="K131" s="673"/>
      <c r="L131" s="673"/>
      <c r="M131" s="360"/>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518" priority="82">
      <formula>kvartal &lt; 4</formula>
    </cfRule>
  </conditionalFormatting>
  <conditionalFormatting sqref="B69">
    <cfRule type="expression" dxfId="1517" priority="61">
      <formula>kvartal &lt; 4</formula>
    </cfRule>
  </conditionalFormatting>
  <conditionalFormatting sqref="C69">
    <cfRule type="expression" dxfId="1516" priority="60">
      <formula>kvartal &lt; 4</formula>
    </cfRule>
  </conditionalFormatting>
  <conditionalFormatting sqref="B72">
    <cfRule type="expression" dxfId="1515" priority="59">
      <formula>kvartal &lt; 4</formula>
    </cfRule>
  </conditionalFormatting>
  <conditionalFormatting sqref="C72">
    <cfRule type="expression" dxfId="1514" priority="58">
      <formula>kvartal &lt; 4</formula>
    </cfRule>
  </conditionalFormatting>
  <conditionalFormatting sqref="B80">
    <cfRule type="expression" dxfId="1513" priority="57">
      <formula>kvartal &lt; 4</formula>
    </cfRule>
  </conditionalFormatting>
  <conditionalFormatting sqref="C80">
    <cfRule type="expression" dxfId="1512" priority="56">
      <formula>kvartal &lt; 4</formula>
    </cfRule>
  </conditionalFormatting>
  <conditionalFormatting sqref="B83">
    <cfRule type="expression" dxfId="1511" priority="55">
      <formula>kvartal &lt; 4</formula>
    </cfRule>
  </conditionalFormatting>
  <conditionalFormatting sqref="C83">
    <cfRule type="expression" dxfId="1510" priority="54">
      <formula>kvartal &lt; 4</formula>
    </cfRule>
  </conditionalFormatting>
  <conditionalFormatting sqref="B90">
    <cfRule type="expression" dxfId="1509" priority="53">
      <formula>kvartal &lt; 4</formula>
    </cfRule>
  </conditionalFormatting>
  <conditionalFormatting sqref="C90">
    <cfRule type="expression" dxfId="1508" priority="52">
      <formula>kvartal &lt; 4</formula>
    </cfRule>
  </conditionalFormatting>
  <conditionalFormatting sqref="B93">
    <cfRule type="expression" dxfId="1507" priority="51">
      <formula>kvartal &lt; 4</formula>
    </cfRule>
  </conditionalFormatting>
  <conditionalFormatting sqref="C93">
    <cfRule type="expression" dxfId="1506" priority="50">
      <formula>kvartal &lt; 4</formula>
    </cfRule>
  </conditionalFormatting>
  <conditionalFormatting sqref="B101">
    <cfRule type="expression" dxfId="1505" priority="49">
      <formula>kvartal &lt; 4</formula>
    </cfRule>
  </conditionalFormatting>
  <conditionalFormatting sqref="C101">
    <cfRule type="expression" dxfId="1504" priority="48">
      <formula>kvartal &lt; 4</formula>
    </cfRule>
  </conditionalFormatting>
  <conditionalFormatting sqref="B104">
    <cfRule type="expression" dxfId="1503" priority="47">
      <formula>kvartal &lt; 4</formula>
    </cfRule>
  </conditionalFormatting>
  <conditionalFormatting sqref="C104">
    <cfRule type="expression" dxfId="1502" priority="46">
      <formula>kvartal &lt; 4</formula>
    </cfRule>
  </conditionalFormatting>
  <conditionalFormatting sqref="B115">
    <cfRule type="expression" dxfId="1501" priority="45">
      <formula>kvartal &lt; 4</formula>
    </cfRule>
  </conditionalFormatting>
  <conditionalFormatting sqref="C115">
    <cfRule type="expression" dxfId="1500" priority="44">
      <formula>kvartal &lt; 4</formula>
    </cfRule>
  </conditionalFormatting>
  <conditionalFormatting sqref="B123">
    <cfRule type="expression" dxfId="1499" priority="43">
      <formula>kvartal &lt; 4</formula>
    </cfRule>
  </conditionalFormatting>
  <conditionalFormatting sqref="C123">
    <cfRule type="expression" dxfId="1498" priority="42">
      <formula>kvartal &lt; 4</formula>
    </cfRule>
  </conditionalFormatting>
  <conditionalFormatting sqref="F70">
    <cfRule type="expression" dxfId="1497" priority="41">
      <formula>kvartal &lt; 4</formula>
    </cfRule>
  </conditionalFormatting>
  <conditionalFormatting sqref="G70">
    <cfRule type="expression" dxfId="1496" priority="40">
      <formula>kvartal &lt; 4</formula>
    </cfRule>
  </conditionalFormatting>
  <conditionalFormatting sqref="F71:G71">
    <cfRule type="expression" dxfId="1495" priority="39">
      <formula>kvartal &lt; 4</formula>
    </cfRule>
  </conditionalFormatting>
  <conditionalFormatting sqref="F73:G74">
    <cfRule type="expression" dxfId="1494" priority="38">
      <formula>kvartal &lt; 4</formula>
    </cfRule>
  </conditionalFormatting>
  <conditionalFormatting sqref="F81:G82">
    <cfRule type="expression" dxfId="1493" priority="37">
      <formula>kvartal &lt; 4</formula>
    </cfRule>
  </conditionalFormatting>
  <conditionalFormatting sqref="F84:G85">
    <cfRule type="expression" dxfId="1492" priority="36">
      <formula>kvartal &lt; 4</formula>
    </cfRule>
  </conditionalFormatting>
  <conditionalFormatting sqref="F91:G92">
    <cfRule type="expression" dxfId="1491" priority="35">
      <formula>kvartal &lt; 4</formula>
    </cfRule>
  </conditionalFormatting>
  <conditionalFormatting sqref="F94:G95">
    <cfRule type="expression" dxfId="1490" priority="34">
      <formula>kvartal &lt; 4</formula>
    </cfRule>
  </conditionalFormatting>
  <conditionalFormatting sqref="F102:G103">
    <cfRule type="expression" dxfId="1489" priority="33">
      <formula>kvartal &lt; 4</formula>
    </cfRule>
  </conditionalFormatting>
  <conditionalFormatting sqref="F105:G106">
    <cfRule type="expression" dxfId="1488" priority="32">
      <formula>kvartal &lt; 4</formula>
    </cfRule>
  </conditionalFormatting>
  <conditionalFormatting sqref="F115">
    <cfRule type="expression" dxfId="1487" priority="31">
      <formula>kvartal &lt; 4</formula>
    </cfRule>
  </conditionalFormatting>
  <conditionalFormatting sqref="G115">
    <cfRule type="expression" dxfId="1486" priority="30">
      <formula>kvartal &lt; 4</formula>
    </cfRule>
  </conditionalFormatting>
  <conditionalFormatting sqref="F123:G123">
    <cfRule type="expression" dxfId="1485" priority="29">
      <formula>kvartal &lt; 4</formula>
    </cfRule>
  </conditionalFormatting>
  <conditionalFormatting sqref="F69:G69">
    <cfRule type="expression" dxfId="1484" priority="28">
      <formula>kvartal &lt; 4</formula>
    </cfRule>
  </conditionalFormatting>
  <conditionalFormatting sqref="F72:G72">
    <cfRule type="expression" dxfId="1483" priority="27">
      <formula>kvartal &lt; 4</formula>
    </cfRule>
  </conditionalFormatting>
  <conditionalFormatting sqref="F80:G80">
    <cfRule type="expression" dxfId="1482" priority="26">
      <formula>kvartal &lt; 4</formula>
    </cfRule>
  </conditionalFormatting>
  <conditionalFormatting sqref="F83:G83">
    <cfRule type="expression" dxfId="1481" priority="25">
      <formula>kvartal &lt; 4</formula>
    </cfRule>
  </conditionalFormatting>
  <conditionalFormatting sqref="F90:G90">
    <cfRule type="expression" dxfId="1480" priority="24">
      <formula>kvartal &lt; 4</formula>
    </cfRule>
  </conditionalFormatting>
  <conditionalFormatting sqref="F93">
    <cfRule type="expression" dxfId="1479" priority="23">
      <formula>kvartal &lt; 4</formula>
    </cfRule>
  </conditionalFormatting>
  <conditionalFormatting sqref="G93">
    <cfRule type="expression" dxfId="1478" priority="22">
      <formula>kvartal &lt; 4</formula>
    </cfRule>
  </conditionalFormatting>
  <conditionalFormatting sqref="F101">
    <cfRule type="expression" dxfId="1477" priority="21">
      <formula>kvartal &lt; 4</formula>
    </cfRule>
  </conditionalFormatting>
  <conditionalFormatting sqref="G101">
    <cfRule type="expression" dxfId="1476" priority="20">
      <formula>kvartal &lt; 4</formula>
    </cfRule>
  </conditionalFormatting>
  <conditionalFormatting sqref="G104">
    <cfRule type="expression" dxfId="1475" priority="19">
      <formula>kvartal &lt; 4</formula>
    </cfRule>
  </conditionalFormatting>
  <conditionalFormatting sqref="F104">
    <cfRule type="expression" dxfId="1474" priority="18">
      <formula>kvartal &lt; 4</formula>
    </cfRule>
  </conditionalFormatting>
  <conditionalFormatting sqref="J69:K73">
    <cfRule type="expression" dxfId="1473" priority="17">
      <formula>kvartal &lt; 4</formula>
    </cfRule>
  </conditionalFormatting>
  <conditionalFormatting sqref="J74:K74">
    <cfRule type="expression" dxfId="1472" priority="16">
      <formula>kvartal &lt; 4</formula>
    </cfRule>
  </conditionalFormatting>
  <conditionalFormatting sqref="J80:K85">
    <cfRule type="expression" dxfId="1471" priority="15">
      <formula>kvartal &lt; 4</formula>
    </cfRule>
  </conditionalFormatting>
  <conditionalFormatting sqref="J90:K95">
    <cfRule type="expression" dxfId="1470" priority="14">
      <formula>kvartal &lt; 4</formula>
    </cfRule>
  </conditionalFormatting>
  <conditionalFormatting sqref="J101:K106">
    <cfRule type="expression" dxfId="1469" priority="13">
      <formula>kvartal &lt; 4</formula>
    </cfRule>
  </conditionalFormatting>
  <conditionalFormatting sqref="J115:K115">
    <cfRule type="expression" dxfId="1468" priority="12">
      <formula>kvartal &lt; 4</formula>
    </cfRule>
  </conditionalFormatting>
  <conditionalFormatting sqref="J123:K123">
    <cfRule type="expression" dxfId="1467" priority="11">
      <formula>kvartal &lt; 4</formula>
    </cfRule>
  </conditionalFormatting>
  <conditionalFormatting sqref="A50:A52">
    <cfRule type="expression" dxfId="1466" priority="8">
      <formula>kvartal &lt; 4</formula>
    </cfRule>
  </conditionalFormatting>
  <conditionalFormatting sqref="A69:A74">
    <cfRule type="expression" dxfId="1465" priority="7">
      <formula>kvartal &lt; 4</formula>
    </cfRule>
  </conditionalFormatting>
  <conditionalFormatting sqref="A80:A85">
    <cfRule type="expression" dxfId="1464" priority="6">
      <formula>kvartal &lt; 4</formula>
    </cfRule>
  </conditionalFormatting>
  <conditionalFormatting sqref="A90:A95">
    <cfRule type="expression" dxfId="1463" priority="5">
      <formula>kvartal &lt; 4</formula>
    </cfRule>
  </conditionalFormatting>
  <conditionalFormatting sqref="A101:A106">
    <cfRule type="expression" dxfId="1462" priority="4">
      <formula>kvartal &lt; 4</formula>
    </cfRule>
  </conditionalFormatting>
  <conditionalFormatting sqref="A115">
    <cfRule type="expression" dxfId="1461" priority="3">
      <formula>kvartal &lt; 4</formula>
    </cfRule>
  </conditionalFormatting>
  <conditionalFormatting sqref="A123">
    <cfRule type="expression" dxfId="1460" priority="2">
      <formula>kvartal &lt; 4</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137</v>
      </c>
      <c r="B1" s="648"/>
      <c r="C1" s="247" t="s">
        <v>125</v>
      </c>
      <c r="D1" s="26"/>
      <c r="E1" s="26"/>
      <c r="F1" s="26"/>
      <c r="G1" s="26"/>
      <c r="H1" s="26"/>
      <c r="I1" s="26"/>
      <c r="J1" s="26"/>
      <c r="K1" s="26"/>
      <c r="L1" s="26"/>
      <c r="M1" s="26"/>
    </row>
    <row r="2" spans="1:17" ht="15.75" x14ac:dyDescent="0.25">
      <c r="A2" s="165" t="s">
        <v>28</v>
      </c>
      <c r="B2" s="671"/>
      <c r="C2" s="671"/>
      <c r="D2" s="671"/>
      <c r="E2" s="298"/>
      <c r="F2" s="671"/>
      <c r="G2" s="671"/>
      <c r="H2" s="671"/>
      <c r="I2" s="298"/>
      <c r="J2" s="671"/>
      <c r="K2" s="671"/>
      <c r="L2" s="671"/>
      <c r="M2" s="298"/>
    </row>
    <row r="3" spans="1:17" ht="15.75" x14ac:dyDescent="0.25">
      <c r="A3" s="163"/>
      <c r="B3" s="298"/>
      <c r="C3" s="298"/>
      <c r="D3" s="298"/>
      <c r="E3" s="298"/>
      <c r="F3" s="298"/>
      <c r="G3" s="298"/>
      <c r="H3" s="298"/>
      <c r="I3" s="298"/>
      <c r="J3" s="298"/>
      <c r="K3" s="298"/>
      <c r="L3" s="298"/>
      <c r="M3" s="298"/>
    </row>
    <row r="4" spans="1:17" x14ac:dyDescent="0.2">
      <c r="A4" s="144"/>
      <c r="B4" s="672" t="s">
        <v>0</v>
      </c>
      <c r="C4" s="673"/>
      <c r="D4" s="673"/>
      <c r="E4" s="300"/>
      <c r="F4" s="672" t="s">
        <v>1</v>
      </c>
      <c r="G4" s="673"/>
      <c r="H4" s="673"/>
      <c r="I4" s="303"/>
      <c r="J4" s="672" t="s">
        <v>2</v>
      </c>
      <c r="K4" s="673"/>
      <c r="L4" s="673"/>
      <c r="M4" s="303"/>
    </row>
    <row r="5" spans="1:17" x14ac:dyDescent="0.2">
      <c r="A5" s="158"/>
      <c r="B5" s="152" t="s">
        <v>407</v>
      </c>
      <c r="C5" s="152" t="s">
        <v>408</v>
      </c>
      <c r="D5" s="244" t="s">
        <v>3</v>
      </c>
      <c r="E5" s="304" t="s">
        <v>29</v>
      </c>
      <c r="F5" s="152" t="s">
        <v>407</v>
      </c>
      <c r="G5" s="152" t="s">
        <v>408</v>
      </c>
      <c r="H5" s="244" t="s">
        <v>3</v>
      </c>
      <c r="I5" s="162" t="s">
        <v>29</v>
      </c>
      <c r="J5" s="152" t="s">
        <v>407</v>
      </c>
      <c r="K5" s="152" t="s">
        <v>408</v>
      </c>
      <c r="L5" s="244" t="s">
        <v>3</v>
      </c>
      <c r="M5" s="162" t="s">
        <v>29</v>
      </c>
    </row>
    <row r="6" spans="1:17" x14ac:dyDescent="0.2">
      <c r="A6" s="646"/>
      <c r="B6" s="156"/>
      <c r="C6" s="156"/>
      <c r="D6" s="245" t="s">
        <v>4</v>
      </c>
      <c r="E6" s="156" t="s">
        <v>30</v>
      </c>
      <c r="F6" s="161"/>
      <c r="G6" s="161"/>
      <c r="H6" s="244" t="s">
        <v>4</v>
      </c>
      <c r="I6" s="156" t="s">
        <v>30</v>
      </c>
      <c r="J6" s="161"/>
      <c r="K6" s="161"/>
      <c r="L6" s="244" t="s">
        <v>4</v>
      </c>
      <c r="M6" s="156" t="s">
        <v>30</v>
      </c>
    </row>
    <row r="7" spans="1:17" ht="15.75" x14ac:dyDescent="0.2">
      <c r="A7" s="14" t="s">
        <v>23</v>
      </c>
      <c r="B7" s="305">
        <v>520365</v>
      </c>
      <c r="C7" s="306">
        <v>498778</v>
      </c>
      <c r="D7" s="350">
        <f>IF(B7=0, "    ---- ", IF(ABS(ROUND(100/B7*C7-100,1))&lt;999,ROUND(100/B7*C7-100,1),IF(ROUND(100/B7*C7-100,1)&gt;999,999,-999)))</f>
        <v>-4.0999999999999996</v>
      </c>
      <c r="E7" s="11">
        <f>IFERROR(100/'Skjema total MA'!C7*C7,0)</f>
        <v>13.672116633105365</v>
      </c>
      <c r="F7" s="305">
        <v>456998</v>
      </c>
      <c r="G7" s="306">
        <v>389234</v>
      </c>
      <c r="H7" s="350">
        <f>IF(F7=0, "    ---- ", IF(ABS(ROUND(100/F7*G7-100,1))&lt;999,ROUND(100/F7*G7-100,1),IF(ROUND(100/F7*G7-100,1)&gt;999,999,-999)))</f>
        <v>-14.8</v>
      </c>
      <c r="I7" s="160">
        <f>IFERROR(100/'Skjema total MA'!F7*G7,0)</f>
        <v>5.4318220512930964</v>
      </c>
      <c r="J7" s="307">
        <f t="shared" ref="J7:K12" si="0">SUM(B7,F7)</f>
        <v>977363</v>
      </c>
      <c r="K7" s="308">
        <f t="shared" si="0"/>
        <v>888012</v>
      </c>
      <c r="L7" s="374">
        <f>IF(J7=0, "    ---- ", IF(ABS(ROUND(100/J7*K7-100,1))&lt;999,ROUND(100/J7*K7-100,1),IF(ROUND(100/J7*K7-100,1)&gt;999,999,-999)))</f>
        <v>-9.1</v>
      </c>
      <c r="M7" s="11">
        <f>IFERROR(100/'Skjema total MA'!I7*K7,0)</f>
        <v>8.2117269413953107</v>
      </c>
    </row>
    <row r="8" spans="1:17" ht="15.75" x14ac:dyDescent="0.2">
      <c r="A8" s="21" t="s">
        <v>25</v>
      </c>
      <c r="B8" s="280">
        <v>143961</v>
      </c>
      <c r="C8" s="281">
        <v>107293.611</v>
      </c>
      <c r="D8" s="166">
        <f t="shared" ref="D8:D12" si="1">IF(B8=0, "    ---- ", IF(ABS(ROUND(100/B8*C8-100,1))&lt;999,ROUND(100/B8*C8-100,1),IF(ROUND(100/B8*C8-100,1)&gt;999,999,-999)))</f>
        <v>-25.5</v>
      </c>
      <c r="E8" s="27">
        <f>IFERROR(100/'Skjema total MA'!C8*C8,0)</f>
        <v>4.9004631658684472</v>
      </c>
      <c r="F8" s="284"/>
      <c r="G8" s="285"/>
      <c r="H8" s="166"/>
      <c r="I8" s="175"/>
      <c r="J8" s="233">
        <f t="shared" si="0"/>
        <v>143961</v>
      </c>
      <c r="K8" s="286">
        <f t="shared" si="0"/>
        <v>107293.611</v>
      </c>
      <c r="L8" s="166">
        <f t="shared" ref="L8:L9" si="2">IF(J8=0, "    ---- ", IF(ABS(ROUND(100/J8*K8-100,1))&lt;999,ROUND(100/J8*K8-100,1),IF(ROUND(100/J8*K8-100,1)&gt;999,999,-999)))</f>
        <v>-25.5</v>
      </c>
      <c r="M8" s="27">
        <f>IFERROR(100/'Skjema total MA'!I8*K8,0)</f>
        <v>4.9004631658684472</v>
      </c>
    </row>
    <row r="9" spans="1:17" ht="15.75" x14ac:dyDescent="0.2">
      <c r="A9" s="21" t="s">
        <v>24</v>
      </c>
      <c r="B9" s="280">
        <v>56783</v>
      </c>
      <c r="C9" s="281">
        <v>38489.260999999999</v>
      </c>
      <c r="D9" s="166">
        <f t="shared" si="1"/>
        <v>-32.200000000000003</v>
      </c>
      <c r="E9" s="27">
        <f>IFERROR(100/'Skjema total MA'!C9*C9,0)</f>
        <v>4.9067236153408489</v>
      </c>
      <c r="F9" s="284"/>
      <c r="G9" s="285"/>
      <c r="H9" s="166"/>
      <c r="I9" s="175"/>
      <c r="J9" s="233">
        <f t="shared" si="0"/>
        <v>56783</v>
      </c>
      <c r="K9" s="286">
        <f t="shared" si="0"/>
        <v>38489.260999999999</v>
      </c>
      <c r="L9" s="166">
        <f t="shared" si="2"/>
        <v>-32.200000000000003</v>
      </c>
      <c r="M9" s="27">
        <f>IFERROR(100/'Skjema total MA'!I9*K9,0)</f>
        <v>4.9067236153408489</v>
      </c>
    </row>
    <row r="10" spans="1:17" ht="15.75" x14ac:dyDescent="0.2">
      <c r="A10" s="13" t="s">
        <v>368</v>
      </c>
      <c r="B10" s="309">
        <v>14964741</v>
      </c>
      <c r="C10" s="310">
        <v>13237947</v>
      </c>
      <c r="D10" s="171">
        <f t="shared" si="1"/>
        <v>-11.5</v>
      </c>
      <c r="E10" s="11">
        <f>IFERROR(100/'Skjema total MA'!C10*C10,0)</f>
        <v>68.559345642138297</v>
      </c>
      <c r="F10" s="309">
        <v>6055498</v>
      </c>
      <c r="G10" s="310">
        <v>5974277.6150000002</v>
      </c>
      <c r="H10" s="171">
        <f t="shared" ref="H10:H12" si="3">IF(F10=0, "    ---- ", IF(ABS(ROUND(100/F10*G10-100,1))&lt;999,ROUND(100/F10*G10-100,1),IF(ROUND(100/F10*G10-100,1)&gt;999,999,-999)))</f>
        <v>-1.3</v>
      </c>
      <c r="I10" s="160">
        <f>IFERROR(100/'Skjema total MA'!F10*G10,0)</f>
        <v>12.132209303328203</v>
      </c>
      <c r="J10" s="307">
        <f t="shared" si="0"/>
        <v>21020239</v>
      </c>
      <c r="K10" s="308">
        <f t="shared" si="0"/>
        <v>19212224.615000002</v>
      </c>
      <c r="L10" s="375">
        <f t="shared" ref="L10:L12" si="4">IF(J10=0, "    ---- ", IF(ABS(ROUND(100/J10*K10-100,1))&lt;999,ROUND(100/J10*K10-100,1),IF(ROUND(100/J10*K10-100,1)&gt;999,999,-999)))</f>
        <v>-8.6</v>
      </c>
      <c r="M10" s="11">
        <f>IFERROR(100/'Skjema total MA'!I10*K10,0)</f>
        <v>28.025827313075972</v>
      </c>
      <c r="Q10" s="149"/>
    </row>
    <row r="11" spans="1:17" s="43" customFormat="1" ht="15.75" x14ac:dyDescent="0.2">
      <c r="A11" s="13" t="s">
        <v>369</v>
      </c>
      <c r="B11" s="309">
        <v>22541</v>
      </c>
      <c r="C11" s="310">
        <v>45521.815999999999</v>
      </c>
      <c r="D11" s="171">
        <f t="shared" si="1"/>
        <v>102</v>
      </c>
      <c r="E11" s="11">
        <f>IFERROR(100/'Skjema total MA'!C11*C11,0)</f>
        <v>100</v>
      </c>
      <c r="F11" s="309">
        <v>29525</v>
      </c>
      <c r="G11" s="310">
        <v>17286.255000000001</v>
      </c>
      <c r="H11" s="171">
        <f t="shared" si="3"/>
        <v>-41.5</v>
      </c>
      <c r="I11" s="160">
        <f>IFERROR(100/'Skjema total MA'!F11*G11,0)</f>
        <v>7.4947684965844577</v>
      </c>
      <c r="J11" s="307">
        <f t="shared" si="0"/>
        <v>52066</v>
      </c>
      <c r="K11" s="308">
        <f t="shared" si="0"/>
        <v>62808.070999999996</v>
      </c>
      <c r="L11" s="375">
        <f t="shared" si="4"/>
        <v>20.6</v>
      </c>
      <c r="M11" s="11">
        <f>IFERROR(100/'Skjema total MA'!I11*K11,0)</f>
        <v>22.742860696486662</v>
      </c>
      <c r="N11" s="143"/>
    </row>
    <row r="12" spans="1:17" s="43" customFormat="1" ht="15.75" x14ac:dyDescent="0.2">
      <c r="A12" s="41" t="s">
        <v>370</v>
      </c>
      <c r="B12" s="311">
        <v>79</v>
      </c>
      <c r="C12" s="312">
        <v>4903</v>
      </c>
      <c r="D12" s="169">
        <f t="shared" si="1"/>
        <v>999</v>
      </c>
      <c r="E12" s="36">
        <f>IFERROR(100/'Skjema total MA'!C12*C12,0)</f>
        <v>100</v>
      </c>
      <c r="F12" s="311">
        <v>37275</v>
      </c>
      <c r="G12" s="312">
        <v>78912</v>
      </c>
      <c r="H12" s="169">
        <f t="shared" si="3"/>
        <v>111.7</v>
      </c>
      <c r="I12" s="169">
        <f>IFERROR(100/'Skjema total MA'!F12*G12,0)</f>
        <v>46.816436668912687</v>
      </c>
      <c r="J12" s="313">
        <f t="shared" si="0"/>
        <v>37354</v>
      </c>
      <c r="K12" s="314">
        <f t="shared" si="0"/>
        <v>83815</v>
      </c>
      <c r="L12" s="376">
        <f t="shared" si="4"/>
        <v>124.4</v>
      </c>
      <c r="M12" s="36">
        <f>IFERROR(100/'Skjema total MA'!I12*K12,0)</f>
        <v>48.319724083381551</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278</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674"/>
      <c r="C18" s="674"/>
      <c r="D18" s="674"/>
      <c r="E18" s="298"/>
      <c r="F18" s="674"/>
      <c r="G18" s="674"/>
      <c r="H18" s="674"/>
      <c r="I18" s="298"/>
      <c r="J18" s="674"/>
      <c r="K18" s="674"/>
      <c r="L18" s="674"/>
      <c r="M18" s="298"/>
    </row>
    <row r="19" spans="1:14" x14ac:dyDescent="0.2">
      <c r="A19" s="144"/>
      <c r="B19" s="672" t="s">
        <v>0</v>
      </c>
      <c r="C19" s="673"/>
      <c r="D19" s="673"/>
      <c r="E19" s="300"/>
      <c r="F19" s="672" t="s">
        <v>1</v>
      </c>
      <c r="G19" s="673"/>
      <c r="H19" s="673"/>
      <c r="I19" s="303"/>
      <c r="J19" s="672" t="s">
        <v>2</v>
      </c>
      <c r="K19" s="673"/>
      <c r="L19" s="673"/>
      <c r="M19" s="303"/>
    </row>
    <row r="20" spans="1:14" x14ac:dyDescent="0.2">
      <c r="A20" s="140" t="s">
        <v>5</v>
      </c>
      <c r="B20" s="152" t="s">
        <v>407</v>
      </c>
      <c r="C20" s="152" t="s">
        <v>408</v>
      </c>
      <c r="D20" s="162" t="s">
        <v>3</v>
      </c>
      <c r="E20" s="304" t="s">
        <v>29</v>
      </c>
      <c r="F20" s="152" t="s">
        <v>407</v>
      </c>
      <c r="G20" s="152" t="s">
        <v>408</v>
      </c>
      <c r="H20" s="162" t="s">
        <v>3</v>
      </c>
      <c r="I20" s="162" t="s">
        <v>29</v>
      </c>
      <c r="J20" s="152" t="s">
        <v>407</v>
      </c>
      <c r="K20" s="152" t="s">
        <v>408</v>
      </c>
      <c r="L20" s="162" t="s">
        <v>3</v>
      </c>
      <c r="M20" s="162" t="s">
        <v>29</v>
      </c>
    </row>
    <row r="21" spans="1:14" x14ac:dyDescent="0.2">
      <c r="A21" s="647"/>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231445</v>
      </c>
      <c r="C22" s="309">
        <v>240671.55300000001</v>
      </c>
      <c r="D22" s="350">
        <f t="shared" ref="D22:D39" si="5">IF(B22=0, "    ---- ", IF(ABS(ROUND(100/B22*C22-100,1))&lt;999,ROUND(100/B22*C22-100,1),IF(ROUND(100/B22*C22-100,1)&gt;999,999,-999)))</f>
        <v>4</v>
      </c>
      <c r="E22" s="11">
        <f>IFERROR(100/'Skjema total MA'!C22*C22,0)</f>
        <v>17.660496706002647</v>
      </c>
      <c r="F22" s="317">
        <v>58899</v>
      </c>
      <c r="G22" s="317">
        <v>44799.47</v>
      </c>
      <c r="H22" s="350">
        <f t="shared" ref="H22:H35" si="6">IF(F22=0, "    ---- ", IF(ABS(ROUND(100/F22*G22-100,1))&lt;999,ROUND(100/F22*G22-100,1),IF(ROUND(100/F22*G22-100,1)&gt;999,999,-999)))</f>
        <v>-23.9</v>
      </c>
      <c r="I22" s="11">
        <f>IFERROR(100/'Skjema total MA'!F22*G22,0)</f>
        <v>5.6085419389907747</v>
      </c>
      <c r="J22" s="315">
        <f t="shared" ref="J22:K35" si="7">SUM(B22,F22)</f>
        <v>290344</v>
      </c>
      <c r="K22" s="315">
        <f t="shared" si="7"/>
        <v>285471.02300000004</v>
      </c>
      <c r="L22" s="374">
        <f t="shared" ref="L22:L35" si="8">IF(J22=0, "    ---- ", IF(ABS(ROUND(100/J22*K22-100,1))&lt;999,ROUND(100/J22*K22-100,1),IF(ROUND(100/J22*K22-100,1)&gt;999,999,-999)))</f>
        <v>-1.7</v>
      </c>
      <c r="M22" s="24">
        <f>IFERROR(100/'Skjema total MA'!I22*K22,0)</f>
        <v>13.206835824445331</v>
      </c>
    </row>
    <row r="23" spans="1:14" ht="15.75" x14ac:dyDescent="0.2">
      <c r="A23" s="562" t="s">
        <v>371</v>
      </c>
      <c r="B23" s="280">
        <v>207110</v>
      </c>
      <c r="C23" s="280">
        <v>201390.48499999999</v>
      </c>
      <c r="D23" s="166">
        <f t="shared" si="5"/>
        <v>-2.8</v>
      </c>
      <c r="E23" s="11">
        <f>IFERROR(100/'Skjema total MA'!C23*C23,0)</f>
        <v>20.350550763795265</v>
      </c>
      <c r="F23" s="289">
        <v>36427.77205</v>
      </c>
      <c r="G23" s="289">
        <v>27109.234</v>
      </c>
      <c r="H23" s="166">
        <f t="shared" si="6"/>
        <v>-25.6</v>
      </c>
      <c r="I23" s="366">
        <f>IFERROR(100/'Skjema total MA'!F23*G23,0)</f>
        <v>47.835556899097654</v>
      </c>
      <c r="J23" s="289">
        <f t="shared" ref="J23:J25" si="9">SUM(B23,F23)</f>
        <v>243537.77205</v>
      </c>
      <c r="K23" s="289">
        <f t="shared" ref="K23:K25" si="10">SUM(C23,G23)</f>
        <v>228499.71899999998</v>
      </c>
      <c r="L23" s="166">
        <f t="shared" si="8"/>
        <v>-6.2</v>
      </c>
      <c r="M23" s="23">
        <f>IFERROR(100/'Skjema total MA'!I23*K23,0)</f>
        <v>21.839276979695228</v>
      </c>
    </row>
    <row r="24" spans="1:14" ht="15.75" x14ac:dyDescent="0.2">
      <c r="A24" s="562" t="s">
        <v>372</v>
      </c>
      <c r="B24" s="280">
        <v>244</v>
      </c>
      <c r="C24" s="280">
        <v>16029.924000000001</v>
      </c>
      <c r="D24" s="166">
        <f t="shared" si="5"/>
        <v>999</v>
      </c>
      <c r="E24" s="11">
        <f>IFERROR(100/'Skjema total MA'!C24*C24,0)</f>
        <v>60.571241366422974</v>
      </c>
      <c r="F24" s="289">
        <v>61.321085439999997</v>
      </c>
      <c r="G24" s="289">
        <v>1383.9290000000001</v>
      </c>
      <c r="H24" s="166">
        <f t="shared" si="6"/>
        <v>999</v>
      </c>
      <c r="I24" s="366">
        <f>IFERROR(100/'Skjema total MA'!F24*G24,0)</f>
        <v>100.32842207519761</v>
      </c>
      <c r="J24" s="289">
        <f t="shared" si="9"/>
        <v>305.32108543999999</v>
      </c>
      <c r="K24" s="289">
        <f t="shared" si="10"/>
        <v>17413.853000000003</v>
      </c>
      <c r="L24" s="166">
        <f t="shared" si="8"/>
        <v>999</v>
      </c>
      <c r="M24" s="23">
        <f>IFERROR(100/'Skjema total MA'!I24*K24,0)</f>
        <v>62.540823655972595</v>
      </c>
    </row>
    <row r="25" spans="1:14" ht="15.75" x14ac:dyDescent="0.2">
      <c r="A25" s="562" t="s">
        <v>373</v>
      </c>
      <c r="B25" s="280">
        <v>24092</v>
      </c>
      <c r="C25" s="280">
        <v>23251.144</v>
      </c>
      <c r="D25" s="166">
        <f t="shared" si="5"/>
        <v>-3.5</v>
      </c>
      <c r="E25" s="11">
        <f>IFERROR(100/'Skjema total MA'!C25*C25,0)</f>
        <v>97.68918670463907</v>
      </c>
      <c r="F25" s="289">
        <v>22409.906869999999</v>
      </c>
      <c r="G25" s="289">
        <v>16306.307000000001</v>
      </c>
      <c r="H25" s="166">
        <f t="shared" si="6"/>
        <v>-27.2</v>
      </c>
      <c r="I25" s="366">
        <f>IFERROR(100/'Skjema total MA'!F25*G25,0)</f>
        <v>58.923503839115604</v>
      </c>
      <c r="J25" s="289">
        <f t="shared" si="9"/>
        <v>46501.906869999999</v>
      </c>
      <c r="K25" s="289">
        <f t="shared" si="10"/>
        <v>39557.451000000001</v>
      </c>
      <c r="L25" s="166">
        <f t="shared" si="8"/>
        <v>-14.9</v>
      </c>
      <c r="M25" s="23">
        <f>IFERROR(100/'Skjema total MA'!I25*K25,0)</f>
        <v>76.848139092133962</v>
      </c>
    </row>
    <row r="26" spans="1:14" ht="15.75" x14ac:dyDescent="0.2">
      <c r="A26" s="562" t="s">
        <v>374</v>
      </c>
      <c r="B26" s="280"/>
      <c r="C26" s="280"/>
      <c r="D26" s="166"/>
      <c r="E26" s="11"/>
      <c r="F26" s="289"/>
      <c r="G26" s="289"/>
      <c r="H26" s="166"/>
      <c r="I26" s="366"/>
      <c r="J26" s="289"/>
      <c r="K26" s="289"/>
      <c r="L26" s="166"/>
      <c r="M26" s="23"/>
    </row>
    <row r="27" spans="1:14" x14ac:dyDescent="0.2">
      <c r="A27" s="562" t="s">
        <v>11</v>
      </c>
      <c r="B27" s="280"/>
      <c r="C27" s="280"/>
      <c r="D27" s="166"/>
      <c r="E27" s="11"/>
      <c r="F27" s="289"/>
      <c r="G27" s="289"/>
      <c r="H27" s="166"/>
      <c r="I27" s="366"/>
      <c r="J27" s="289"/>
      <c r="K27" s="289"/>
      <c r="L27" s="166"/>
      <c r="M27" s="23"/>
    </row>
    <row r="28" spans="1:14" ht="15.75" x14ac:dyDescent="0.2">
      <c r="A28" s="49" t="s">
        <v>279</v>
      </c>
      <c r="B28" s="44">
        <v>202992</v>
      </c>
      <c r="C28" s="286">
        <v>155384.00599999999</v>
      </c>
      <c r="D28" s="166">
        <f t="shared" si="5"/>
        <v>-23.5</v>
      </c>
      <c r="E28" s="11">
        <f>IFERROR(100/'Skjema total MA'!C28*C28,0)</f>
        <v>10.685488346202597</v>
      </c>
      <c r="F28" s="233"/>
      <c r="G28" s="286"/>
      <c r="H28" s="166"/>
      <c r="I28" s="27"/>
      <c r="J28" s="44">
        <f t="shared" si="7"/>
        <v>202992</v>
      </c>
      <c r="K28" s="44">
        <f t="shared" si="7"/>
        <v>155384.00599999999</v>
      </c>
      <c r="L28" s="253">
        <f t="shared" si="8"/>
        <v>-23.5</v>
      </c>
      <c r="M28" s="23">
        <f>IFERROR(100/'Skjema total MA'!I28*K28,0)</f>
        <v>10.685488346202597</v>
      </c>
    </row>
    <row r="29" spans="1:14" s="3" customFormat="1" ht="15.75" x14ac:dyDescent="0.2">
      <c r="A29" s="13" t="s">
        <v>368</v>
      </c>
      <c r="B29" s="235">
        <v>26260031</v>
      </c>
      <c r="C29" s="235">
        <v>25102611</v>
      </c>
      <c r="D29" s="171">
        <f t="shared" si="5"/>
        <v>-4.4000000000000004</v>
      </c>
      <c r="E29" s="11">
        <f>IFERROR(100/'Skjema total MA'!C29*C29,0)</f>
        <v>53.452744862197122</v>
      </c>
      <c r="F29" s="307">
        <v>5655434</v>
      </c>
      <c r="G29" s="307">
        <v>5457497.7630000003</v>
      </c>
      <c r="H29" s="171">
        <f t="shared" si="6"/>
        <v>-3.5</v>
      </c>
      <c r="I29" s="11">
        <f>IFERROR(100/'Skjema total MA'!F29*G29,0)</f>
        <v>25.625969973695526</v>
      </c>
      <c r="J29" s="235">
        <f t="shared" si="7"/>
        <v>31915465</v>
      </c>
      <c r="K29" s="235">
        <f t="shared" si="7"/>
        <v>30560108.763</v>
      </c>
      <c r="L29" s="375">
        <f t="shared" si="8"/>
        <v>-4.2</v>
      </c>
      <c r="M29" s="24">
        <f>IFERROR(100/'Skjema total MA'!I29*K29,0)</f>
        <v>44.770815672753464</v>
      </c>
      <c r="N29" s="148"/>
    </row>
    <row r="30" spans="1:14" s="3" customFormat="1" ht="15.75" x14ac:dyDescent="0.2">
      <c r="A30" s="562" t="s">
        <v>371</v>
      </c>
      <c r="B30" s="280">
        <v>7500415</v>
      </c>
      <c r="C30" s="280">
        <v>4495425</v>
      </c>
      <c r="D30" s="166">
        <f t="shared" si="5"/>
        <v>-40.1</v>
      </c>
      <c r="E30" s="11">
        <f>IFERROR(100/'Skjema total MA'!C30*C30,0)</f>
        <v>43.477984715585329</v>
      </c>
      <c r="F30" s="289">
        <v>1931436</v>
      </c>
      <c r="G30" s="289">
        <v>1937020.1680000001</v>
      </c>
      <c r="H30" s="166">
        <f t="shared" si="6"/>
        <v>0.3</v>
      </c>
      <c r="I30" s="366">
        <f>IFERROR(100/'Skjema total MA'!F30*G30,0)</f>
        <v>45.136076923792068</v>
      </c>
      <c r="J30" s="289">
        <f t="shared" ref="J30:J32" si="11">SUM(B30,F30)</f>
        <v>9431851</v>
      </c>
      <c r="K30" s="289">
        <f t="shared" ref="K30:K32" si="12">SUM(C30,G30)</f>
        <v>6432445.1679999996</v>
      </c>
      <c r="L30" s="166">
        <f t="shared" si="8"/>
        <v>-31.8</v>
      </c>
      <c r="M30" s="23">
        <f>IFERROR(100/'Skjema total MA'!I30*K30,0)</f>
        <v>43.964328492720938</v>
      </c>
      <c r="N30" s="148"/>
    </row>
    <row r="31" spans="1:14" s="3" customFormat="1" ht="15.75" x14ac:dyDescent="0.2">
      <c r="A31" s="562" t="s">
        <v>372</v>
      </c>
      <c r="B31" s="280">
        <v>16711913</v>
      </c>
      <c r="C31" s="280">
        <v>19482333</v>
      </c>
      <c r="D31" s="166">
        <f t="shared" si="5"/>
        <v>16.600000000000001</v>
      </c>
      <c r="E31" s="11">
        <f>IFERROR(100/'Skjema total MA'!C31*C31,0)</f>
        <v>58.825274185123362</v>
      </c>
      <c r="F31" s="289">
        <v>3324459.8990000002</v>
      </c>
      <c r="G31" s="289">
        <v>3097210.122</v>
      </c>
      <c r="H31" s="166">
        <f t="shared" si="6"/>
        <v>-6.8</v>
      </c>
      <c r="I31" s="366">
        <f>IFERROR(100/'Skjema total MA'!F31*G31,0)</f>
        <v>31.781866619626374</v>
      </c>
      <c r="J31" s="289">
        <f t="shared" si="11"/>
        <v>20036372.899</v>
      </c>
      <c r="K31" s="289">
        <f t="shared" si="12"/>
        <v>22579543.122000001</v>
      </c>
      <c r="L31" s="166">
        <f t="shared" si="8"/>
        <v>12.7</v>
      </c>
      <c r="M31" s="23">
        <f>IFERROR(100/'Skjema total MA'!I31*K31,0)</f>
        <v>52.676932312968717</v>
      </c>
      <c r="N31" s="148"/>
    </row>
    <row r="32" spans="1:14" ht="15.75" x14ac:dyDescent="0.2">
      <c r="A32" s="562" t="s">
        <v>373</v>
      </c>
      <c r="B32" s="280">
        <v>2047703</v>
      </c>
      <c r="C32" s="280">
        <v>1124853</v>
      </c>
      <c r="D32" s="166">
        <f t="shared" si="5"/>
        <v>-45.1</v>
      </c>
      <c r="E32" s="11">
        <f>IFERROR(100/'Skjema total MA'!C32*C32,0)</f>
        <v>73.231481813671479</v>
      </c>
      <c r="F32" s="289">
        <v>399537</v>
      </c>
      <c r="G32" s="289">
        <v>423267.473</v>
      </c>
      <c r="H32" s="166">
        <f t="shared" si="6"/>
        <v>5.9</v>
      </c>
      <c r="I32" s="366">
        <f>IFERROR(100/'Skjema total MA'!F32*G32,0)</f>
        <v>9.5262308544576122</v>
      </c>
      <c r="J32" s="289">
        <f t="shared" si="11"/>
        <v>2447240</v>
      </c>
      <c r="K32" s="289">
        <f t="shared" si="12"/>
        <v>1548120.473</v>
      </c>
      <c r="L32" s="166">
        <f t="shared" si="8"/>
        <v>-36.700000000000003</v>
      </c>
      <c r="M32" s="23">
        <f>IFERROR(100/'Skjema total MA'!I32*K32,0)</f>
        <v>25.891754539005671</v>
      </c>
    </row>
    <row r="33" spans="1:14" ht="15.75" x14ac:dyDescent="0.2">
      <c r="A33" s="562" t="s">
        <v>374</v>
      </c>
      <c r="B33" s="280"/>
      <c r="C33" s="280"/>
      <c r="D33" s="166"/>
      <c r="E33" s="11"/>
      <c r="F33" s="289"/>
      <c r="G33" s="289"/>
      <c r="H33" s="166"/>
      <c r="I33" s="366"/>
      <c r="J33" s="289"/>
      <c r="K33" s="289"/>
      <c r="L33" s="166"/>
      <c r="M33" s="23"/>
    </row>
    <row r="34" spans="1:14" ht="15.75" x14ac:dyDescent="0.2">
      <c r="A34" s="13" t="s">
        <v>369</v>
      </c>
      <c r="B34" s="235">
        <v>16143</v>
      </c>
      <c r="C34" s="308">
        <v>16539.883000000002</v>
      </c>
      <c r="D34" s="171">
        <f t="shared" si="5"/>
        <v>2.5</v>
      </c>
      <c r="E34" s="11">
        <f>IFERROR(100/'Skjema total MA'!C34*C34,0)</f>
        <v>75.826633050871777</v>
      </c>
      <c r="F34" s="307">
        <v>-7041</v>
      </c>
      <c r="G34" s="308">
        <v>9178.4279999999999</v>
      </c>
      <c r="H34" s="171">
        <f t="shared" si="6"/>
        <v>-230.4</v>
      </c>
      <c r="I34" s="11">
        <f>IFERROR(100/'Skjema total MA'!F34*G34,0)</f>
        <v>16.185101832976184</v>
      </c>
      <c r="J34" s="235">
        <f t="shared" si="7"/>
        <v>9102</v>
      </c>
      <c r="K34" s="235">
        <f t="shared" si="7"/>
        <v>25718.311000000002</v>
      </c>
      <c r="L34" s="375">
        <f t="shared" si="8"/>
        <v>182.6</v>
      </c>
      <c r="M34" s="24">
        <f>IFERROR(100/'Skjema total MA'!I34*K34,0)</f>
        <v>32.75305176788774</v>
      </c>
    </row>
    <row r="35" spans="1:14" ht="15.75" x14ac:dyDescent="0.2">
      <c r="A35" s="13" t="s">
        <v>370</v>
      </c>
      <c r="B35" s="235">
        <v>-26225</v>
      </c>
      <c r="C35" s="308">
        <v>-16658</v>
      </c>
      <c r="D35" s="171">
        <f t="shared" si="5"/>
        <v>-36.5</v>
      </c>
      <c r="E35" s="11">
        <f>IFERROR(100/'Skjema total MA'!C35*C35,0)</f>
        <v>111.08332064601946</v>
      </c>
      <c r="F35" s="307">
        <v>26421</v>
      </c>
      <c r="G35" s="308">
        <v>27364</v>
      </c>
      <c r="H35" s="171">
        <f t="shared" si="6"/>
        <v>3.6</v>
      </c>
      <c r="I35" s="11">
        <f>IFERROR(100/'Skjema total MA'!F35*G35,0)</f>
        <v>31.09131466271203</v>
      </c>
      <c r="J35" s="235">
        <f t="shared" si="7"/>
        <v>196</v>
      </c>
      <c r="K35" s="235">
        <f t="shared" si="7"/>
        <v>10706</v>
      </c>
      <c r="L35" s="375">
        <f t="shared" si="8"/>
        <v>999</v>
      </c>
      <c r="M35" s="24">
        <f>IFERROR(100/'Skjema total MA'!I35*K35,0)</f>
        <v>14.662586565065464</v>
      </c>
    </row>
    <row r="36" spans="1:14" ht="15.75" x14ac:dyDescent="0.2">
      <c r="A36" s="12" t="s">
        <v>287</v>
      </c>
      <c r="B36" s="235">
        <v>2862</v>
      </c>
      <c r="C36" s="308">
        <v>2228</v>
      </c>
      <c r="D36" s="171">
        <f t="shared" si="5"/>
        <v>-22.2</v>
      </c>
      <c r="E36" s="11">
        <f>100/'Skjema total MA'!C36*C36</f>
        <v>97.709827249200856</v>
      </c>
      <c r="F36" s="318"/>
      <c r="G36" s="319"/>
      <c r="H36" s="171"/>
      <c r="I36" s="381"/>
      <c r="J36" s="235">
        <f t="shared" ref="J36:J39" si="13">SUM(B36,F36)</f>
        <v>2862</v>
      </c>
      <c r="K36" s="235">
        <f t="shared" ref="K36:K39" si="14">SUM(C36,G36)</f>
        <v>2228</v>
      </c>
      <c r="L36" s="375"/>
      <c r="M36" s="24">
        <f>IFERROR(100/'Skjema total MA'!I36*K36,0)</f>
        <v>97.709827249200856</v>
      </c>
    </row>
    <row r="37" spans="1:14" ht="15.75" x14ac:dyDescent="0.2">
      <c r="A37" s="12" t="s">
        <v>376</v>
      </c>
      <c r="B37" s="235">
        <v>3443697</v>
      </c>
      <c r="C37" s="308">
        <v>3273258</v>
      </c>
      <c r="D37" s="171">
        <f t="shared" si="5"/>
        <v>-4.9000000000000004</v>
      </c>
      <c r="E37" s="11">
        <f>100/'Skjema total MA'!C37*C37</f>
        <v>87.612400603579644</v>
      </c>
      <c r="F37" s="318"/>
      <c r="G37" s="320"/>
      <c r="H37" s="171"/>
      <c r="I37" s="381"/>
      <c r="J37" s="235">
        <f t="shared" si="13"/>
        <v>3443697</v>
      </c>
      <c r="K37" s="235">
        <f t="shared" si="14"/>
        <v>3273258</v>
      </c>
      <c r="L37" s="375"/>
      <c r="M37" s="24">
        <f>IFERROR(100/'Skjema total MA'!I37*K37,0)</f>
        <v>87.612400603579644</v>
      </c>
    </row>
    <row r="38" spans="1:14" ht="15.75" x14ac:dyDescent="0.2">
      <c r="A38" s="12" t="s">
        <v>377</v>
      </c>
      <c r="B38" s="235"/>
      <c r="C38" s="308"/>
      <c r="D38" s="171"/>
      <c r="E38" s="24"/>
      <c r="F38" s="318"/>
      <c r="G38" s="319"/>
      <c r="H38" s="171"/>
      <c r="I38" s="381"/>
      <c r="J38" s="235"/>
      <c r="K38" s="235"/>
      <c r="L38" s="375"/>
      <c r="M38" s="24"/>
    </row>
    <row r="39" spans="1:14" ht="15.75" x14ac:dyDescent="0.2">
      <c r="A39" s="18" t="s">
        <v>378</v>
      </c>
      <c r="B39" s="275">
        <v>3</v>
      </c>
      <c r="C39" s="314">
        <v>2</v>
      </c>
      <c r="D39" s="169">
        <f t="shared" si="5"/>
        <v>-33.299999999999997</v>
      </c>
      <c r="E39" s="36">
        <f>IFERROR(100/'Skjema total MA'!C38*C39,0)</f>
        <v>0</v>
      </c>
      <c r="F39" s="321"/>
      <c r="G39" s="322"/>
      <c r="H39" s="169"/>
      <c r="I39" s="36"/>
      <c r="J39" s="235">
        <f t="shared" si="13"/>
        <v>3</v>
      </c>
      <c r="K39" s="235">
        <f t="shared" si="14"/>
        <v>2</v>
      </c>
      <c r="L39" s="376"/>
      <c r="M39" s="36">
        <f>IFERROR(100/'Skjema total MA'!I39*K39,0)</f>
        <v>100</v>
      </c>
    </row>
    <row r="40" spans="1:14" ht="15.75" x14ac:dyDescent="0.25">
      <c r="A40" s="47"/>
      <c r="B40" s="252"/>
      <c r="C40" s="252"/>
      <c r="D40" s="675"/>
      <c r="E40" s="675"/>
      <c r="F40" s="675"/>
      <c r="G40" s="675"/>
      <c r="H40" s="675"/>
      <c r="I40" s="675"/>
      <c r="J40" s="675"/>
      <c r="K40" s="675"/>
      <c r="L40" s="675"/>
      <c r="M40" s="301"/>
    </row>
    <row r="41" spans="1:14" x14ac:dyDescent="0.2">
      <c r="A41" s="155"/>
    </row>
    <row r="42" spans="1:14" ht="15.75" x14ac:dyDescent="0.25">
      <c r="A42" s="147" t="s">
        <v>276</v>
      </c>
      <c r="B42" s="671"/>
      <c r="C42" s="671"/>
      <c r="D42" s="671"/>
      <c r="E42" s="298"/>
      <c r="F42" s="676"/>
      <c r="G42" s="676"/>
      <c r="H42" s="676"/>
      <c r="I42" s="301"/>
      <c r="J42" s="676"/>
      <c r="K42" s="676"/>
      <c r="L42" s="676"/>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672" t="s">
        <v>0</v>
      </c>
      <c r="C44" s="673"/>
      <c r="D44" s="673"/>
      <c r="E44" s="242"/>
      <c r="F44" s="301"/>
      <c r="G44" s="301"/>
      <c r="H44" s="301"/>
      <c r="I44" s="301"/>
      <c r="J44" s="301"/>
      <c r="K44" s="301"/>
      <c r="L44" s="301"/>
      <c r="M44" s="301"/>
    </row>
    <row r="45" spans="1:14" s="3" customFormat="1" x14ac:dyDescent="0.2">
      <c r="A45" s="140"/>
      <c r="B45" s="152" t="s">
        <v>407</v>
      </c>
      <c r="C45" s="152" t="s">
        <v>408</v>
      </c>
      <c r="D45" s="162" t="s">
        <v>3</v>
      </c>
      <c r="E45" s="162" t="s">
        <v>29</v>
      </c>
      <c r="F45" s="174"/>
      <c r="G45" s="174"/>
      <c r="H45" s="173"/>
      <c r="I45" s="173"/>
      <c r="J45" s="174"/>
      <c r="K45" s="174"/>
      <c r="L45" s="173"/>
      <c r="M45" s="173"/>
      <c r="N45" s="148"/>
    </row>
    <row r="46" spans="1:14" s="3" customFormat="1" x14ac:dyDescent="0.2">
      <c r="A46" s="647"/>
      <c r="B46" s="243"/>
      <c r="C46" s="243"/>
      <c r="D46" s="244" t="s">
        <v>4</v>
      </c>
      <c r="E46" s="156" t="s">
        <v>30</v>
      </c>
      <c r="F46" s="173"/>
      <c r="G46" s="173"/>
      <c r="H46" s="173"/>
      <c r="I46" s="173"/>
      <c r="J46" s="173"/>
      <c r="K46" s="173"/>
      <c r="L46" s="173"/>
      <c r="M46" s="173"/>
      <c r="N46" s="148"/>
    </row>
    <row r="47" spans="1:14" s="3" customFormat="1" ht="15.75" x14ac:dyDescent="0.2">
      <c r="A47" s="14" t="s">
        <v>23</v>
      </c>
      <c r="B47" s="309">
        <v>506260</v>
      </c>
      <c r="C47" s="310">
        <v>663151</v>
      </c>
      <c r="D47" s="374">
        <f t="shared" ref="D47:D57" si="15">IF(B47=0, "    ---- ", IF(ABS(ROUND(100/B47*C47-100,1))&lt;999,ROUND(100/B47*C47-100,1),IF(ROUND(100/B47*C47-100,1)&gt;999,999,-999)))</f>
        <v>31</v>
      </c>
      <c r="E47" s="11">
        <f>IFERROR(100/'Skjema total MA'!C47*C47,0)</f>
        <v>17.331448440720639</v>
      </c>
      <c r="F47" s="145"/>
      <c r="G47" s="33"/>
      <c r="H47" s="159"/>
      <c r="I47" s="159"/>
      <c r="J47" s="37"/>
      <c r="K47" s="37"/>
      <c r="L47" s="159"/>
      <c r="M47" s="159"/>
      <c r="N47" s="148"/>
    </row>
    <row r="48" spans="1:14" s="3" customFormat="1" ht="15.75" x14ac:dyDescent="0.2">
      <c r="A48" s="38" t="s">
        <v>379</v>
      </c>
      <c r="B48" s="280">
        <v>307186</v>
      </c>
      <c r="C48" s="281">
        <v>422177</v>
      </c>
      <c r="D48" s="253">
        <f t="shared" si="15"/>
        <v>37.4</v>
      </c>
      <c r="E48" s="27">
        <f>IFERROR(100/'Skjema total MA'!C48*C48,0)</f>
        <v>19.491740987671953</v>
      </c>
      <c r="F48" s="145"/>
      <c r="G48" s="33"/>
      <c r="H48" s="145"/>
      <c r="I48" s="145"/>
      <c r="J48" s="33"/>
      <c r="K48" s="33"/>
      <c r="L48" s="159"/>
      <c r="M48" s="159"/>
      <c r="N48" s="148"/>
    </row>
    <row r="49" spans="1:14" s="3" customFormat="1" ht="15.75" x14ac:dyDescent="0.2">
      <c r="A49" s="38" t="s">
        <v>380</v>
      </c>
      <c r="B49" s="44">
        <v>199074</v>
      </c>
      <c r="C49" s="286">
        <v>240974</v>
      </c>
      <c r="D49" s="253">
        <f>IF(B49=0, "    ---- ", IF(ABS(ROUND(100/B49*C49-100,1))&lt;999,ROUND(100/B49*C49-100,1),IF(ROUND(100/B49*C49-100,1)&gt;999,999,-999)))</f>
        <v>21</v>
      </c>
      <c r="E49" s="27">
        <f>IFERROR(100/'Skjema total MA'!C49*C49,0)</f>
        <v>14.513361805242804</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381</v>
      </c>
      <c r="B53" s="309">
        <v>22921</v>
      </c>
      <c r="C53" s="310">
        <v>93853</v>
      </c>
      <c r="D53" s="375">
        <f t="shared" si="15"/>
        <v>309.5</v>
      </c>
      <c r="E53" s="11">
        <f>IFERROR(100/'Skjema total MA'!C53*C53,0)</f>
        <v>41.244943277798697</v>
      </c>
      <c r="F53" s="145"/>
      <c r="G53" s="33"/>
      <c r="H53" s="145"/>
      <c r="I53" s="145"/>
      <c r="J53" s="33"/>
      <c r="K53" s="33"/>
      <c r="L53" s="159"/>
      <c r="M53" s="159"/>
      <c r="N53" s="148"/>
    </row>
    <row r="54" spans="1:14" s="3" customFormat="1" ht="15.75" x14ac:dyDescent="0.2">
      <c r="A54" s="38" t="s">
        <v>379</v>
      </c>
      <c r="B54" s="280">
        <v>22921</v>
      </c>
      <c r="C54" s="281">
        <v>93853</v>
      </c>
      <c r="D54" s="253">
        <f t="shared" si="15"/>
        <v>309.5</v>
      </c>
      <c r="E54" s="27">
        <f>IFERROR(100/'Skjema total MA'!C54*C54,0)</f>
        <v>68.044686667569025</v>
      </c>
      <c r="F54" s="145"/>
      <c r="G54" s="33"/>
      <c r="H54" s="145"/>
      <c r="I54" s="145"/>
      <c r="J54" s="33"/>
      <c r="K54" s="33"/>
      <c r="L54" s="159"/>
      <c r="M54" s="159"/>
      <c r="N54" s="148"/>
    </row>
    <row r="55" spans="1:14" s="3" customFormat="1" ht="15.75" x14ac:dyDescent="0.2">
      <c r="A55" s="38" t="s">
        <v>380</v>
      </c>
      <c r="B55" s="280"/>
      <c r="C55" s="281"/>
      <c r="D55" s="253"/>
      <c r="E55" s="27"/>
      <c r="F55" s="145"/>
      <c r="G55" s="33"/>
      <c r="H55" s="145"/>
      <c r="I55" s="145"/>
      <c r="J55" s="33"/>
      <c r="K55" s="33"/>
      <c r="L55" s="159"/>
      <c r="M55" s="159"/>
      <c r="N55" s="148"/>
    </row>
    <row r="56" spans="1:14" s="3" customFormat="1" ht="15.75" x14ac:dyDescent="0.2">
      <c r="A56" s="39" t="s">
        <v>382</v>
      </c>
      <c r="B56" s="309">
        <v>28178</v>
      </c>
      <c r="C56" s="310">
        <v>8503</v>
      </c>
      <c r="D56" s="375">
        <f t="shared" si="15"/>
        <v>-69.8</v>
      </c>
      <c r="E56" s="11">
        <f>IFERROR(100/'Skjema total MA'!C56*C56,0)</f>
        <v>5.0681763295494546</v>
      </c>
      <c r="F56" s="145"/>
      <c r="G56" s="33"/>
      <c r="H56" s="145"/>
      <c r="I56" s="145"/>
      <c r="J56" s="33"/>
      <c r="K56" s="33"/>
      <c r="L56" s="159"/>
      <c r="M56" s="159"/>
      <c r="N56" s="148"/>
    </row>
    <row r="57" spans="1:14" s="3" customFormat="1" ht="15.75" x14ac:dyDescent="0.2">
      <c r="A57" s="38" t="s">
        <v>379</v>
      </c>
      <c r="B57" s="280">
        <v>28178</v>
      </c>
      <c r="C57" s="281">
        <v>8503</v>
      </c>
      <c r="D57" s="253">
        <f t="shared" si="15"/>
        <v>-69.8</v>
      </c>
      <c r="E57" s="27">
        <f>IFERROR(100/'Skjema total MA'!C57*C57,0)</f>
        <v>8.4038492021126814</v>
      </c>
      <c r="F57" s="145"/>
      <c r="G57" s="33"/>
      <c r="H57" s="145"/>
      <c r="I57" s="145"/>
      <c r="J57" s="33"/>
      <c r="K57" s="33"/>
      <c r="L57" s="159"/>
      <c r="M57" s="159"/>
      <c r="N57" s="148"/>
    </row>
    <row r="58" spans="1:14" s="3" customFormat="1" ht="15.75" x14ac:dyDescent="0.2">
      <c r="A58" s="46" t="s">
        <v>380</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674"/>
      <c r="C62" s="674"/>
      <c r="D62" s="674"/>
      <c r="E62" s="298"/>
      <c r="F62" s="674"/>
      <c r="G62" s="674"/>
      <c r="H62" s="674"/>
      <c r="I62" s="298"/>
      <c r="J62" s="674"/>
      <c r="K62" s="674"/>
      <c r="L62" s="674"/>
      <c r="M62" s="298"/>
    </row>
    <row r="63" spans="1:14" x14ac:dyDescent="0.2">
      <c r="A63" s="144"/>
      <c r="B63" s="672" t="s">
        <v>0</v>
      </c>
      <c r="C63" s="673"/>
      <c r="D63" s="677"/>
      <c r="E63" s="299"/>
      <c r="F63" s="673" t="s">
        <v>1</v>
      </c>
      <c r="G63" s="673"/>
      <c r="H63" s="673"/>
      <c r="I63" s="303"/>
      <c r="J63" s="672" t="s">
        <v>2</v>
      </c>
      <c r="K63" s="673"/>
      <c r="L63" s="673"/>
      <c r="M63" s="303"/>
    </row>
    <row r="64" spans="1:14" x14ac:dyDescent="0.2">
      <c r="A64" s="140"/>
      <c r="B64" s="152" t="s">
        <v>407</v>
      </c>
      <c r="C64" s="152" t="s">
        <v>408</v>
      </c>
      <c r="D64" s="244" t="s">
        <v>3</v>
      </c>
      <c r="E64" s="304" t="s">
        <v>29</v>
      </c>
      <c r="F64" s="152" t="s">
        <v>407</v>
      </c>
      <c r="G64" s="152" t="s">
        <v>408</v>
      </c>
      <c r="H64" s="244" t="s">
        <v>3</v>
      </c>
      <c r="I64" s="304" t="s">
        <v>29</v>
      </c>
      <c r="J64" s="152" t="s">
        <v>407</v>
      </c>
      <c r="K64" s="152" t="s">
        <v>408</v>
      </c>
      <c r="L64" s="244" t="s">
        <v>3</v>
      </c>
      <c r="M64" s="162" t="s">
        <v>29</v>
      </c>
    </row>
    <row r="65" spans="1:14" x14ac:dyDescent="0.2">
      <c r="A65" s="647"/>
      <c r="B65" s="156"/>
      <c r="C65" s="156"/>
      <c r="D65" s="245" t="s">
        <v>4</v>
      </c>
      <c r="E65" s="156" t="s">
        <v>30</v>
      </c>
      <c r="F65" s="161"/>
      <c r="G65" s="161"/>
      <c r="H65" s="244" t="s">
        <v>4</v>
      </c>
      <c r="I65" s="156" t="s">
        <v>30</v>
      </c>
      <c r="J65" s="161"/>
      <c r="K65" s="205"/>
      <c r="L65" s="156" t="s">
        <v>4</v>
      </c>
      <c r="M65" s="156" t="s">
        <v>30</v>
      </c>
    </row>
    <row r="66" spans="1:14" ht="15.75" x14ac:dyDescent="0.2">
      <c r="A66" s="14" t="s">
        <v>23</v>
      </c>
      <c r="B66" s="353">
        <v>2432550</v>
      </c>
      <c r="C66" s="353">
        <v>2310431.9392300001</v>
      </c>
      <c r="D66" s="350">
        <f t="shared" ref="D66:D111" si="16">IF(B66=0, "    ---- ", IF(ABS(ROUND(100/B66*C66-100,1))&lt;999,ROUND(100/B66*C66-100,1),IF(ROUND(100/B66*C66-100,1)&gt;999,999,-999)))</f>
        <v>-5</v>
      </c>
      <c r="E66" s="11">
        <f>IFERROR(100/'Skjema total MA'!C66*C66,0)</f>
        <v>32.491046330574214</v>
      </c>
      <c r="F66" s="352">
        <v>5943802</v>
      </c>
      <c r="G66" s="352">
        <v>6840881</v>
      </c>
      <c r="H66" s="350">
        <f t="shared" ref="H66:H111" si="17">IF(F66=0, "    ---- ", IF(ABS(ROUND(100/F66*G66-100,1))&lt;999,ROUND(100/F66*G66-100,1),IF(ROUND(100/F66*G66-100,1)&gt;999,999,-999)))</f>
        <v>15.1</v>
      </c>
      <c r="I66" s="11">
        <f>IFERROR(100/'Skjema total MA'!F66*G66,0)</f>
        <v>28.759288298994409</v>
      </c>
      <c r="J66" s="308">
        <f t="shared" ref="J66:K86" si="18">SUM(B66,F66)</f>
        <v>8376352</v>
      </c>
      <c r="K66" s="315">
        <f t="shared" si="18"/>
        <v>9151312.9392300006</v>
      </c>
      <c r="L66" s="375">
        <f t="shared" ref="L66:L111" si="19">IF(J66=0, "    ---- ", IF(ABS(ROUND(100/J66*K66-100,1))&lt;999,ROUND(100/J66*K66-100,1),IF(ROUND(100/J66*K66-100,1)&gt;999,999,-999)))</f>
        <v>9.3000000000000007</v>
      </c>
      <c r="M66" s="11">
        <f>IFERROR(100/'Skjema total MA'!I66*K66,0)</f>
        <v>29.618138275060062</v>
      </c>
    </row>
    <row r="67" spans="1:14" x14ac:dyDescent="0.2">
      <c r="A67" s="21" t="s">
        <v>9</v>
      </c>
      <c r="B67" s="44">
        <v>2408137</v>
      </c>
      <c r="C67" s="145">
        <v>2076560</v>
      </c>
      <c r="D67" s="166">
        <f t="shared" si="16"/>
        <v>-13.8</v>
      </c>
      <c r="E67" s="27">
        <f>IFERROR(100/'Skjema total MA'!C67*C67,0)</f>
        <v>38.202515174144281</v>
      </c>
      <c r="F67" s="233"/>
      <c r="G67" s="145"/>
      <c r="H67" s="166"/>
      <c r="I67" s="27"/>
      <c r="J67" s="286">
        <f t="shared" si="18"/>
        <v>2408137</v>
      </c>
      <c r="K67" s="44">
        <f t="shared" si="18"/>
        <v>2076560</v>
      </c>
      <c r="L67" s="253">
        <f t="shared" si="19"/>
        <v>-13.8</v>
      </c>
      <c r="M67" s="27">
        <f>IFERROR(100/'Skjema total MA'!I67*K67,0)</f>
        <v>38.202515174144281</v>
      </c>
    </row>
    <row r="68" spans="1:14" x14ac:dyDescent="0.2">
      <c r="A68" s="21" t="s">
        <v>10</v>
      </c>
      <c r="B68" s="291"/>
      <c r="C68" s="292"/>
      <c r="D68" s="166"/>
      <c r="E68" s="27"/>
      <c r="F68" s="291">
        <v>5943802</v>
      </c>
      <c r="G68" s="292">
        <v>6840881</v>
      </c>
      <c r="H68" s="166">
        <f t="shared" si="17"/>
        <v>15.1</v>
      </c>
      <c r="I68" s="27">
        <f>IFERROR(100/'Skjema total MA'!F68*G68,0)</f>
        <v>29.146684901368396</v>
      </c>
      <c r="J68" s="286">
        <f t="shared" si="18"/>
        <v>5943802</v>
      </c>
      <c r="K68" s="44">
        <f t="shared" si="18"/>
        <v>6840881</v>
      </c>
      <c r="L68" s="253">
        <f t="shared" si="19"/>
        <v>15.1</v>
      </c>
      <c r="M68" s="27">
        <f>IFERROR(100/'Skjema total MA'!I68*K68,0)</f>
        <v>28.985285748920806</v>
      </c>
    </row>
    <row r="69" spans="1:14" ht="15.75" x14ac:dyDescent="0.2">
      <c r="A69" s="295" t="s">
        <v>383</v>
      </c>
      <c r="B69" s="280"/>
      <c r="C69" s="280"/>
      <c r="D69" s="166"/>
      <c r="E69" s="366"/>
      <c r="F69" s="280"/>
      <c r="G69" s="280"/>
      <c r="H69" s="166"/>
      <c r="I69" s="366"/>
      <c r="J69" s="289"/>
      <c r="K69" s="289"/>
      <c r="L69" s="166"/>
      <c r="M69" s="23"/>
    </row>
    <row r="70" spans="1:14" x14ac:dyDescent="0.2">
      <c r="A70" s="295" t="s">
        <v>12</v>
      </c>
      <c r="B70" s="293"/>
      <c r="C70" s="294"/>
      <c r="D70" s="166"/>
      <c r="E70" s="366"/>
      <c r="F70" s="280"/>
      <c r="G70" s="280"/>
      <c r="H70" s="166"/>
      <c r="I70" s="366"/>
      <c r="J70" s="289"/>
      <c r="K70" s="289"/>
      <c r="L70" s="166"/>
      <c r="M70" s="23"/>
    </row>
    <row r="71" spans="1:14" x14ac:dyDescent="0.2">
      <c r="A71" s="295" t="s">
        <v>13</v>
      </c>
      <c r="B71" s="234"/>
      <c r="C71" s="288"/>
      <c r="D71" s="166"/>
      <c r="E71" s="366"/>
      <c r="F71" s="280"/>
      <c r="G71" s="280"/>
      <c r="H71" s="166"/>
      <c r="I71" s="366"/>
      <c r="J71" s="289"/>
      <c r="K71" s="289"/>
      <c r="L71" s="166"/>
      <c r="M71" s="23"/>
    </row>
    <row r="72" spans="1:14" ht="15.75" x14ac:dyDescent="0.2">
      <c r="A72" s="295" t="s">
        <v>384</v>
      </c>
      <c r="B72" s="280"/>
      <c r="C72" s="280"/>
      <c r="D72" s="166"/>
      <c r="E72" s="366"/>
      <c r="F72" s="280"/>
      <c r="G72" s="280"/>
      <c r="H72" s="166"/>
      <c r="I72" s="366"/>
      <c r="J72" s="289"/>
      <c r="K72" s="289"/>
      <c r="L72" s="166"/>
      <c r="M72" s="23"/>
    </row>
    <row r="73" spans="1:14" x14ac:dyDescent="0.2">
      <c r="A73" s="295" t="s">
        <v>12</v>
      </c>
      <c r="B73" s="234"/>
      <c r="C73" s="288"/>
      <c r="D73" s="166"/>
      <c r="E73" s="366"/>
      <c r="F73" s="280"/>
      <c r="G73" s="280"/>
      <c r="H73" s="166"/>
      <c r="I73" s="366"/>
      <c r="J73" s="289"/>
      <c r="K73" s="289"/>
      <c r="L73" s="166"/>
      <c r="M73" s="23"/>
    </row>
    <row r="74" spans="1:14" s="3" customFormat="1" x14ac:dyDescent="0.2">
      <c r="A74" s="295" t="s">
        <v>13</v>
      </c>
      <c r="B74" s="234"/>
      <c r="C74" s="288"/>
      <c r="D74" s="166"/>
      <c r="E74" s="366"/>
      <c r="F74" s="280"/>
      <c r="G74" s="280"/>
      <c r="H74" s="166"/>
      <c r="I74" s="366"/>
      <c r="J74" s="289"/>
      <c r="K74" s="289"/>
      <c r="L74" s="166"/>
      <c r="M74" s="23"/>
      <c r="N74" s="148"/>
    </row>
    <row r="75" spans="1:14" s="3" customFormat="1" x14ac:dyDescent="0.2">
      <c r="A75" s="21" t="s">
        <v>353</v>
      </c>
      <c r="B75" s="233"/>
      <c r="C75" s="145"/>
      <c r="D75" s="166"/>
      <c r="E75" s="27"/>
      <c r="F75" s="233"/>
      <c r="G75" s="145"/>
      <c r="H75" s="166"/>
      <c r="I75" s="27"/>
      <c r="J75" s="286"/>
      <c r="K75" s="44"/>
      <c r="L75" s="253"/>
      <c r="M75" s="27"/>
      <c r="N75" s="148"/>
    </row>
    <row r="76" spans="1:14" s="3" customFormat="1" x14ac:dyDescent="0.2">
      <c r="A76" s="21" t="s">
        <v>352</v>
      </c>
      <c r="B76" s="233">
        <v>24413</v>
      </c>
      <c r="C76" s="145">
        <v>233871.93922999999</v>
      </c>
      <c r="D76" s="166">
        <f t="shared" ref="D76" si="20">IF(B76=0, "    ---- ", IF(ABS(ROUND(100/B76*C76-100,1))&lt;999,ROUND(100/B76*C76-100,1),IF(ROUND(100/B76*C76-100,1)&gt;999,999,-999)))</f>
        <v>858</v>
      </c>
      <c r="E76" s="27">
        <f>IFERROR(100/'Skjema total MA'!C77*C76,0)</f>
        <v>4.2666856767583052</v>
      </c>
      <c r="F76" s="233"/>
      <c r="G76" s="145"/>
      <c r="H76" s="166"/>
      <c r="I76" s="27"/>
      <c r="J76" s="286">
        <f t="shared" ref="J76" si="21">SUM(B76,F76)</f>
        <v>24413</v>
      </c>
      <c r="K76" s="44">
        <f t="shared" ref="K76" si="22">SUM(C76,G76)</f>
        <v>233871.93922999999</v>
      </c>
      <c r="L76" s="253">
        <f t="shared" ref="L76" si="23">IF(J76=0, "    ---- ", IF(ABS(ROUND(100/J76*K76-100,1))&lt;999,ROUND(100/J76*K76-100,1),IF(ROUND(100/J76*K76-100,1)&gt;999,999,-999)))</f>
        <v>858</v>
      </c>
      <c r="M76" s="27">
        <f>IFERROR(100/'Skjema total MA'!I77*K76,0)</f>
        <v>0.80807332003950338</v>
      </c>
      <c r="N76" s="148"/>
    </row>
    <row r="77" spans="1:14" ht="15.75" x14ac:dyDescent="0.2">
      <c r="A77" s="21" t="s">
        <v>385</v>
      </c>
      <c r="B77" s="233">
        <v>2383260</v>
      </c>
      <c r="C77" s="233">
        <v>2076363</v>
      </c>
      <c r="D77" s="166">
        <f t="shared" si="16"/>
        <v>-12.9</v>
      </c>
      <c r="E77" s="27">
        <f>IFERROR(100/'Skjema total MA'!C77*C77,0)</f>
        <v>37.880509739727209</v>
      </c>
      <c r="F77" s="233">
        <v>5943802</v>
      </c>
      <c r="G77" s="145">
        <v>6840881</v>
      </c>
      <c r="H77" s="166">
        <f t="shared" si="17"/>
        <v>15.1</v>
      </c>
      <c r="I77" s="27">
        <f>IFERROR(100/'Skjema total MA'!F77*G77,0)</f>
        <v>29.159055207270381</v>
      </c>
      <c r="J77" s="286">
        <f t="shared" si="18"/>
        <v>8327062</v>
      </c>
      <c r="K77" s="44">
        <f t="shared" si="18"/>
        <v>8917244</v>
      </c>
      <c r="L77" s="253">
        <f t="shared" si="19"/>
        <v>7.1</v>
      </c>
      <c r="M77" s="27">
        <f>IFERROR(100/'Skjema total MA'!I77*K77,0)</f>
        <v>30.810823172744346</v>
      </c>
    </row>
    <row r="78" spans="1:14" x14ac:dyDescent="0.2">
      <c r="A78" s="21" t="s">
        <v>9</v>
      </c>
      <c r="B78" s="233">
        <v>2383260</v>
      </c>
      <c r="C78" s="145">
        <v>2076363</v>
      </c>
      <c r="D78" s="166">
        <f t="shared" si="16"/>
        <v>-12.9</v>
      </c>
      <c r="E78" s="27">
        <f>IFERROR(100/'Skjema total MA'!C78*C78,0)</f>
        <v>38.783622050388573</v>
      </c>
      <c r="F78" s="233"/>
      <c r="G78" s="145"/>
      <c r="H78" s="166"/>
      <c r="I78" s="27"/>
      <c r="J78" s="286">
        <f t="shared" si="18"/>
        <v>2383260</v>
      </c>
      <c r="K78" s="44">
        <f t="shared" si="18"/>
        <v>2076363</v>
      </c>
      <c r="L78" s="253">
        <f t="shared" si="19"/>
        <v>-12.9</v>
      </c>
      <c r="M78" s="27">
        <f>IFERROR(100/'Skjema total MA'!I78*K78,0)</f>
        <v>38.783622050388573</v>
      </c>
    </row>
    <row r="79" spans="1:14" x14ac:dyDescent="0.2">
      <c r="A79" s="21" t="s">
        <v>10</v>
      </c>
      <c r="B79" s="291"/>
      <c r="C79" s="292"/>
      <c r="D79" s="166"/>
      <c r="E79" s="27"/>
      <c r="F79" s="291">
        <v>5943802</v>
      </c>
      <c r="G79" s="292">
        <v>6840881</v>
      </c>
      <c r="H79" s="166">
        <f t="shared" si="17"/>
        <v>15.1</v>
      </c>
      <c r="I79" s="27">
        <f>IFERROR(100/'Skjema total MA'!F79*G79,0)</f>
        <v>29.159055207270381</v>
      </c>
      <c r="J79" s="286">
        <f t="shared" si="18"/>
        <v>5943802</v>
      </c>
      <c r="K79" s="44">
        <f t="shared" si="18"/>
        <v>6840881</v>
      </c>
      <c r="L79" s="253">
        <f t="shared" si="19"/>
        <v>15.1</v>
      </c>
      <c r="M79" s="27">
        <f>IFERROR(100/'Skjema total MA'!I79*K79,0)</f>
        <v>29.001272526677553</v>
      </c>
    </row>
    <row r="80" spans="1:14" ht="15.75" x14ac:dyDescent="0.2">
      <c r="A80" s="295" t="s">
        <v>383</v>
      </c>
      <c r="B80" s="280"/>
      <c r="C80" s="280"/>
      <c r="D80" s="166"/>
      <c r="E80" s="366"/>
      <c r="F80" s="280"/>
      <c r="G80" s="280"/>
      <c r="H80" s="166"/>
      <c r="I80" s="366"/>
      <c r="J80" s="289"/>
      <c r="K80" s="289"/>
      <c r="L80" s="166"/>
      <c r="M80" s="23"/>
    </row>
    <row r="81" spans="1:13" x14ac:dyDescent="0.2">
      <c r="A81" s="295" t="s">
        <v>12</v>
      </c>
      <c r="B81" s="234"/>
      <c r="C81" s="288"/>
      <c r="D81" s="166"/>
      <c r="E81" s="366"/>
      <c r="F81" s="280"/>
      <c r="G81" s="280"/>
      <c r="H81" s="166"/>
      <c r="I81" s="366"/>
      <c r="J81" s="289"/>
      <c r="K81" s="289"/>
      <c r="L81" s="166"/>
      <c r="M81" s="23"/>
    </row>
    <row r="82" spans="1:13" x14ac:dyDescent="0.2">
      <c r="A82" s="295" t="s">
        <v>13</v>
      </c>
      <c r="B82" s="234"/>
      <c r="C82" s="288"/>
      <c r="D82" s="166"/>
      <c r="E82" s="366"/>
      <c r="F82" s="280"/>
      <c r="G82" s="280"/>
      <c r="H82" s="166"/>
      <c r="I82" s="366"/>
      <c r="J82" s="289"/>
      <c r="K82" s="289"/>
      <c r="L82" s="166"/>
      <c r="M82" s="23"/>
    </row>
    <row r="83" spans="1:13" ht="15.75" x14ac:dyDescent="0.2">
      <c r="A83" s="295" t="s">
        <v>384</v>
      </c>
      <c r="B83" s="280"/>
      <c r="C83" s="280"/>
      <c r="D83" s="166"/>
      <c r="E83" s="366"/>
      <c r="F83" s="280"/>
      <c r="G83" s="280"/>
      <c r="H83" s="166"/>
      <c r="I83" s="366"/>
      <c r="J83" s="289"/>
      <c r="K83" s="289"/>
      <c r="L83" s="166"/>
      <c r="M83" s="23"/>
    </row>
    <row r="84" spans="1:13" x14ac:dyDescent="0.2">
      <c r="A84" s="295" t="s">
        <v>12</v>
      </c>
      <c r="B84" s="234"/>
      <c r="C84" s="288"/>
      <c r="D84" s="166"/>
      <c r="E84" s="366"/>
      <c r="F84" s="280"/>
      <c r="G84" s="280"/>
      <c r="H84" s="166"/>
      <c r="I84" s="366"/>
      <c r="J84" s="289"/>
      <c r="K84" s="289"/>
      <c r="L84" s="166"/>
      <c r="M84" s="23"/>
    </row>
    <row r="85" spans="1:13" x14ac:dyDescent="0.2">
      <c r="A85" s="295" t="s">
        <v>13</v>
      </c>
      <c r="B85" s="234"/>
      <c r="C85" s="288"/>
      <c r="D85" s="166"/>
      <c r="E85" s="366"/>
      <c r="F85" s="280"/>
      <c r="G85" s="280"/>
      <c r="H85" s="166"/>
      <c r="I85" s="366"/>
      <c r="J85" s="289"/>
      <c r="K85" s="289"/>
      <c r="L85" s="166"/>
      <c r="M85" s="23"/>
    </row>
    <row r="86" spans="1:13" ht="15.75" x14ac:dyDescent="0.2">
      <c r="A86" s="21" t="s">
        <v>386</v>
      </c>
      <c r="B86" s="233">
        <v>24877</v>
      </c>
      <c r="C86" s="145">
        <v>197</v>
      </c>
      <c r="D86" s="166">
        <f t="shared" si="16"/>
        <v>-99.2</v>
      </c>
      <c r="E86" s="27">
        <f>IFERROR(100/'Skjema total MA'!C86*C86,0)</f>
        <v>0.23175120978248914</v>
      </c>
      <c r="F86" s="233"/>
      <c r="G86" s="145"/>
      <c r="H86" s="166"/>
      <c r="I86" s="27"/>
      <c r="J86" s="286">
        <f t="shared" si="18"/>
        <v>24877</v>
      </c>
      <c r="K86" s="44">
        <f t="shared" si="18"/>
        <v>197</v>
      </c>
      <c r="L86" s="253">
        <f t="shared" si="19"/>
        <v>-99.2</v>
      </c>
      <c r="M86" s="27">
        <f>IFERROR(100/'Skjema total MA'!I86*K86,0)</f>
        <v>0.20745144303278532</v>
      </c>
    </row>
    <row r="87" spans="1:13" ht="15.75" x14ac:dyDescent="0.2">
      <c r="A87" s="13" t="s">
        <v>368</v>
      </c>
      <c r="B87" s="353">
        <v>156348172</v>
      </c>
      <c r="C87" s="353">
        <v>157375964.16319001</v>
      </c>
      <c r="D87" s="171">
        <f t="shared" si="16"/>
        <v>0.7</v>
      </c>
      <c r="E87" s="11">
        <f>IFERROR(100/'Skjema total MA'!C87*C87,0)</f>
        <v>40.322712965865627</v>
      </c>
      <c r="F87" s="352">
        <v>70669452</v>
      </c>
      <c r="G87" s="352">
        <v>81425114.349000007</v>
      </c>
      <c r="H87" s="171">
        <f t="shared" si="17"/>
        <v>15.2</v>
      </c>
      <c r="I87" s="11">
        <f>IFERROR(100/'Skjema total MA'!F87*G87,0)</f>
        <v>27.648534151467661</v>
      </c>
      <c r="J87" s="308">
        <f t="shared" ref="J87:K111" si="24">SUM(B87,F87)</f>
        <v>227017624</v>
      </c>
      <c r="K87" s="235">
        <f t="shared" si="24"/>
        <v>238801078.51219001</v>
      </c>
      <c r="L87" s="375">
        <f t="shared" si="19"/>
        <v>5.2</v>
      </c>
      <c r="M87" s="11">
        <f>IFERROR(100/'Skjema total MA'!I87*K87,0)</f>
        <v>34.872072120296281</v>
      </c>
    </row>
    <row r="88" spans="1:13" x14ac:dyDescent="0.2">
      <c r="A88" s="21" t="s">
        <v>9</v>
      </c>
      <c r="B88" s="233">
        <v>155550976</v>
      </c>
      <c r="C88" s="145">
        <v>157243726</v>
      </c>
      <c r="D88" s="166">
        <f t="shared" si="16"/>
        <v>1.1000000000000001</v>
      </c>
      <c r="E88" s="27">
        <f>IFERROR(100/'Skjema total MA'!C88*C88,0)</f>
        <v>41.288940096599724</v>
      </c>
      <c r="F88" s="233"/>
      <c r="G88" s="145"/>
      <c r="H88" s="166"/>
      <c r="I88" s="27"/>
      <c r="J88" s="286">
        <f t="shared" si="24"/>
        <v>155550976</v>
      </c>
      <c r="K88" s="44">
        <f t="shared" si="24"/>
        <v>157243726</v>
      </c>
      <c r="L88" s="253">
        <f t="shared" si="19"/>
        <v>1.1000000000000001</v>
      </c>
      <c r="M88" s="27">
        <f>IFERROR(100/'Skjema total MA'!I88*K88,0)</f>
        <v>41.288940096599724</v>
      </c>
    </row>
    <row r="89" spans="1:13" x14ac:dyDescent="0.2">
      <c r="A89" s="21" t="s">
        <v>10</v>
      </c>
      <c r="B89" s="233">
        <v>98181</v>
      </c>
      <c r="C89" s="145">
        <v>97763</v>
      </c>
      <c r="D89" s="166">
        <f t="shared" si="16"/>
        <v>-0.4</v>
      </c>
      <c r="E89" s="27">
        <f>IFERROR(100/'Skjema total MA'!C89*C89,0)</f>
        <v>3.2228901931586749</v>
      </c>
      <c r="F89" s="233">
        <v>70669452</v>
      </c>
      <c r="G89" s="145">
        <v>81425114.349000007</v>
      </c>
      <c r="H89" s="166">
        <f t="shared" si="17"/>
        <v>15.2</v>
      </c>
      <c r="I89" s="27">
        <f>IFERROR(100/'Skjema total MA'!F89*G89,0)</f>
        <v>27.78018681940825</v>
      </c>
      <c r="J89" s="286">
        <f t="shared" si="24"/>
        <v>70767633</v>
      </c>
      <c r="K89" s="44">
        <f t="shared" si="24"/>
        <v>81522877.349000007</v>
      </c>
      <c r="L89" s="253">
        <f t="shared" si="19"/>
        <v>15.2</v>
      </c>
      <c r="M89" s="27">
        <f>IFERROR(100/'Skjema total MA'!I89*K89,0)</f>
        <v>27.52864229956424</v>
      </c>
    </row>
    <row r="90" spans="1:13" ht="15.75" x14ac:dyDescent="0.2">
      <c r="A90" s="295" t="s">
        <v>383</v>
      </c>
      <c r="B90" s="280"/>
      <c r="C90" s="280"/>
      <c r="D90" s="166"/>
      <c r="E90" s="366"/>
      <c r="F90" s="280"/>
      <c r="G90" s="280"/>
      <c r="H90" s="166"/>
      <c r="I90" s="366"/>
      <c r="J90" s="289"/>
      <c r="K90" s="289"/>
      <c r="L90" s="166"/>
      <c r="M90" s="23"/>
    </row>
    <row r="91" spans="1:13" x14ac:dyDescent="0.2">
      <c r="A91" s="295" t="s">
        <v>12</v>
      </c>
      <c r="B91" s="234"/>
      <c r="C91" s="288"/>
      <c r="D91" s="166"/>
      <c r="E91" s="366"/>
      <c r="F91" s="280"/>
      <c r="G91" s="280"/>
      <c r="H91" s="166"/>
      <c r="I91" s="366"/>
      <c r="J91" s="289"/>
      <c r="K91" s="289"/>
      <c r="L91" s="166"/>
      <c r="M91" s="23"/>
    </row>
    <row r="92" spans="1:13" x14ac:dyDescent="0.2">
      <c r="A92" s="295" t="s">
        <v>13</v>
      </c>
      <c r="B92" s="234"/>
      <c r="C92" s="288"/>
      <c r="D92" s="166"/>
      <c r="E92" s="366"/>
      <c r="F92" s="280"/>
      <c r="G92" s="280"/>
      <c r="H92" s="166"/>
      <c r="I92" s="366"/>
      <c r="J92" s="289"/>
      <c r="K92" s="289"/>
      <c r="L92" s="166"/>
      <c r="M92" s="23"/>
    </row>
    <row r="93" spans="1:13" ht="15.75" x14ac:dyDescent="0.2">
      <c r="A93" s="295" t="s">
        <v>384</v>
      </c>
      <c r="B93" s="280"/>
      <c r="C93" s="280"/>
      <c r="D93" s="166"/>
      <c r="E93" s="366"/>
      <c r="F93" s="280"/>
      <c r="G93" s="280"/>
      <c r="H93" s="166"/>
      <c r="I93" s="366"/>
      <c r="J93" s="289"/>
      <c r="K93" s="289"/>
      <c r="L93" s="166"/>
      <c r="M93" s="23"/>
    </row>
    <row r="94" spans="1:13" x14ac:dyDescent="0.2">
      <c r="A94" s="295" t="s">
        <v>12</v>
      </c>
      <c r="B94" s="234"/>
      <c r="C94" s="288"/>
      <c r="D94" s="166"/>
      <c r="E94" s="366"/>
      <c r="F94" s="280"/>
      <c r="G94" s="280"/>
      <c r="H94" s="166"/>
      <c r="I94" s="366"/>
      <c r="J94" s="289"/>
      <c r="K94" s="289"/>
      <c r="L94" s="166"/>
      <c r="M94" s="23"/>
    </row>
    <row r="95" spans="1:13" x14ac:dyDescent="0.2">
      <c r="A95" s="295" t="s">
        <v>13</v>
      </c>
      <c r="B95" s="234"/>
      <c r="C95" s="288"/>
      <c r="D95" s="166"/>
      <c r="E95" s="366"/>
      <c r="F95" s="280"/>
      <c r="G95" s="280"/>
      <c r="H95" s="166"/>
      <c r="I95" s="366"/>
      <c r="J95" s="289"/>
      <c r="K95" s="289"/>
      <c r="L95" s="166"/>
      <c r="M95" s="23"/>
    </row>
    <row r="96" spans="1:13" x14ac:dyDescent="0.2">
      <c r="A96" s="21" t="s">
        <v>351</v>
      </c>
      <c r="B96" s="233"/>
      <c r="C96" s="145"/>
      <c r="D96" s="166"/>
      <c r="E96" s="27"/>
      <c r="F96" s="233"/>
      <c r="G96" s="145"/>
      <c r="H96" s="166"/>
      <c r="I96" s="27"/>
      <c r="J96" s="286"/>
      <c r="K96" s="44"/>
      <c r="L96" s="253"/>
      <c r="M96" s="27"/>
    </row>
    <row r="97" spans="1:13" x14ac:dyDescent="0.2">
      <c r="A97" s="21" t="s">
        <v>350</v>
      </c>
      <c r="B97" s="233">
        <v>699015</v>
      </c>
      <c r="C97" s="145">
        <v>34475.163189999999</v>
      </c>
      <c r="D97" s="166">
        <f t="shared" ref="D97" si="25">IF(B97=0, "    ---- ", IF(ABS(ROUND(100/B97*C97-100,1))&lt;999,ROUND(100/B97*C97-100,1),IF(ROUND(100/B97*C97-100,1)&gt;999,999,-999)))</f>
        <v>-95.1</v>
      </c>
      <c r="E97" s="27">
        <f>IFERROR(100/'Skjema total MA'!C98*C97,0)</f>
        <v>9.0931062007773445E-3</v>
      </c>
      <c r="F97" s="233"/>
      <c r="G97" s="145"/>
      <c r="H97" s="166"/>
      <c r="I97" s="27"/>
      <c r="J97" s="286">
        <f t="shared" ref="J97" si="26">SUM(B97,F97)</f>
        <v>699015</v>
      </c>
      <c r="K97" s="44">
        <f t="shared" ref="K97" si="27">SUM(C97,G97)</f>
        <v>34475.163189999999</v>
      </c>
      <c r="L97" s="253">
        <f t="shared" ref="L97" si="28">IF(J97=0, "    ---- ", IF(ABS(ROUND(100/J97*K97-100,1))&lt;999,ROUND(100/J97*K97-100,1),IF(ROUND(100/J97*K97-100,1)&gt;999,999,-999)))</f>
        <v>-95.1</v>
      </c>
      <c r="M97" s="27">
        <f>IFERROR(100/'Skjema total MA'!I98*K97,0)</f>
        <v>5.1345853223012661E-3</v>
      </c>
    </row>
    <row r="98" spans="1:13" ht="15.75" x14ac:dyDescent="0.2">
      <c r="A98" s="21" t="s">
        <v>385</v>
      </c>
      <c r="B98" s="233">
        <v>154267298</v>
      </c>
      <c r="C98" s="233">
        <v>155932173</v>
      </c>
      <c r="D98" s="166">
        <f t="shared" si="16"/>
        <v>1.1000000000000001</v>
      </c>
      <c r="E98" s="27">
        <f>IFERROR(100/'Skjema total MA'!C98*C98,0)</f>
        <v>41.128385713291401</v>
      </c>
      <c r="F98" s="291">
        <v>70546631</v>
      </c>
      <c r="G98" s="291">
        <v>81315165.719999999</v>
      </c>
      <c r="H98" s="166">
        <f t="shared" si="17"/>
        <v>15.3</v>
      </c>
      <c r="I98" s="27">
        <f>IFERROR(100/'Skjema total MA'!F98*G98,0)</f>
        <v>27.81953837900944</v>
      </c>
      <c r="J98" s="286">
        <f t="shared" si="24"/>
        <v>224813929</v>
      </c>
      <c r="K98" s="44">
        <f t="shared" si="24"/>
        <v>237247338.72</v>
      </c>
      <c r="L98" s="253">
        <f t="shared" si="19"/>
        <v>5.5</v>
      </c>
      <c r="M98" s="27">
        <f>IFERROR(100/'Skjema total MA'!I98*K98,0)</f>
        <v>35.334617458753463</v>
      </c>
    </row>
    <row r="99" spans="1:13" x14ac:dyDescent="0.2">
      <c r="A99" s="21" t="s">
        <v>9</v>
      </c>
      <c r="B99" s="291">
        <v>154169117</v>
      </c>
      <c r="C99" s="292">
        <v>155834410</v>
      </c>
      <c r="D99" s="166">
        <f t="shared" si="16"/>
        <v>1.1000000000000001</v>
      </c>
      <c r="E99" s="27">
        <f>IFERROR(100/'Skjema total MA'!C99*C99,0)</f>
        <v>41.434107094225368</v>
      </c>
      <c r="F99" s="233"/>
      <c r="G99" s="145"/>
      <c r="H99" s="166"/>
      <c r="I99" s="27"/>
      <c r="J99" s="286">
        <f t="shared" si="24"/>
        <v>154169117</v>
      </c>
      <c r="K99" s="44">
        <f t="shared" si="24"/>
        <v>155834410</v>
      </c>
      <c r="L99" s="253">
        <f t="shared" si="19"/>
        <v>1.1000000000000001</v>
      </c>
      <c r="M99" s="27">
        <f>IFERROR(100/'Skjema total MA'!I99*K99,0)</f>
        <v>41.434107094225368</v>
      </c>
    </row>
    <row r="100" spans="1:13" x14ac:dyDescent="0.2">
      <c r="A100" s="21" t="s">
        <v>10</v>
      </c>
      <c r="B100" s="291">
        <v>98181</v>
      </c>
      <c r="C100" s="292">
        <v>97763</v>
      </c>
      <c r="D100" s="166">
        <f t="shared" si="16"/>
        <v>-0.4</v>
      </c>
      <c r="E100" s="27">
        <f>IFERROR(100/'Skjema total MA'!C100*C100,0)</f>
        <v>3.2228901931586749</v>
      </c>
      <c r="F100" s="233">
        <v>70546631</v>
      </c>
      <c r="G100" s="233">
        <v>81315165.719999999</v>
      </c>
      <c r="H100" s="166">
        <f t="shared" si="17"/>
        <v>15.3</v>
      </c>
      <c r="I100" s="27">
        <f>IFERROR(100/'Skjema total MA'!F100*G100,0)</f>
        <v>27.81953837900944</v>
      </c>
      <c r="J100" s="286">
        <f t="shared" si="24"/>
        <v>70644812</v>
      </c>
      <c r="K100" s="44">
        <f t="shared" si="24"/>
        <v>81412928.719999999</v>
      </c>
      <c r="L100" s="253">
        <f t="shared" si="19"/>
        <v>15.2</v>
      </c>
      <c r="M100" s="27">
        <f>IFERROR(100/'Skjema total MA'!I100*K100,0)</f>
        <v>27.56689990376756</v>
      </c>
    </row>
    <row r="101" spans="1:13" ht="15.75" x14ac:dyDescent="0.2">
      <c r="A101" s="295" t="s">
        <v>383</v>
      </c>
      <c r="B101" s="280"/>
      <c r="C101" s="280"/>
      <c r="D101" s="166"/>
      <c r="E101" s="366"/>
      <c r="F101" s="280"/>
      <c r="G101" s="280"/>
      <c r="H101" s="166"/>
      <c r="I101" s="366"/>
      <c r="J101" s="289"/>
      <c r="K101" s="289"/>
      <c r="L101" s="166"/>
      <c r="M101" s="23"/>
    </row>
    <row r="102" spans="1:13" x14ac:dyDescent="0.2">
      <c r="A102" s="295" t="s">
        <v>12</v>
      </c>
      <c r="B102" s="234"/>
      <c r="C102" s="288"/>
      <c r="D102" s="166"/>
      <c r="E102" s="366"/>
      <c r="F102" s="280"/>
      <c r="G102" s="280"/>
      <c r="H102" s="166"/>
      <c r="I102" s="366"/>
      <c r="J102" s="289"/>
      <c r="K102" s="289"/>
      <c r="L102" s="166"/>
      <c r="M102" s="23"/>
    </row>
    <row r="103" spans="1:13" x14ac:dyDescent="0.2">
      <c r="A103" s="295" t="s">
        <v>13</v>
      </c>
      <c r="B103" s="234"/>
      <c r="C103" s="288"/>
      <c r="D103" s="166"/>
      <c r="E103" s="366"/>
      <c r="F103" s="280"/>
      <c r="G103" s="280"/>
      <c r="H103" s="166"/>
      <c r="I103" s="366"/>
      <c r="J103" s="289"/>
      <c r="K103" s="289"/>
      <c r="L103" s="166"/>
      <c r="M103" s="23"/>
    </row>
    <row r="104" spans="1:13" ht="15.75" x14ac:dyDescent="0.2">
      <c r="A104" s="295" t="s">
        <v>384</v>
      </c>
      <c r="B104" s="280"/>
      <c r="C104" s="280"/>
      <c r="D104" s="166"/>
      <c r="E104" s="366"/>
      <c r="F104" s="280"/>
      <c r="G104" s="280"/>
      <c r="H104" s="166"/>
      <c r="I104" s="366"/>
      <c r="J104" s="289"/>
      <c r="K104" s="289"/>
      <c r="L104" s="166"/>
      <c r="M104" s="23"/>
    </row>
    <row r="105" spans="1:13" x14ac:dyDescent="0.2">
      <c r="A105" s="295" t="s">
        <v>12</v>
      </c>
      <c r="B105" s="234"/>
      <c r="C105" s="288"/>
      <c r="D105" s="166"/>
      <c r="E105" s="366"/>
      <c r="F105" s="280"/>
      <c r="G105" s="280"/>
      <c r="H105" s="166"/>
      <c r="I105" s="366"/>
      <c r="J105" s="289"/>
      <c r="K105" s="289"/>
      <c r="L105" s="166"/>
      <c r="M105" s="23"/>
    </row>
    <row r="106" spans="1:13" x14ac:dyDescent="0.2">
      <c r="A106" s="295" t="s">
        <v>13</v>
      </c>
      <c r="B106" s="234"/>
      <c r="C106" s="288"/>
      <c r="D106" s="166"/>
      <c r="E106" s="366"/>
      <c r="F106" s="280"/>
      <c r="G106" s="280"/>
      <c r="H106" s="166"/>
      <c r="I106" s="366"/>
      <c r="J106" s="289"/>
      <c r="K106" s="289"/>
      <c r="L106" s="166"/>
      <c r="M106" s="23"/>
    </row>
    <row r="107" spans="1:13" ht="15.75" x14ac:dyDescent="0.2">
      <c r="A107" s="21" t="s">
        <v>386</v>
      </c>
      <c r="B107" s="233">
        <v>1381859.4210000001</v>
      </c>
      <c r="C107" s="145">
        <v>1409316</v>
      </c>
      <c r="D107" s="166">
        <f t="shared" si="16"/>
        <v>2</v>
      </c>
      <c r="E107" s="27">
        <f>IFERROR(100/'Skjema total MA'!C107*C107,0)</f>
        <v>29.759838636870548</v>
      </c>
      <c r="F107" s="233">
        <v>122821.439</v>
      </c>
      <c r="G107" s="145">
        <v>109948.629</v>
      </c>
      <c r="H107" s="166">
        <f t="shared" si="17"/>
        <v>-10.5</v>
      </c>
      <c r="I107" s="27">
        <f>IFERROR(100/'Skjema total MA'!F107*G107,0)</f>
        <v>13.576811690652965</v>
      </c>
      <c r="J107" s="286">
        <f t="shared" si="24"/>
        <v>1504680.86</v>
      </c>
      <c r="K107" s="44">
        <f t="shared" si="24"/>
        <v>1519264.629</v>
      </c>
      <c r="L107" s="253">
        <f t="shared" si="19"/>
        <v>1</v>
      </c>
      <c r="M107" s="27">
        <f>IFERROR(100/'Skjema total MA'!I107*K107,0)</f>
        <v>27.396562705080942</v>
      </c>
    </row>
    <row r="108" spans="1:13" ht="15.75" x14ac:dyDescent="0.2">
      <c r="A108" s="21" t="s">
        <v>387</v>
      </c>
      <c r="B108" s="233">
        <v>130899804</v>
      </c>
      <c r="C108" s="233">
        <v>134468545</v>
      </c>
      <c r="D108" s="166">
        <f t="shared" si="16"/>
        <v>2.7</v>
      </c>
      <c r="E108" s="27">
        <f>IFERROR(100/'Skjema total MA'!C108*C108,0)</f>
        <v>42.546239574265492</v>
      </c>
      <c r="F108" s="233">
        <v>375882.39399999997</v>
      </c>
      <c r="G108" s="233">
        <v>445624.723</v>
      </c>
      <c r="H108" s="166">
        <f t="shared" si="17"/>
        <v>18.600000000000001</v>
      </c>
      <c r="I108" s="27">
        <f>IFERROR(100/'Skjema total MA'!F108*G108,0)</f>
        <v>2.7008483386602524</v>
      </c>
      <c r="J108" s="286">
        <f t="shared" si="24"/>
        <v>131275686.39399999</v>
      </c>
      <c r="K108" s="44">
        <f t="shared" si="24"/>
        <v>134914169.72299999</v>
      </c>
      <c r="L108" s="253">
        <f t="shared" si="19"/>
        <v>2.8</v>
      </c>
      <c r="M108" s="27">
        <f>IFERROR(100/'Skjema total MA'!I108*K108,0)</f>
        <v>40.569327219760034</v>
      </c>
    </row>
    <row r="109" spans="1:13" ht="15.75" x14ac:dyDescent="0.2">
      <c r="A109" s="21" t="s">
        <v>388</v>
      </c>
      <c r="B109" s="233">
        <v>98181</v>
      </c>
      <c r="C109" s="233">
        <v>97763</v>
      </c>
      <c r="D109" s="166">
        <f t="shared" si="16"/>
        <v>-0.4</v>
      </c>
      <c r="E109" s="27">
        <f>IFERROR(100/'Skjema total MA'!C109*C109,0)</f>
        <v>9.9902999991518566</v>
      </c>
      <c r="F109" s="233">
        <v>21022106</v>
      </c>
      <c r="G109" s="233">
        <v>27657096</v>
      </c>
      <c r="H109" s="166">
        <f t="shared" si="17"/>
        <v>31.6</v>
      </c>
      <c r="I109" s="27">
        <f>IFERROR(100/'Skjema total MA'!F109*G109,0)</f>
        <v>27.667579610924655</v>
      </c>
      <c r="J109" s="286">
        <f t="shared" si="24"/>
        <v>21120287</v>
      </c>
      <c r="K109" s="44">
        <f t="shared" si="24"/>
        <v>27754859</v>
      </c>
      <c r="L109" s="253">
        <f t="shared" si="19"/>
        <v>31.4</v>
      </c>
      <c r="M109" s="27">
        <f>IFERROR(100/'Skjema total MA'!I109*K109,0)</f>
        <v>27.496205520974144</v>
      </c>
    </row>
    <row r="110" spans="1:13" ht="15.75" x14ac:dyDescent="0.2">
      <c r="A110" s="21" t="s">
        <v>389</v>
      </c>
      <c r="B110" s="233"/>
      <c r="C110" s="233"/>
      <c r="D110" s="166"/>
      <c r="E110" s="27"/>
      <c r="F110" s="233"/>
      <c r="G110" s="233"/>
      <c r="H110" s="166"/>
      <c r="I110" s="27"/>
      <c r="J110" s="286"/>
      <c r="K110" s="44"/>
      <c r="L110" s="253"/>
      <c r="M110" s="27"/>
    </row>
    <row r="111" spans="1:13" ht="15.75" x14ac:dyDescent="0.2">
      <c r="A111" s="13" t="s">
        <v>369</v>
      </c>
      <c r="B111" s="307">
        <v>182750</v>
      </c>
      <c r="C111" s="159">
        <v>191918.182</v>
      </c>
      <c r="D111" s="171">
        <f t="shared" si="16"/>
        <v>5</v>
      </c>
      <c r="E111" s="11">
        <f>IFERROR(100/'Skjema total MA'!C111*C111,0)</f>
        <v>50.632618682704425</v>
      </c>
      <c r="F111" s="307">
        <v>2972845</v>
      </c>
      <c r="G111" s="159">
        <v>2396462.9440000001</v>
      </c>
      <c r="H111" s="171">
        <f t="shared" si="17"/>
        <v>-19.399999999999999</v>
      </c>
      <c r="I111" s="11">
        <f>IFERROR(100/'Skjema total MA'!F111*G111,0)</f>
        <v>21.714907761905877</v>
      </c>
      <c r="J111" s="308">
        <f t="shared" si="24"/>
        <v>3155595</v>
      </c>
      <c r="K111" s="235">
        <f t="shared" si="24"/>
        <v>2588381.1260000002</v>
      </c>
      <c r="L111" s="375">
        <f t="shared" si="19"/>
        <v>-18</v>
      </c>
      <c r="M111" s="11">
        <f>IFERROR(100/'Skjema total MA'!I111*K111,0)</f>
        <v>22.675128718877549</v>
      </c>
    </row>
    <row r="112" spans="1:13" x14ac:dyDescent="0.2">
      <c r="A112" s="21" t="s">
        <v>9</v>
      </c>
      <c r="B112" s="233">
        <v>182750</v>
      </c>
      <c r="C112" s="145">
        <v>191918.182</v>
      </c>
      <c r="D112" s="166">
        <f t="shared" ref="D112:D124" si="29">IF(B112=0, "    ---- ", IF(ABS(ROUND(100/B112*C112-100,1))&lt;999,ROUND(100/B112*C112-100,1),IF(ROUND(100/B112*C112-100,1)&gt;999,999,-999)))</f>
        <v>5</v>
      </c>
      <c r="E112" s="27">
        <f>IFERROR(100/'Skjema total MA'!C112*C112,0)</f>
        <v>63.442327102646445</v>
      </c>
      <c r="F112" s="233"/>
      <c r="G112" s="145"/>
      <c r="H112" s="166"/>
      <c r="I112" s="27"/>
      <c r="J112" s="286">
        <f t="shared" ref="J112:K125" si="30">SUM(B112,F112)</f>
        <v>182750</v>
      </c>
      <c r="K112" s="44">
        <f t="shared" si="30"/>
        <v>191918.182</v>
      </c>
      <c r="L112" s="253">
        <f t="shared" ref="L112:L125" si="31">IF(J112=0, "    ---- ", IF(ABS(ROUND(100/J112*K112-100,1))&lt;999,ROUND(100/J112*K112-100,1),IF(ROUND(100/J112*K112-100,1)&gt;999,999,-999)))</f>
        <v>5</v>
      </c>
      <c r="M112" s="27">
        <f>IFERROR(100/'Skjema total MA'!I112*K112,0)</f>
        <v>62.234489252609769</v>
      </c>
    </row>
    <row r="113" spans="1:14" x14ac:dyDescent="0.2">
      <c r="A113" s="21" t="s">
        <v>10</v>
      </c>
      <c r="B113" s="233"/>
      <c r="C113" s="145"/>
      <c r="D113" s="166"/>
      <c r="E113" s="27"/>
      <c r="F113" s="233">
        <v>2972845</v>
      </c>
      <c r="G113" s="145">
        <v>2396462.9440000001</v>
      </c>
      <c r="H113" s="166">
        <f t="shared" ref="H113:H125" si="32">IF(F113=0, "    ---- ", IF(ABS(ROUND(100/F113*G113-100,1))&lt;999,ROUND(100/F113*G113-100,1),IF(ROUND(100/F113*G113-100,1)&gt;999,999,-999)))</f>
        <v>-19.399999999999999</v>
      </c>
      <c r="I113" s="27">
        <f>IFERROR(100/'Skjema total MA'!F113*G113,0)</f>
        <v>21.78747392130596</v>
      </c>
      <c r="J113" s="286">
        <f t="shared" si="30"/>
        <v>2972845</v>
      </c>
      <c r="K113" s="44">
        <f t="shared" si="30"/>
        <v>2396462.9440000001</v>
      </c>
      <c r="L113" s="253">
        <f t="shared" si="31"/>
        <v>-19.399999999999999</v>
      </c>
      <c r="M113" s="27">
        <f>IFERROR(100/'Skjema total MA'!I113*K113,0)</f>
        <v>21.784715816158023</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366"/>
      <c r="F115" s="280"/>
      <c r="G115" s="280"/>
      <c r="H115" s="166"/>
      <c r="I115" s="366"/>
      <c r="J115" s="289"/>
      <c r="K115" s="289"/>
      <c r="L115" s="166"/>
      <c r="M115" s="23"/>
    </row>
    <row r="116" spans="1:14" ht="15.75" x14ac:dyDescent="0.2">
      <c r="A116" s="21" t="s">
        <v>390</v>
      </c>
      <c r="B116" s="233">
        <v>104937</v>
      </c>
      <c r="C116" s="233">
        <v>81571</v>
      </c>
      <c r="D116" s="166">
        <f t="shared" si="29"/>
        <v>-22.3</v>
      </c>
      <c r="E116" s="27">
        <f>IFERROR(100/'Skjema total MA'!C116*C116,0)</f>
        <v>74.489904648760643</v>
      </c>
      <c r="F116" s="233"/>
      <c r="G116" s="233"/>
      <c r="H116" s="166"/>
      <c r="I116" s="27"/>
      <c r="J116" s="286">
        <f t="shared" si="30"/>
        <v>104937</v>
      </c>
      <c r="K116" s="44">
        <f t="shared" si="30"/>
        <v>81571</v>
      </c>
      <c r="L116" s="253">
        <f t="shared" si="31"/>
        <v>-22.3</v>
      </c>
      <c r="M116" s="27">
        <f>IFERROR(100/'Skjema total MA'!I116*K116,0)</f>
        <v>70.699442679138812</v>
      </c>
    </row>
    <row r="117" spans="1:14" ht="15.75" x14ac:dyDescent="0.2">
      <c r="A117" s="21" t="s">
        <v>391</v>
      </c>
      <c r="B117" s="233"/>
      <c r="C117" s="233"/>
      <c r="D117" s="166"/>
      <c r="E117" s="27"/>
      <c r="F117" s="233">
        <v>236798.66699999999</v>
      </c>
      <c r="G117" s="233">
        <v>334925.79300000001</v>
      </c>
      <c r="H117" s="166">
        <f t="shared" si="32"/>
        <v>41.4</v>
      </c>
      <c r="I117" s="27">
        <f>IFERROR(100/'Skjema total MA'!F117*G117,0)</f>
        <v>15.600729826409443</v>
      </c>
      <c r="J117" s="286">
        <f t="shared" si="30"/>
        <v>236798.66699999999</v>
      </c>
      <c r="K117" s="44">
        <f t="shared" si="30"/>
        <v>334925.79300000001</v>
      </c>
      <c r="L117" s="253">
        <f t="shared" si="31"/>
        <v>41.4</v>
      </c>
      <c r="M117" s="27">
        <f>IFERROR(100/'Skjema total MA'!I117*K117,0)</f>
        <v>15.600729826409443</v>
      </c>
    </row>
    <row r="118" spans="1:14" ht="15.75" x14ac:dyDescent="0.2">
      <c r="A118" s="21" t="s">
        <v>389</v>
      </c>
      <c r="B118" s="233"/>
      <c r="C118" s="233"/>
      <c r="D118" s="166"/>
      <c r="E118" s="27"/>
      <c r="F118" s="233"/>
      <c r="G118" s="233"/>
      <c r="H118" s="166"/>
      <c r="I118" s="27"/>
      <c r="J118" s="286"/>
      <c r="K118" s="44"/>
      <c r="L118" s="253"/>
      <c r="M118" s="27"/>
    </row>
    <row r="119" spans="1:14" ht="15.75" x14ac:dyDescent="0.2">
      <c r="A119" s="13" t="s">
        <v>370</v>
      </c>
      <c r="B119" s="307">
        <v>140506</v>
      </c>
      <c r="C119" s="159">
        <v>106667</v>
      </c>
      <c r="D119" s="171">
        <f t="shared" si="29"/>
        <v>-24.1</v>
      </c>
      <c r="E119" s="11">
        <f>IFERROR(100/'Skjema total MA'!C119*C119,0)</f>
        <v>27.465839839667911</v>
      </c>
      <c r="F119" s="307">
        <v>3283496</v>
      </c>
      <c r="G119" s="159">
        <v>2702187</v>
      </c>
      <c r="H119" s="171">
        <f t="shared" si="32"/>
        <v>-17.7</v>
      </c>
      <c r="I119" s="11">
        <f>IFERROR(100/'Skjema total MA'!F119*G119,0)</f>
        <v>24.425473539406831</v>
      </c>
      <c r="J119" s="308">
        <f t="shared" si="30"/>
        <v>3424002</v>
      </c>
      <c r="K119" s="235">
        <f t="shared" si="30"/>
        <v>2808854</v>
      </c>
      <c r="L119" s="375">
        <f t="shared" si="31"/>
        <v>-18</v>
      </c>
      <c r="M119" s="11">
        <f>IFERROR(100/'Skjema total MA'!I119*K119,0)</f>
        <v>24.528584880430433</v>
      </c>
    </row>
    <row r="120" spans="1:14" x14ac:dyDescent="0.2">
      <c r="A120" s="21" t="s">
        <v>9</v>
      </c>
      <c r="B120" s="233">
        <v>140506</v>
      </c>
      <c r="C120" s="145">
        <v>106667</v>
      </c>
      <c r="D120" s="166">
        <f t="shared" si="29"/>
        <v>-24.1</v>
      </c>
      <c r="E120" s="27">
        <f>IFERROR(100/'Skjema total MA'!C120*C120,0)</f>
        <v>50.878450533740498</v>
      </c>
      <c r="F120" s="233"/>
      <c r="G120" s="145"/>
      <c r="H120" s="166"/>
      <c r="I120" s="27"/>
      <c r="J120" s="286">
        <f t="shared" si="30"/>
        <v>140506</v>
      </c>
      <c r="K120" s="44">
        <f t="shared" si="30"/>
        <v>106667</v>
      </c>
      <c r="L120" s="253">
        <f t="shared" si="31"/>
        <v>-24.1</v>
      </c>
      <c r="M120" s="27">
        <f>IFERROR(100/'Skjema total MA'!I120*K120,0)</f>
        <v>50.878450533740498</v>
      </c>
    </row>
    <row r="121" spans="1:14" x14ac:dyDescent="0.2">
      <c r="A121" s="21" t="s">
        <v>10</v>
      </c>
      <c r="B121" s="233"/>
      <c r="C121" s="145"/>
      <c r="D121" s="166"/>
      <c r="E121" s="27"/>
      <c r="F121" s="233">
        <v>3283496</v>
      </c>
      <c r="G121" s="145">
        <v>2702187</v>
      </c>
      <c r="H121" s="166">
        <f t="shared" si="32"/>
        <v>-17.7</v>
      </c>
      <c r="I121" s="27">
        <f>IFERROR(100/'Skjema total MA'!F121*G121,0)</f>
        <v>24.425473539406831</v>
      </c>
      <c r="J121" s="286">
        <f t="shared" si="30"/>
        <v>3283496</v>
      </c>
      <c r="K121" s="44">
        <f t="shared" si="30"/>
        <v>2702187</v>
      </c>
      <c r="L121" s="253">
        <f t="shared" si="31"/>
        <v>-17.7</v>
      </c>
      <c r="M121" s="27">
        <f>IFERROR(100/'Skjema total MA'!I121*K121,0)</f>
        <v>24.348847134523378</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366"/>
      <c r="F123" s="280"/>
      <c r="G123" s="280"/>
      <c r="H123" s="166"/>
      <c r="I123" s="366"/>
      <c r="J123" s="289"/>
      <c r="K123" s="289"/>
      <c r="L123" s="166"/>
      <c r="M123" s="23"/>
    </row>
    <row r="124" spans="1:14" ht="15.75" x14ac:dyDescent="0.2">
      <c r="A124" s="21" t="s">
        <v>396</v>
      </c>
      <c r="B124" s="233">
        <v>103240</v>
      </c>
      <c r="C124" s="233">
        <v>49601</v>
      </c>
      <c r="D124" s="166">
        <f t="shared" si="29"/>
        <v>-52</v>
      </c>
      <c r="E124" s="27">
        <f>IFERROR(100/'Skjema total MA'!C124*C124,0)</f>
        <v>92.510396272395909</v>
      </c>
      <c r="F124" s="233"/>
      <c r="G124" s="233"/>
      <c r="H124" s="166"/>
      <c r="I124" s="27"/>
      <c r="J124" s="286">
        <f t="shared" si="30"/>
        <v>103240</v>
      </c>
      <c r="K124" s="44">
        <f t="shared" si="30"/>
        <v>49601</v>
      </c>
      <c r="L124" s="253">
        <f t="shared" si="31"/>
        <v>-52</v>
      </c>
      <c r="M124" s="27">
        <f>IFERROR(100/'Skjema total MA'!I124*K124,0)</f>
        <v>67.638319160285903</v>
      </c>
    </row>
    <row r="125" spans="1:14" ht="15.75" x14ac:dyDescent="0.2">
      <c r="A125" s="21" t="s">
        <v>388</v>
      </c>
      <c r="B125" s="233"/>
      <c r="C125" s="233"/>
      <c r="D125" s="166"/>
      <c r="E125" s="27"/>
      <c r="F125" s="233">
        <v>500497</v>
      </c>
      <c r="G125" s="233">
        <v>557186.48699999996</v>
      </c>
      <c r="H125" s="166">
        <f t="shared" si="32"/>
        <v>11.3</v>
      </c>
      <c r="I125" s="27">
        <f>IFERROR(100/'Skjema total MA'!F125*G125,0)</f>
        <v>24.729057080358871</v>
      </c>
      <c r="J125" s="286">
        <f t="shared" si="30"/>
        <v>500497</v>
      </c>
      <c r="K125" s="44">
        <f t="shared" si="30"/>
        <v>557186.48699999996</v>
      </c>
      <c r="L125" s="253">
        <f t="shared" si="31"/>
        <v>11.3</v>
      </c>
      <c r="M125" s="27">
        <f>IFERROR(100/'Skjema total MA'!I125*K125,0)</f>
        <v>24.700407745417177</v>
      </c>
    </row>
    <row r="126" spans="1:14" ht="15.75" x14ac:dyDescent="0.2">
      <c r="A126" s="10" t="s">
        <v>389</v>
      </c>
      <c r="B126" s="45"/>
      <c r="C126" s="45"/>
      <c r="D126" s="167"/>
      <c r="E126" s="36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74"/>
      <c r="C130" s="674"/>
      <c r="D130" s="674"/>
      <c r="E130" s="298"/>
      <c r="F130" s="674"/>
      <c r="G130" s="674"/>
      <c r="H130" s="674"/>
      <c r="I130" s="298"/>
      <c r="J130" s="674"/>
      <c r="K130" s="674"/>
      <c r="L130" s="674"/>
      <c r="M130" s="298"/>
    </row>
    <row r="131" spans="1:14" s="3" customFormat="1" x14ac:dyDescent="0.2">
      <c r="A131" s="144"/>
      <c r="B131" s="672" t="s">
        <v>0</v>
      </c>
      <c r="C131" s="673"/>
      <c r="D131" s="673"/>
      <c r="E131" s="300"/>
      <c r="F131" s="672" t="s">
        <v>1</v>
      </c>
      <c r="G131" s="673"/>
      <c r="H131" s="673"/>
      <c r="I131" s="303"/>
      <c r="J131" s="672" t="s">
        <v>2</v>
      </c>
      <c r="K131" s="673"/>
      <c r="L131" s="673"/>
      <c r="M131" s="303"/>
      <c r="N131" s="148"/>
    </row>
    <row r="132" spans="1:14" s="3" customFormat="1" x14ac:dyDescent="0.2">
      <c r="A132" s="140"/>
      <c r="B132" s="152" t="s">
        <v>407</v>
      </c>
      <c r="C132" s="152" t="s">
        <v>408</v>
      </c>
      <c r="D132" s="244" t="s">
        <v>3</v>
      </c>
      <c r="E132" s="304" t="s">
        <v>29</v>
      </c>
      <c r="F132" s="152" t="s">
        <v>407</v>
      </c>
      <c r="G132" s="152" t="s">
        <v>408</v>
      </c>
      <c r="H132" s="205" t="s">
        <v>3</v>
      </c>
      <c r="I132" s="162" t="s">
        <v>29</v>
      </c>
      <c r="J132" s="152" t="s">
        <v>407</v>
      </c>
      <c r="K132" s="152" t="s">
        <v>408</v>
      </c>
      <c r="L132" s="245" t="s">
        <v>3</v>
      </c>
      <c r="M132" s="162" t="s">
        <v>29</v>
      </c>
      <c r="N132" s="148"/>
    </row>
    <row r="133" spans="1:14" s="3" customFormat="1" x14ac:dyDescent="0.2">
      <c r="A133" s="647"/>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392</v>
      </c>
      <c r="B134" s="235"/>
      <c r="C134" s="308"/>
      <c r="D134" s="350"/>
      <c r="E134" s="11"/>
      <c r="F134" s="315"/>
      <c r="G134" s="316"/>
      <c r="H134" s="378"/>
      <c r="I134" s="24"/>
      <c r="J134" s="317"/>
      <c r="K134" s="317"/>
      <c r="L134" s="374"/>
      <c r="M134" s="11"/>
      <c r="N134" s="148"/>
    </row>
    <row r="135" spans="1:14" s="3" customFormat="1" ht="15.75" x14ac:dyDescent="0.2">
      <c r="A135" s="13" t="s">
        <v>397</v>
      </c>
      <c r="B135" s="235"/>
      <c r="C135" s="308"/>
      <c r="D135" s="171"/>
      <c r="E135" s="11"/>
      <c r="F135" s="235"/>
      <c r="G135" s="308"/>
      <c r="H135" s="379"/>
      <c r="I135" s="24"/>
      <c r="J135" s="307"/>
      <c r="K135" s="307"/>
      <c r="L135" s="375"/>
      <c r="M135" s="11"/>
      <c r="N135" s="148"/>
    </row>
    <row r="136" spans="1:14" s="3" customFormat="1" ht="15.75" x14ac:dyDescent="0.2">
      <c r="A136" s="13" t="s">
        <v>394</v>
      </c>
      <c r="B136" s="235"/>
      <c r="C136" s="308"/>
      <c r="D136" s="171"/>
      <c r="E136" s="11"/>
      <c r="F136" s="235"/>
      <c r="G136" s="308"/>
      <c r="H136" s="379"/>
      <c r="I136" s="24"/>
      <c r="J136" s="307"/>
      <c r="K136" s="307"/>
      <c r="L136" s="375"/>
      <c r="M136" s="11"/>
      <c r="N136" s="148"/>
    </row>
    <row r="137" spans="1:14" s="3" customFormat="1" ht="15.75" x14ac:dyDescent="0.2">
      <c r="A137" s="41" t="s">
        <v>395</v>
      </c>
      <c r="B137" s="275"/>
      <c r="C137" s="314"/>
      <c r="D137" s="169"/>
      <c r="E137" s="9"/>
      <c r="F137" s="275"/>
      <c r="G137" s="314"/>
      <c r="H137" s="380"/>
      <c r="I137" s="36"/>
      <c r="J137" s="313"/>
      <c r="K137" s="313"/>
      <c r="L137" s="37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459" priority="132">
      <formula>kvartal &lt; 4</formula>
    </cfRule>
  </conditionalFormatting>
  <conditionalFormatting sqref="B69">
    <cfRule type="expression" dxfId="1458" priority="100">
      <formula>kvartal &lt; 4</formula>
    </cfRule>
  </conditionalFormatting>
  <conditionalFormatting sqref="C69">
    <cfRule type="expression" dxfId="1457" priority="99">
      <formula>kvartal &lt; 4</formula>
    </cfRule>
  </conditionalFormatting>
  <conditionalFormatting sqref="B72">
    <cfRule type="expression" dxfId="1456" priority="98">
      <formula>kvartal &lt; 4</formula>
    </cfRule>
  </conditionalFormatting>
  <conditionalFormatting sqref="C72">
    <cfRule type="expression" dxfId="1455" priority="97">
      <formula>kvartal &lt; 4</formula>
    </cfRule>
  </conditionalFormatting>
  <conditionalFormatting sqref="B80">
    <cfRule type="expression" dxfId="1454" priority="96">
      <formula>kvartal &lt; 4</formula>
    </cfRule>
  </conditionalFormatting>
  <conditionalFormatting sqref="C80">
    <cfRule type="expression" dxfId="1453" priority="95">
      <formula>kvartal &lt; 4</formula>
    </cfRule>
  </conditionalFormatting>
  <conditionalFormatting sqref="B83">
    <cfRule type="expression" dxfId="1452" priority="94">
      <formula>kvartal &lt; 4</formula>
    </cfRule>
  </conditionalFormatting>
  <conditionalFormatting sqref="C83">
    <cfRule type="expression" dxfId="1451" priority="93">
      <formula>kvartal &lt; 4</formula>
    </cfRule>
  </conditionalFormatting>
  <conditionalFormatting sqref="B90">
    <cfRule type="expression" dxfId="1450" priority="84">
      <formula>kvartal &lt; 4</formula>
    </cfRule>
  </conditionalFormatting>
  <conditionalFormatting sqref="C90">
    <cfRule type="expression" dxfId="1449" priority="83">
      <formula>kvartal &lt; 4</formula>
    </cfRule>
  </conditionalFormatting>
  <conditionalFormatting sqref="B93">
    <cfRule type="expression" dxfId="1448" priority="82">
      <formula>kvartal &lt; 4</formula>
    </cfRule>
  </conditionalFormatting>
  <conditionalFormatting sqref="C93">
    <cfRule type="expression" dxfId="1447" priority="81">
      <formula>kvartal &lt; 4</formula>
    </cfRule>
  </conditionalFormatting>
  <conditionalFormatting sqref="B101">
    <cfRule type="expression" dxfId="1446" priority="80">
      <formula>kvartal &lt; 4</formula>
    </cfRule>
  </conditionalFormatting>
  <conditionalFormatting sqref="C101">
    <cfRule type="expression" dxfId="1445" priority="79">
      <formula>kvartal &lt; 4</formula>
    </cfRule>
  </conditionalFormatting>
  <conditionalFormatting sqref="B104">
    <cfRule type="expression" dxfId="1444" priority="78">
      <formula>kvartal &lt; 4</formula>
    </cfRule>
  </conditionalFormatting>
  <conditionalFormatting sqref="C104">
    <cfRule type="expression" dxfId="1443" priority="77">
      <formula>kvartal &lt; 4</formula>
    </cfRule>
  </conditionalFormatting>
  <conditionalFormatting sqref="B115">
    <cfRule type="expression" dxfId="1442" priority="76">
      <formula>kvartal &lt; 4</formula>
    </cfRule>
  </conditionalFormatting>
  <conditionalFormatting sqref="C115">
    <cfRule type="expression" dxfId="1441" priority="75">
      <formula>kvartal &lt; 4</formula>
    </cfRule>
  </conditionalFormatting>
  <conditionalFormatting sqref="B123">
    <cfRule type="expression" dxfId="1440" priority="74">
      <formula>kvartal &lt; 4</formula>
    </cfRule>
  </conditionalFormatting>
  <conditionalFormatting sqref="C123">
    <cfRule type="expression" dxfId="1439" priority="73">
      <formula>kvartal &lt; 4</formula>
    </cfRule>
  </conditionalFormatting>
  <conditionalFormatting sqref="F70">
    <cfRule type="expression" dxfId="1438" priority="72">
      <formula>kvartal &lt; 4</formula>
    </cfRule>
  </conditionalFormatting>
  <conditionalFormatting sqref="G70">
    <cfRule type="expression" dxfId="1437" priority="71">
      <formula>kvartal &lt; 4</formula>
    </cfRule>
  </conditionalFormatting>
  <conditionalFormatting sqref="F71:G71">
    <cfRule type="expression" dxfId="1436" priority="70">
      <formula>kvartal &lt; 4</formula>
    </cfRule>
  </conditionalFormatting>
  <conditionalFormatting sqref="F73:G74">
    <cfRule type="expression" dxfId="1435" priority="69">
      <formula>kvartal &lt; 4</formula>
    </cfRule>
  </conditionalFormatting>
  <conditionalFormatting sqref="F81:G82">
    <cfRule type="expression" dxfId="1434" priority="68">
      <formula>kvartal &lt; 4</formula>
    </cfRule>
  </conditionalFormatting>
  <conditionalFormatting sqref="F84:G85">
    <cfRule type="expression" dxfId="1433" priority="67">
      <formula>kvartal &lt; 4</formula>
    </cfRule>
  </conditionalFormatting>
  <conditionalFormatting sqref="F91:G92">
    <cfRule type="expression" dxfId="1432" priority="62">
      <formula>kvartal &lt; 4</formula>
    </cfRule>
  </conditionalFormatting>
  <conditionalFormatting sqref="F94:G95">
    <cfRule type="expression" dxfId="1431" priority="61">
      <formula>kvartal &lt; 4</formula>
    </cfRule>
  </conditionalFormatting>
  <conditionalFormatting sqref="F102:G103">
    <cfRule type="expression" dxfId="1430" priority="60">
      <formula>kvartal &lt; 4</formula>
    </cfRule>
  </conditionalFormatting>
  <conditionalFormatting sqref="F105:G106">
    <cfRule type="expression" dxfId="1429" priority="59">
      <formula>kvartal &lt; 4</formula>
    </cfRule>
  </conditionalFormatting>
  <conditionalFormatting sqref="F115">
    <cfRule type="expression" dxfId="1428" priority="58">
      <formula>kvartal &lt; 4</formula>
    </cfRule>
  </conditionalFormatting>
  <conditionalFormatting sqref="G115">
    <cfRule type="expression" dxfId="1427" priority="57">
      <formula>kvartal &lt; 4</formula>
    </cfRule>
  </conditionalFormatting>
  <conditionalFormatting sqref="F123:G123">
    <cfRule type="expression" dxfId="1426" priority="56">
      <formula>kvartal &lt; 4</formula>
    </cfRule>
  </conditionalFormatting>
  <conditionalFormatting sqref="F69:G69">
    <cfRule type="expression" dxfId="1425" priority="55">
      <formula>kvartal &lt; 4</formula>
    </cfRule>
  </conditionalFormatting>
  <conditionalFormatting sqref="F72:G72">
    <cfRule type="expression" dxfId="1424" priority="54">
      <formula>kvartal &lt; 4</formula>
    </cfRule>
  </conditionalFormatting>
  <conditionalFormatting sqref="F80:G80">
    <cfRule type="expression" dxfId="1423" priority="53">
      <formula>kvartal &lt; 4</formula>
    </cfRule>
  </conditionalFormatting>
  <conditionalFormatting sqref="F83:G83">
    <cfRule type="expression" dxfId="1422" priority="52">
      <formula>kvartal &lt; 4</formula>
    </cfRule>
  </conditionalFormatting>
  <conditionalFormatting sqref="F90:G90">
    <cfRule type="expression" dxfId="1421" priority="46">
      <formula>kvartal &lt; 4</formula>
    </cfRule>
  </conditionalFormatting>
  <conditionalFormatting sqref="F93">
    <cfRule type="expression" dxfId="1420" priority="45">
      <formula>kvartal &lt; 4</formula>
    </cfRule>
  </conditionalFormatting>
  <conditionalFormatting sqref="G93">
    <cfRule type="expression" dxfId="1419" priority="44">
      <formula>kvartal &lt; 4</formula>
    </cfRule>
  </conditionalFormatting>
  <conditionalFormatting sqref="F101">
    <cfRule type="expression" dxfId="1418" priority="43">
      <formula>kvartal &lt; 4</formula>
    </cfRule>
  </conditionalFormatting>
  <conditionalFormatting sqref="G101">
    <cfRule type="expression" dxfId="1417" priority="42">
      <formula>kvartal &lt; 4</formula>
    </cfRule>
  </conditionalFormatting>
  <conditionalFormatting sqref="G104">
    <cfRule type="expression" dxfId="1416" priority="41">
      <formula>kvartal &lt; 4</formula>
    </cfRule>
  </conditionalFormatting>
  <conditionalFormatting sqref="F104">
    <cfRule type="expression" dxfId="1415" priority="40">
      <formula>kvartal &lt; 4</formula>
    </cfRule>
  </conditionalFormatting>
  <conditionalFormatting sqref="J69:K73">
    <cfRule type="expression" dxfId="1414" priority="39">
      <formula>kvartal &lt; 4</formula>
    </cfRule>
  </conditionalFormatting>
  <conditionalFormatting sqref="J74:K74">
    <cfRule type="expression" dxfId="1413" priority="38">
      <formula>kvartal &lt; 4</formula>
    </cfRule>
  </conditionalFormatting>
  <conditionalFormatting sqref="J80:K85">
    <cfRule type="expression" dxfId="1412" priority="37">
      <formula>kvartal &lt; 4</formula>
    </cfRule>
  </conditionalFormatting>
  <conditionalFormatting sqref="J90:K95">
    <cfRule type="expression" dxfId="1411" priority="34">
      <formula>kvartal &lt; 4</formula>
    </cfRule>
  </conditionalFormatting>
  <conditionalFormatting sqref="J101:K106">
    <cfRule type="expression" dxfId="1410" priority="33">
      <formula>kvartal &lt; 4</formula>
    </cfRule>
  </conditionalFormatting>
  <conditionalFormatting sqref="J115:K115">
    <cfRule type="expression" dxfId="1409" priority="32">
      <formula>kvartal &lt; 4</formula>
    </cfRule>
  </conditionalFormatting>
  <conditionalFormatting sqref="J123:K123">
    <cfRule type="expression" dxfId="1408" priority="31">
      <formula>kvartal &lt; 4</formula>
    </cfRule>
  </conditionalFormatting>
  <conditionalFormatting sqref="A50:A52">
    <cfRule type="expression" dxfId="1407" priority="12">
      <formula>kvartal &lt; 4</formula>
    </cfRule>
  </conditionalFormatting>
  <conditionalFormatting sqref="A69:A74">
    <cfRule type="expression" dxfId="1406" priority="10">
      <formula>kvartal &lt; 4</formula>
    </cfRule>
  </conditionalFormatting>
  <conditionalFormatting sqref="A80:A85">
    <cfRule type="expression" dxfId="1405" priority="9">
      <formula>kvartal &lt; 4</formula>
    </cfRule>
  </conditionalFormatting>
  <conditionalFormatting sqref="A90:A95">
    <cfRule type="expression" dxfId="1404" priority="6">
      <formula>kvartal &lt; 4</formula>
    </cfRule>
  </conditionalFormatting>
  <conditionalFormatting sqref="A101:A106">
    <cfRule type="expression" dxfId="1403" priority="5">
      <formula>kvartal &lt; 4</formula>
    </cfRule>
  </conditionalFormatting>
  <conditionalFormatting sqref="A115">
    <cfRule type="expression" dxfId="1402" priority="4">
      <formula>kvartal &lt; 4</formula>
    </cfRule>
  </conditionalFormatting>
  <conditionalFormatting sqref="A123">
    <cfRule type="expression" dxfId="1401"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g E A A B Q S w M E F A A C A A g A s V 1 p T 1 m b H C u o A A A A + Q A A A B I A H A B D b 2 5 m a W c v U G F j a 2 F n Z S 5 4 b W w g o h g A K K A U A A A A A A A A A A A A A A A A A A A A A A A A A A A A h Y 9 B D o I w F E S v Q r q n H 0 p E Q z 5 l 4 V b U x M S 4 r V C h E Y q h R b i b C 4 / k F S R R 1 J 3 L m b x J 3 j x u d 0 y G u n K u s j W q 0 T H x q U c c q b M m V 7 q I S W d P 7 o I k H L c i O 4 t C O i O s T T Q Y F Z P S 2 k s E 0 P c 9 7 Q P a t A U w z / P h k K 5 2 W S l r 4 S p t r N C Z J J 9 V / n 9 F O O 5 f M p z R M K S z Y B 5 S P 2 Q M Y e o x V f r L s F G Z e g g / J S 6 7 y n a t 5 P r o r j c I U 0 R 4 3 + B P U E s D B B Q A A g A I A L F d a 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x X W l P 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C x X W l P W Z s c K 6 g A A A D 5 A A A A E g A A A A A A A A A A A A A A A A A A A A A A Q 2 9 u Z m l n L 1 B h Y 2 t h Z 2 U u e G 1 s U E s B A i 0 A F A A C A A g A s V 1 p T w / K 6 a u k A A A A 6 Q A A A B M A A A A A A A A A A A A A A A A A 9 A A A A F t D b 2 5 0 Z W 5 0 X 1 R 5 c G V z X S 5 4 b W x Q S w E C L Q A U A A I A C A C x X W l P B v r 5 6 f 4 A A A B i A Q A A E w A A A A A A A A A A A A A A A A D l A Q A A R m 9 y b X V s Y X M v U 2 V j d G l v b j E u b V B L B Q Y A A A A A A w A D A M I A A A A w 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D C w A A A A A A A K E 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x h c 3 R V c G R h d G V k I i B W Y W x 1 Z T 0 i Z D I w M T k t M T E t M D l U M T A 6 N D M 6 M D Y u O D I 1 N z Q 4 N l o i I C 8 + P E V u d H J 5 I F R 5 c G U 9 I k Z p b G x D b 2 x 1 b W 5 U e X B l c y I g V m F s d W U 9 I n N C Z 0 l D Q W d J Q 0 F n V T 0 i I C 8 + P E V u d H J 5 I F R 5 c G U 9 I k Z p b G x F c n J v c k N v d W 5 0 I i B W Y W x 1 Z T 0 i b D A 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F c n J v c k N v Z G U i I F Z h b H V l P S J z V W 5 r b m 9 3 b i I g L z 4 8 R W 5 0 c n k g V H l w Z T 0 i R m l s b E N v d W 5 0 I i B W Y W x 1 Z T 0 i b D Y 4 N j Q i I C 8 + P E V u d H J 5 I F R 5 c G U 9 I k Z p b G x T d G F 0 d X M i I F Z h b H V l P S J z Q 2 9 t c G x l d G U i I C 8 + P E V u d H J 5 I F R 5 c G U 9 I k F k Z G V k V G 9 E Y X R h T W 9 k Z W w i I F Z h b H V l P S J s M C I g L z 4 8 R W 5 0 c n k g V H l w Z T 0 i U m V s Y X R p b 2 5 z a G l w S W 5 m b 0 N v b n R h a W 5 l c i I g V m F s d W U 9 I n N 7 J n F 1 b 3 Q 7 Y 2 9 s d W 1 u Q 2 9 1 b n Q m c X V v d D s 6 O C w m c X V v d D t r Z X l D b 2 x 1 b W 5 O Y W 1 l c y Z x d W 9 0 O z p b X S w m c X V v d D t x d W V y e V J l b G F 0 a W 9 u c 2 h p c H M m c X V v d D s 6 W 1 0 s J n F 1 b 3 Q 7 Y 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Q 2 9 s d W 1 u Q 2 9 1 b n Q m c X V v d D s 6 O C w m c X V v d D t L Z X l D b 2 x 1 b W 5 O Y W 1 l c y Z x d W 9 0 O z p b X S w m c X V v d D t D 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S Z W x h d G l v b n N o a X B J b m Z v J n F 1 b 3 Q 7 O l t d f 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A C 7 b A t L x L E m S J C o d V 3 w D j Q A A A A A C A A A A A A A D Z g A A w A A A A B A A A A A r n 1 U 5 M 9 m h M x C B y k D v 4 f Q 2 A A A A A A S A A A C g A A A A E A A A A E 4 o V 2 V X T g 3 n 1 9 c P b I 2 2 p s R Q A A A A p 5 1 Y m 8 F g w I m 6 K z K W I k Q R q l e O W D S s 4 2 P / 4 I M O k V E G g / E j l s m J e c g D A d X 8 h t / 9 p 6 E F C 0 e x J + 5 T C s Y 2 m i 9 G w B T F Q g G j 4 R F N R 0 T O S K 2 i m 3 5 x L Y 8 U A A A A 2 B j 4 N R i B F X Q 2 i f d D m R Q x Q I f U X b s = < / 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2020-123998358-368</_dlc_DocId>
    <_dlc_DocIdUrl xmlns="6edf9311-6556-4af2-85ff-d57844cfe120">
      <Url>https://finansnorge.sharepoint.com/sites/intranett/arkiv/_layouts/15/DocIdRedir.aspx?ID=2020-123998358-368</Url>
      <Description>2020-123998358-368</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51DF6022-ACDA-41C6-8222-F04DB039B666}"/>
</file>

<file path=customXml/itemProps3.xml><?xml version="1.0" encoding="utf-8"?>
<ds:datastoreItem xmlns:ds="http://schemas.openxmlformats.org/officeDocument/2006/customXml" ds:itemID="{AB7308CB-B2C2-4705-91FA-3F8868D61495}"/>
</file>

<file path=customXml/itemProps4.xml><?xml version="1.0" encoding="utf-8"?>
<ds:datastoreItem xmlns:ds="http://schemas.openxmlformats.org/officeDocument/2006/customXml" ds:itemID="{4ED0F822-DD3F-4329-BC75-9E2A17F46B94}"/>
</file>

<file path=customXml/itemProps5.xml><?xml version="1.0" encoding="utf-8"?>
<ds:datastoreItem xmlns:ds="http://schemas.openxmlformats.org/officeDocument/2006/customXml" ds:itemID="{2CD15B45-F390-4CB2-8C28-2AFD6E47B5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3</vt:i4>
      </vt:variant>
    </vt:vector>
  </HeadingPairs>
  <TitlesOfParts>
    <vt:vector size="36" baseType="lpstr">
      <vt:lpstr>Forside</vt:lpstr>
      <vt:lpstr>Innhold</vt:lpstr>
      <vt:lpstr>Figurer</vt:lpstr>
      <vt:lpstr>Tabel 1.1</vt:lpstr>
      <vt:lpstr>Tabell 1.2</vt:lpstr>
      <vt:lpstr>Tabell 1.3</vt:lpstr>
      <vt:lpstr>Skjema total MA</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Landkreditt Forsikring</vt:lpstr>
      <vt:lpstr>Insr</vt:lpstr>
      <vt:lpstr>Nordea Liv </vt:lpstr>
      <vt:lpstr>Oslo Pensjonsforsikring</vt:lpstr>
      <vt:lpstr>Protector Forsikring</vt:lpstr>
      <vt:lpstr>SHB Liv</vt:lpstr>
      <vt:lpstr>Sparebank 1</vt:lpstr>
      <vt:lpstr>Storebrand Livsforsikring</vt:lpstr>
      <vt:lpstr>Telenor Forsikring</vt:lpstr>
      <vt:lpstr>Tryg Forsikring</vt:lpstr>
      <vt:lpstr>Tabell 4</vt:lpstr>
      <vt:lpstr>Tabell 6</vt:lpstr>
      <vt:lpstr>Tabell 8</vt:lpstr>
      <vt:lpstr>Noter og kommentarer</vt:lpstr>
      <vt:lpstr>Insr!Utskriftsområde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2020-01-28T12:01:06Z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b1484b98-8569-4621-bf46-b5fbd3c2e249</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