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sharedStrings.xml" ContentType="application/vnd.openxmlformats-officedocument.spreadsheetml.sharedStrings+xml"/>
  <Override PartName="/xl/worksheets/sheet1.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styles.xml" ContentType="application/vnd.openxmlformats-officedocument.spreadsheetml.styles+xml"/>
  <Override PartName="/xl/worksheets/sheet21.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25.xml" ContentType="application/vnd.openxmlformats-officedocument.spreadsheetml.worksheet+xml"/>
  <Override PartName="/xl/worksheets/sheet30.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2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onnections.xml" ContentType="application/vnd.openxmlformats-officedocument.spreadsheetml.connection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O:\Statistikk og analyse\Livstatistikk\Faste statistikker\MA\2018\Q3\Publisert\"/>
    </mc:Choice>
  </mc:AlternateContent>
  <xr:revisionPtr revIDLastSave="0" documentId="10_ncr:100000_{868D3870-45CF-49AB-B2EC-D261A56BE9C9}" xr6:coauthVersionLast="31" xr6:coauthVersionMax="31" xr10:uidLastSave="{00000000-0000-0000-0000-000000000000}"/>
  <bookViews>
    <workbookView xWindow="4275" yWindow="4305" windowWidth="10710" windowHeight="3225"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ACE European Group" sheetId="16" r:id="rId8"/>
    <sheet name="Danica Pensjonsforsikring" sheetId="18" r:id="rId9"/>
    <sheet name="DNB Livsforsikring" sheetId="13" r:id="rId10"/>
    <sheet name="Eika Forsikring AS" sheetId="19" r:id="rId11"/>
    <sheet name="Frende Livsforsikring" sheetId="20" r:id="rId12"/>
    <sheet name="Frende Skadeforsikring" sheetId="21" r:id="rId13"/>
    <sheet name="Gjensidige Forsikring" sheetId="22" r:id="rId14"/>
    <sheet name="Gjensidige Pensjon" sheetId="23" r:id="rId15"/>
    <sheet name="Handelsbanken Liv" sheetId="24" r:id="rId16"/>
    <sheet name="If Skadeforsikring NUF" sheetId="25" r:id="rId17"/>
    <sheet name="KLP" sheetId="26" r:id="rId18"/>
    <sheet name="KLP Bedriftspensjon AS" sheetId="27" r:id="rId19"/>
    <sheet name="KLP Skadeforsikring AS" sheetId="51" r:id="rId20"/>
    <sheet name="Landbruksforsikring AS" sheetId="40" r:id="rId21"/>
    <sheet name="NEMI Forsikring" sheetId="41" r:id="rId22"/>
    <sheet name="Nordea Liv " sheetId="29" r:id="rId23"/>
    <sheet name="Oslo Pensjonsforsikring" sheetId="34" r:id="rId24"/>
    <sheet name="Protector Forsikring" sheetId="72" r:id="rId25"/>
    <sheet name="SHB Liv" sheetId="35" r:id="rId26"/>
    <sheet name="Sparebank 1" sheetId="33" r:id="rId27"/>
    <sheet name="Storebrand Livsforsikring" sheetId="37" r:id="rId28"/>
    <sheet name="Telenor Forsikring" sheetId="38" r:id="rId29"/>
    <sheet name="Tryg Forsikring" sheetId="39" r:id="rId30"/>
    <sheet name="Tabell 4" sheetId="65" r:id="rId31"/>
    <sheet name="Tabell 6" sheetId="62" r:id="rId32"/>
    <sheet name="Tabell 8 " sheetId="73" r:id="rId33"/>
    <sheet name="Noter og kommentarer" sheetId="3" r:id="rId34"/>
  </sheets>
  <externalReferences>
    <externalReference r:id="rId35"/>
    <externalReference r:id="rId36"/>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7">'ACE European Group'!$A$1:$M$137</definedName>
    <definedName name="_xlnm.Print_Area" localSheetId="21">'NEMI Forsikring'!$A$1:$M$137</definedName>
    <definedName name="_xlnm.Print_Area" localSheetId="33">'Noter og kommentarer'!$A$1:$L$43</definedName>
    <definedName name="_xlnm.Print_Area" localSheetId="6">'Skjema total MA'!$A$1:$J$138</definedName>
    <definedName name="år">#REF!</definedName>
    <definedName name="ÅrFratrekk">#REF!</definedName>
  </definedNames>
  <calcPr calcId="179017"/>
</workbook>
</file>

<file path=xl/calcChain.xml><?xml version="1.0" encoding="utf-8"?>
<calcChain xmlns="http://schemas.openxmlformats.org/spreadsheetml/2006/main">
  <c r="AH58" i="62" l="1"/>
  <c r="AH24" i="62"/>
  <c r="AB78" i="62"/>
  <c r="AB77" i="62"/>
  <c r="AB76" i="62"/>
  <c r="S78" i="62"/>
  <c r="S82" i="62"/>
  <c r="S84" i="62"/>
  <c r="P73" i="62"/>
  <c r="D58" i="62"/>
  <c r="L33" i="18" l="1"/>
  <c r="L32" i="18"/>
  <c r="L31" i="18"/>
  <c r="L30" i="18"/>
  <c r="L27" i="18"/>
  <c r="L26" i="18"/>
  <c r="L25" i="18"/>
  <c r="L23" i="18"/>
  <c r="H33" i="18"/>
  <c r="H32" i="18"/>
  <c r="H31" i="18"/>
  <c r="H30" i="18"/>
  <c r="H26" i="18"/>
  <c r="H25" i="18"/>
  <c r="H23" i="18"/>
  <c r="D24" i="29"/>
  <c r="D23" i="29"/>
  <c r="L24" i="24"/>
  <c r="L31" i="24"/>
  <c r="I32" i="20"/>
  <c r="H25" i="13"/>
  <c r="H24" i="13"/>
  <c r="H23" i="13"/>
  <c r="H32" i="13"/>
  <c r="H31" i="13"/>
  <c r="H30" i="13"/>
  <c r="L32" i="13"/>
  <c r="L31" i="13"/>
  <c r="L30" i="13"/>
  <c r="L25" i="13"/>
  <c r="L24" i="13"/>
  <c r="L23" i="13"/>
  <c r="D32" i="13"/>
  <c r="D31" i="13"/>
  <c r="D30" i="13"/>
  <c r="D25" i="13"/>
  <c r="D24" i="13"/>
  <c r="D23" i="13"/>
  <c r="AA14" i="73" l="1"/>
  <c r="X14" i="73" l="1"/>
  <c r="AG18" i="73" l="1"/>
  <c r="AF18" i="73"/>
  <c r="AH18" i="73" s="1"/>
  <c r="AE18" i="73"/>
  <c r="AB18" i="73"/>
  <c r="Y18" i="73"/>
  <c r="V18" i="73"/>
  <c r="S18" i="73"/>
  <c r="P18" i="73"/>
  <c r="G18" i="73"/>
  <c r="AG16" i="73"/>
  <c r="AF16" i="73"/>
  <c r="AE16" i="73"/>
  <c r="AB16" i="73"/>
  <c r="Y16" i="73"/>
  <c r="V16" i="73"/>
  <c r="S16" i="73"/>
  <c r="P16" i="73"/>
  <c r="M16" i="73"/>
  <c r="G16" i="73"/>
  <c r="D16" i="73"/>
  <c r="AH14" i="73"/>
  <c r="AE14" i="73"/>
  <c r="AB14" i="73"/>
  <c r="Y14" i="73"/>
  <c r="V14" i="73"/>
  <c r="S14" i="73"/>
  <c r="P14" i="73"/>
  <c r="M14" i="73"/>
  <c r="J14" i="73"/>
  <c r="G14" i="73"/>
  <c r="AH12" i="73"/>
  <c r="AE12" i="73"/>
  <c r="AB12" i="73"/>
  <c r="Y12" i="73"/>
  <c r="V12" i="73"/>
  <c r="S12" i="73"/>
  <c r="P12" i="73"/>
  <c r="M12" i="73"/>
  <c r="G12" i="73"/>
  <c r="D12" i="73"/>
  <c r="AH11" i="73"/>
  <c r="AE11" i="73"/>
  <c r="AB11" i="73"/>
  <c r="Y11" i="73"/>
  <c r="V11" i="73"/>
  <c r="S11" i="73"/>
  <c r="P11" i="73"/>
  <c r="M11" i="73"/>
  <c r="G11" i="73"/>
  <c r="D11" i="73"/>
  <c r="AH16" i="73" l="1"/>
  <c r="AP20" i="65"/>
  <c r="AP17" i="65"/>
  <c r="AP16" i="65"/>
  <c r="AP15" i="65"/>
  <c r="AP13" i="65"/>
  <c r="AP12" i="65"/>
  <c r="AO20" i="65"/>
  <c r="AO19" i="65"/>
  <c r="AO17" i="65"/>
  <c r="AO16" i="65"/>
  <c r="AO15" i="65"/>
  <c r="AO13" i="65"/>
  <c r="AO12" i="65"/>
  <c r="AO11" i="65"/>
  <c r="AM44" i="65"/>
  <c r="AM42" i="65"/>
  <c r="AM39" i="65"/>
  <c r="AM38" i="65"/>
  <c r="AM37" i="65"/>
  <c r="AM33" i="65"/>
  <c r="AM32" i="65"/>
  <c r="AM31" i="65"/>
  <c r="AM30" i="65"/>
  <c r="AM28" i="65"/>
  <c r="AM27" i="65"/>
  <c r="AM26" i="65"/>
  <c r="AM25" i="65"/>
  <c r="AM24" i="65"/>
  <c r="AM20" i="65"/>
  <c r="AM17" i="65"/>
  <c r="AM16" i="65"/>
  <c r="AM15" i="65"/>
  <c r="AM13" i="65"/>
  <c r="AM12" i="65"/>
  <c r="AL44" i="65"/>
  <c r="AL42" i="65"/>
  <c r="AL39" i="65"/>
  <c r="AL38" i="65"/>
  <c r="AL37" i="65"/>
  <c r="AL33" i="65"/>
  <c r="AL32" i="65"/>
  <c r="AL31" i="65"/>
  <c r="AL30" i="65"/>
  <c r="AL28" i="65"/>
  <c r="AL27" i="65"/>
  <c r="AL26" i="65"/>
  <c r="AL25" i="65"/>
  <c r="AL24" i="65"/>
  <c r="AL23" i="65"/>
  <c r="AL20" i="65"/>
  <c r="AL19" i="65"/>
  <c r="AL17" i="65"/>
  <c r="AL16" i="65"/>
  <c r="AL15" i="65"/>
  <c r="AL13" i="65"/>
  <c r="AL12" i="65"/>
  <c r="AL11" i="65"/>
  <c r="AP89" i="62"/>
  <c r="AP88" i="62"/>
  <c r="AP87" i="62"/>
  <c r="AP86" i="62"/>
  <c r="AP84" i="62"/>
  <c r="AP83" i="62"/>
  <c r="AP82" i="62"/>
  <c r="AP81" i="62"/>
  <c r="AP78" i="62"/>
  <c r="AP77" i="62"/>
  <c r="AP76" i="62"/>
  <c r="AP75" i="62"/>
  <c r="AP74" i="62"/>
  <c r="AP73" i="62"/>
  <c r="AP71" i="62"/>
  <c r="AP70" i="62"/>
  <c r="AP69" i="62"/>
  <c r="AP68" i="62"/>
  <c r="AP61" i="62"/>
  <c r="AP58" i="62"/>
  <c r="AP57" i="62"/>
  <c r="AP56" i="62"/>
  <c r="AP53" i="62"/>
  <c r="AP52" i="62"/>
  <c r="AP51" i="62"/>
  <c r="AP49" i="62"/>
  <c r="AP48" i="62"/>
  <c r="AP46" i="62"/>
  <c r="AP44" i="62"/>
  <c r="AP43" i="62"/>
  <c r="AP42" i="62"/>
  <c r="AP41" i="62"/>
  <c r="AP40" i="62"/>
  <c r="AP37" i="62"/>
  <c r="AP36" i="62"/>
  <c r="AP33" i="62"/>
  <c r="AP26" i="62"/>
  <c r="AP25" i="62"/>
  <c r="AP24" i="62"/>
  <c r="AP23" i="62"/>
  <c r="AP22" i="62"/>
  <c r="AP21" i="62"/>
  <c r="AP18" i="62"/>
  <c r="AP17" i="62"/>
  <c r="AP15" i="62"/>
  <c r="AP14" i="62"/>
  <c r="AO89" i="62"/>
  <c r="AO88" i="62"/>
  <c r="AO87" i="62"/>
  <c r="AO86" i="62"/>
  <c r="AO84" i="62"/>
  <c r="AO83" i="62"/>
  <c r="AO82" i="62"/>
  <c r="AO81" i="62"/>
  <c r="AO78" i="62"/>
  <c r="AO77" i="62"/>
  <c r="AO76" i="62"/>
  <c r="AO75" i="62"/>
  <c r="AO74" i="62"/>
  <c r="AO73" i="62"/>
  <c r="AO71" i="62"/>
  <c r="AO70" i="62"/>
  <c r="AO69" i="62"/>
  <c r="AO68" i="62"/>
  <c r="AO61" i="62"/>
  <c r="AO59" i="62"/>
  <c r="AO58" i="62"/>
  <c r="AO57" i="62"/>
  <c r="AO56" i="62"/>
  <c r="AO55" i="62"/>
  <c r="AO53" i="62"/>
  <c r="AO52" i="62"/>
  <c r="AO51" i="62"/>
  <c r="AO49" i="62"/>
  <c r="AO48" i="62"/>
  <c r="AO46" i="62"/>
  <c r="AO44" i="62"/>
  <c r="AO43" i="62"/>
  <c r="AO42" i="62"/>
  <c r="AO41" i="62"/>
  <c r="AO40" i="62"/>
  <c r="AO38" i="62"/>
  <c r="AO37" i="62"/>
  <c r="AO36" i="62"/>
  <c r="AO34" i="62"/>
  <c r="AO33" i="62"/>
  <c r="AO28" i="62"/>
  <c r="AO26" i="62"/>
  <c r="AO25" i="62"/>
  <c r="AO24" i="62"/>
  <c r="AO23" i="62"/>
  <c r="AO22" i="62"/>
  <c r="AO21" i="62"/>
  <c r="AO19" i="62"/>
  <c r="AO18" i="62"/>
  <c r="AO17" i="62"/>
  <c r="AO15" i="62"/>
  <c r="AO14" i="62"/>
  <c r="AM89" i="62"/>
  <c r="AM88" i="62"/>
  <c r="AM87" i="62"/>
  <c r="AM86" i="62"/>
  <c r="AM84" i="62"/>
  <c r="AM83" i="62"/>
  <c r="AM82" i="62"/>
  <c r="AM81" i="62"/>
  <c r="AM78" i="62"/>
  <c r="AM77" i="62"/>
  <c r="AM76" i="62"/>
  <c r="AM75" i="62"/>
  <c r="AM74" i="62"/>
  <c r="AM73" i="62"/>
  <c r="AM71" i="62"/>
  <c r="AM70" i="62"/>
  <c r="AM69" i="62"/>
  <c r="AM68" i="62"/>
  <c r="AM61" i="62"/>
  <c r="AM58" i="62"/>
  <c r="AM57" i="62"/>
  <c r="AM56" i="62"/>
  <c r="AM53" i="62"/>
  <c r="AM52" i="62"/>
  <c r="AM51" i="62"/>
  <c r="AM49" i="62"/>
  <c r="AM48" i="62"/>
  <c r="AM46" i="62"/>
  <c r="AM44" i="62"/>
  <c r="AM43" i="62"/>
  <c r="AM42" i="62"/>
  <c r="AM41" i="62"/>
  <c r="AM40" i="62"/>
  <c r="AM37" i="62"/>
  <c r="AM36" i="62"/>
  <c r="AM33" i="62"/>
  <c r="AM26" i="62"/>
  <c r="AM25" i="62"/>
  <c r="AM24" i="62"/>
  <c r="AM23" i="62"/>
  <c r="AM22" i="62"/>
  <c r="AM21" i="62"/>
  <c r="AM18" i="62"/>
  <c r="AM17" i="62"/>
  <c r="AM15" i="62"/>
  <c r="AM14" i="62"/>
  <c r="AL89" i="62"/>
  <c r="AL88" i="62"/>
  <c r="AL87" i="62"/>
  <c r="AL86" i="62"/>
  <c r="AL84" i="62"/>
  <c r="AL83" i="62"/>
  <c r="AL82" i="62"/>
  <c r="AL81" i="62"/>
  <c r="AL78" i="62"/>
  <c r="AL77" i="62"/>
  <c r="AL76" i="62"/>
  <c r="AL71" i="62"/>
  <c r="AL70" i="62"/>
  <c r="AL69" i="62"/>
  <c r="AL68" i="62"/>
  <c r="AL61" i="62"/>
  <c r="AL59" i="62"/>
  <c r="AL58" i="62"/>
  <c r="AL57" i="62"/>
  <c r="AL56" i="62"/>
  <c r="AL55" i="62"/>
  <c r="AL53" i="62"/>
  <c r="AL52" i="62"/>
  <c r="AL51" i="62"/>
  <c r="AL49" i="62"/>
  <c r="AL48" i="62"/>
  <c r="AL46" i="62"/>
  <c r="AL44" i="62"/>
  <c r="AL43" i="62"/>
  <c r="AL42" i="62"/>
  <c r="AL41" i="62"/>
  <c r="AL40" i="62"/>
  <c r="AL38" i="62"/>
  <c r="AL37" i="62"/>
  <c r="AL36" i="62"/>
  <c r="AL34" i="62"/>
  <c r="AL33" i="62"/>
  <c r="AL28" i="62"/>
  <c r="AL26" i="62"/>
  <c r="AL25" i="62"/>
  <c r="AL24" i="62"/>
  <c r="AL23" i="62"/>
  <c r="AL22" i="62"/>
  <c r="AL21" i="62"/>
  <c r="AL19" i="62"/>
  <c r="AL18" i="62"/>
  <c r="AL17" i="62"/>
  <c r="AL15" i="62"/>
  <c r="AL14" i="62"/>
  <c r="AL75" i="62"/>
  <c r="AL74" i="62"/>
  <c r="AL73" i="62"/>
  <c r="L26" i="37"/>
  <c r="L25" i="37"/>
  <c r="L24" i="37"/>
  <c r="L23" i="37"/>
  <c r="H33" i="37"/>
  <c r="H32" i="37"/>
  <c r="H31" i="37"/>
  <c r="H30" i="37"/>
  <c r="H26" i="37"/>
  <c r="H25" i="37"/>
  <c r="H24" i="37"/>
  <c r="H23" i="37"/>
  <c r="D31" i="37"/>
  <c r="D30" i="37"/>
  <c r="D24" i="37"/>
  <c r="D23" i="37"/>
  <c r="L33" i="33"/>
  <c r="L32" i="33"/>
  <c r="L31" i="33"/>
  <c r="L30" i="33"/>
  <c r="D31" i="33"/>
  <c r="D30" i="33"/>
  <c r="H33" i="33"/>
  <c r="H32" i="33"/>
  <c r="H31" i="33"/>
  <c r="H30" i="33"/>
  <c r="L26" i="33"/>
  <c r="L25" i="33"/>
  <c r="L24" i="33"/>
  <c r="L23" i="33"/>
  <c r="H26" i="33"/>
  <c r="H25" i="33"/>
  <c r="H24" i="33"/>
  <c r="H23" i="33"/>
  <c r="D24" i="33"/>
  <c r="D23" i="33"/>
  <c r="L23" i="35"/>
  <c r="L26" i="35"/>
  <c r="L31" i="35"/>
  <c r="L30" i="35"/>
  <c r="L33" i="35"/>
  <c r="H33" i="35"/>
  <c r="H31" i="35"/>
  <c r="H30" i="35"/>
  <c r="H23" i="35"/>
  <c r="H26" i="35"/>
  <c r="L33" i="29" l="1"/>
  <c r="H33" i="29"/>
  <c r="H32" i="29"/>
  <c r="H31" i="29"/>
  <c r="H30" i="29"/>
  <c r="D32" i="29"/>
  <c r="D31" i="29"/>
  <c r="D30" i="29"/>
  <c r="L26" i="29"/>
  <c r="L25" i="29"/>
  <c r="L24" i="29"/>
  <c r="L23" i="29"/>
  <c r="H23" i="29"/>
  <c r="H26" i="29"/>
  <c r="H25" i="29"/>
  <c r="D31" i="24"/>
  <c r="D24" i="24"/>
  <c r="L33" i="23"/>
  <c r="L32" i="23"/>
  <c r="L31" i="23"/>
  <c r="L30" i="23"/>
  <c r="H33" i="23"/>
  <c r="H32" i="23"/>
  <c r="H31" i="23"/>
  <c r="H30" i="23"/>
  <c r="L23" i="23"/>
  <c r="L26" i="23"/>
  <c r="L25" i="23"/>
  <c r="H23" i="23"/>
  <c r="H26" i="23"/>
  <c r="H25" i="23"/>
  <c r="L33" i="20" l="1"/>
  <c r="L32" i="20"/>
  <c r="L30" i="20"/>
  <c r="H33" i="20"/>
  <c r="H32" i="20"/>
  <c r="D32" i="20"/>
  <c r="D30" i="20"/>
  <c r="L23" i="20"/>
  <c r="L26" i="20"/>
  <c r="L25" i="20"/>
  <c r="H26" i="20"/>
  <c r="H25" i="20"/>
  <c r="D23" i="20"/>
  <c r="D25" i="20"/>
  <c r="G76" i="62" l="1"/>
  <c r="F85" i="62"/>
  <c r="E85" i="62"/>
  <c r="F79" i="62"/>
  <c r="E79" i="62"/>
  <c r="F54" i="62"/>
  <c r="E54" i="62"/>
  <c r="E60" i="62" s="1"/>
  <c r="F39" i="62"/>
  <c r="E39" i="62"/>
  <c r="F35" i="62"/>
  <c r="E35" i="62"/>
  <c r="F20" i="62"/>
  <c r="E20" i="62"/>
  <c r="F16" i="62"/>
  <c r="E16" i="62"/>
  <c r="F40" i="65"/>
  <c r="E40" i="65"/>
  <c r="F29" i="65"/>
  <c r="E29" i="65"/>
  <c r="F21" i="65"/>
  <c r="E21" i="65"/>
  <c r="F14" i="65"/>
  <c r="F34" i="65" s="1"/>
  <c r="F41" i="65" s="1"/>
  <c r="F43" i="65" s="1"/>
  <c r="F45" i="65" s="1"/>
  <c r="E14" i="65"/>
  <c r="E34" i="65" l="1"/>
  <c r="E41" i="65" s="1"/>
  <c r="E43" i="65" s="1"/>
  <c r="E45" i="65" s="1"/>
  <c r="E27" i="62"/>
  <c r="E29" i="62" s="1"/>
  <c r="E45" i="62"/>
  <c r="E62" i="62" s="1"/>
  <c r="E91" i="62"/>
  <c r="F45" i="62"/>
  <c r="F27" i="62"/>
  <c r="F29" i="62" s="1"/>
  <c r="F60" i="62"/>
  <c r="F91" i="62"/>
  <c r="C85" i="62"/>
  <c r="B85" i="62"/>
  <c r="C79" i="62"/>
  <c r="B79" i="62"/>
  <c r="C59" i="62"/>
  <c r="B54" i="62"/>
  <c r="C39" i="62"/>
  <c r="B39" i="62"/>
  <c r="C28" i="62"/>
  <c r="C20" i="62"/>
  <c r="B20" i="62"/>
  <c r="C40" i="65"/>
  <c r="B40" i="65"/>
  <c r="B29" i="65"/>
  <c r="C23" i="65"/>
  <c r="B21" i="65"/>
  <c r="C19" i="65"/>
  <c r="B14" i="65"/>
  <c r="C11" i="65"/>
  <c r="E64" i="62" l="1"/>
  <c r="C27" i="62"/>
  <c r="C29" i="62" s="1"/>
  <c r="C45" i="62"/>
  <c r="B60" i="62"/>
  <c r="B27" i="62"/>
  <c r="B45" i="62"/>
  <c r="C54" i="62"/>
  <c r="AM59" i="62"/>
  <c r="AP59" i="62"/>
  <c r="C14" i="65"/>
  <c r="AP11" i="65"/>
  <c r="AM11" i="65"/>
  <c r="B34" i="65"/>
  <c r="C21" i="65"/>
  <c r="C29" i="65"/>
  <c r="AM23" i="65"/>
  <c r="C91" i="62"/>
  <c r="F62" i="62"/>
  <c r="F64" i="62" s="1"/>
  <c r="B91" i="62"/>
  <c r="C60" i="62"/>
  <c r="B29" i="62" l="1"/>
  <c r="C62" i="62"/>
  <c r="B62" i="62"/>
  <c r="B41" i="65"/>
  <c r="C34" i="65"/>
  <c r="I85" i="62"/>
  <c r="H85" i="62"/>
  <c r="I79" i="62"/>
  <c r="H79" i="62"/>
  <c r="I55" i="62"/>
  <c r="H54" i="62"/>
  <c r="I39" i="62"/>
  <c r="H39" i="62"/>
  <c r="I35" i="62"/>
  <c r="H35" i="62"/>
  <c r="I20" i="62"/>
  <c r="H20" i="62"/>
  <c r="I16" i="62"/>
  <c r="H16" i="62"/>
  <c r="I40" i="65"/>
  <c r="H40" i="65"/>
  <c r="I29" i="65"/>
  <c r="H29" i="65"/>
  <c r="I21" i="65"/>
  <c r="H21" i="65"/>
  <c r="I14" i="65"/>
  <c r="H14" i="65"/>
  <c r="I54" i="62" l="1"/>
  <c r="AM55" i="62"/>
  <c r="AP55" i="62"/>
  <c r="I91" i="62"/>
  <c r="C64" i="62"/>
  <c r="H60" i="62"/>
  <c r="H91" i="62"/>
  <c r="B64" i="62"/>
  <c r="C41" i="65"/>
  <c r="B43" i="65"/>
  <c r="H27" i="62"/>
  <c r="H45" i="62"/>
  <c r="H62" i="62" s="1"/>
  <c r="I60" i="62"/>
  <c r="I34" i="65"/>
  <c r="I41" i="65" s="1"/>
  <c r="I43" i="65" s="1"/>
  <c r="I45" i="65" s="1"/>
  <c r="I27" i="62"/>
  <c r="I45" i="62"/>
  <c r="H34" i="65"/>
  <c r="AA79" i="62"/>
  <c r="Z79" i="62"/>
  <c r="Z91" i="62" s="1"/>
  <c r="AA39" i="62"/>
  <c r="Z39" i="62"/>
  <c r="AA35" i="62"/>
  <c r="Z35" i="62"/>
  <c r="AA34" i="62"/>
  <c r="AA28" i="62"/>
  <c r="AA20" i="62"/>
  <c r="Z20" i="62"/>
  <c r="AA16" i="62"/>
  <c r="Z16" i="62"/>
  <c r="AA40" i="65"/>
  <c r="Z40" i="65"/>
  <c r="AA29" i="65"/>
  <c r="Z29" i="65"/>
  <c r="AA21" i="65"/>
  <c r="Z21" i="65"/>
  <c r="AA14" i="65"/>
  <c r="Z14" i="65"/>
  <c r="AM34" i="62" l="1"/>
  <c r="AP34" i="62"/>
  <c r="I29" i="62"/>
  <c r="H29" i="62"/>
  <c r="H41" i="65"/>
  <c r="C43" i="65"/>
  <c r="B45" i="65"/>
  <c r="I62" i="62"/>
  <c r="AA91" i="62"/>
  <c r="Z45" i="62"/>
  <c r="Z62" i="62" s="1"/>
  <c r="Z34" i="65"/>
  <c r="Z41" i="65" s="1"/>
  <c r="Z43" i="65" s="1"/>
  <c r="Z45" i="65" s="1"/>
  <c r="Z27" i="62"/>
  <c r="Z29" i="62" s="1"/>
  <c r="AA34" i="65"/>
  <c r="AA41" i="65" s="1"/>
  <c r="AA43" i="65" s="1"/>
  <c r="AA45" i="65" s="1"/>
  <c r="AA27" i="62"/>
  <c r="AA29" i="62" s="1"/>
  <c r="AA45" i="62"/>
  <c r="AJ85" i="62"/>
  <c r="AI85" i="62"/>
  <c r="AJ79" i="62"/>
  <c r="AI79" i="62"/>
  <c r="AJ54" i="62"/>
  <c r="AI54" i="62"/>
  <c r="AJ50" i="62"/>
  <c r="AI50" i="62"/>
  <c r="AJ39" i="62"/>
  <c r="AI39" i="62"/>
  <c r="AJ38" i="62"/>
  <c r="AI35" i="62"/>
  <c r="AJ28" i="62"/>
  <c r="AM28" i="62" s="1"/>
  <c r="AJ20" i="62"/>
  <c r="AI20" i="62"/>
  <c r="AJ19" i="62"/>
  <c r="AI16" i="62"/>
  <c r="AJ40" i="65"/>
  <c r="AI40" i="65"/>
  <c r="AJ29" i="65"/>
  <c r="AI29" i="65"/>
  <c r="AI21" i="65"/>
  <c r="AJ19" i="65"/>
  <c r="AJ21" i="65" s="1"/>
  <c r="AJ14" i="65"/>
  <c r="AI14" i="65"/>
  <c r="AJ16" i="62" l="1"/>
  <c r="AM19" i="62"/>
  <c r="AP19" i="62"/>
  <c r="I64" i="62"/>
  <c r="AJ35" i="62"/>
  <c r="AM38" i="62"/>
  <c r="AP38" i="62"/>
  <c r="AP28" i="62"/>
  <c r="H64" i="62"/>
  <c r="C45" i="65"/>
  <c r="H43" i="65"/>
  <c r="Z64" i="62"/>
  <c r="AI60" i="62"/>
  <c r="AJ45" i="62"/>
  <c r="AJ60" i="62"/>
  <c r="AJ91" i="62"/>
  <c r="AA62" i="62"/>
  <c r="AA64" i="62" s="1"/>
  <c r="AI34" i="65"/>
  <c r="AI41" i="65" s="1"/>
  <c r="AI43" i="65" s="1"/>
  <c r="AI45" i="65" s="1"/>
  <c r="AI27" i="62"/>
  <c r="AI29" i="62" s="1"/>
  <c r="AJ34" i="65"/>
  <c r="AJ41" i="65" s="1"/>
  <c r="AJ43" i="65" s="1"/>
  <c r="AJ45" i="65" s="1"/>
  <c r="AI45" i="62"/>
  <c r="AI62" i="62" s="1"/>
  <c r="AI91" i="62"/>
  <c r="AJ27" i="62"/>
  <c r="AJ29" i="62" s="1"/>
  <c r="H45" i="65" l="1"/>
  <c r="AI64" i="62"/>
  <c r="AJ62" i="62"/>
  <c r="AJ64" i="62" s="1"/>
  <c r="AG85" i="62"/>
  <c r="AF85" i="62"/>
  <c r="AG79" i="62"/>
  <c r="AF79" i="62"/>
  <c r="AG54" i="62"/>
  <c r="AF54" i="62"/>
  <c r="AF60" i="62" s="1"/>
  <c r="AG39" i="62"/>
  <c r="AF39" i="62"/>
  <c r="AG35" i="62"/>
  <c r="AF35" i="62"/>
  <c r="AG20" i="62"/>
  <c r="AF20" i="62"/>
  <c r="AG16" i="62"/>
  <c r="AF16" i="62"/>
  <c r="AG40" i="65"/>
  <c r="AF40" i="65"/>
  <c r="AG29" i="65"/>
  <c r="AF29" i="65"/>
  <c r="AG21" i="65"/>
  <c r="AF21" i="65"/>
  <c r="AG14" i="65"/>
  <c r="AF14" i="65"/>
  <c r="AF45" i="62" l="1"/>
  <c r="AG91" i="62"/>
  <c r="AF27" i="62"/>
  <c r="AF29" i="62" s="1"/>
  <c r="AG60" i="62"/>
  <c r="AG62" i="62" s="1"/>
  <c r="AG27" i="62"/>
  <c r="AG29" i="62" s="1"/>
  <c r="AG45" i="62"/>
  <c r="AF34" i="65"/>
  <c r="AF41" i="65" s="1"/>
  <c r="AF43" i="65" s="1"/>
  <c r="AF45" i="65" s="1"/>
  <c r="AG34" i="65"/>
  <c r="AG41" i="65" s="1"/>
  <c r="AG43" i="65" s="1"/>
  <c r="AG45" i="65" s="1"/>
  <c r="AF91" i="62"/>
  <c r="AF62" i="62"/>
  <c r="AG64" i="62" l="1"/>
  <c r="AF64" i="62"/>
  <c r="X85" i="62"/>
  <c r="W85" i="62"/>
  <c r="X79" i="62"/>
  <c r="W79" i="62"/>
  <c r="X54" i="62"/>
  <c r="W54" i="62"/>
  <c r="W60" i="62" s="1"/>
  <c r="X60" i="62"/>
  <c r="X39" i="62"/>
  <c r="W39" i="62"/>
  <c r="X35" i="62"/>
  <c r="W35" i="62"/>
  <c r="X20" i="62"/>
  <c r="W20" i="62"/>
  <c r="W27" i="62" s="1"/>
  <c r="W29" i="62" s="1"/>
  <c r="X16" i="62"/>
  <c r="X40" i="65"/>
  <c r="W40" i="65"/>
  <c r="X29" i="65"/>
  <c r="W29" i="65"/>
  <c r="X21" i="65"/>
  <c r="W21" i="65"/>
  <c r="X14" i="65"/>
  <c r="W14" i="65"/>
  <c r="W91" i="62" l="1"/>
  <c r="W34" i="65"/>
  <c r="W41" i="65" s="1"/>
  <c r="W43" i="65" s="1"/>
  <c r="W45" i="65" s="1"/>
  <c r="X27" i="62"/>
  <c r="X29" i="62" s="1"/>
  <c r="X34" i="65"/>
  <c r="X41" i="65" s="1"/>
  <c r="X43" i="65" s="1"/>
  <c r="X45" i="65" s="1"/>
  <c r="W45" i="62"/>
  <c r="W62" i="62" s="1"/>
  <c r="W64" i="62" s="1"/>
  <c r="X91" i="62"/>
  <c r="X45" i="62"/>
  <c r="X62" i="62" s="1"/>
  <c r="X64" i="62" l="1"/>
  <c r="U85" i="62"/>
  <c r="T85" i="62"/>
  <c r="U79" i="62"/>
  <c r="T79" i="62"/>
  <c r="U54" i="62"/>
  <c r="T54" i="62"/>
  <c r="T60" i="62" s="1"/>
  <c r="U39" i="62"/>
  <c r="T39" i="62"/>
  <c r="U35" i="62"/>
  <c r="T35" i="62"/>
  <c r="U20" i="62"/>
  <c r="T20" i="62"/>
  <c r="U16" i="62"/>
  <c r="T16" i="62"/>
  <c r="R85" i="62"/>
  <c r="Q85" i="62"/>
  <c r="R79" i="62"/>
  <c r="Q79" i="62"/>
  <c r="R54" i="62"/>
  <c r="Q54" i="62"/>
  <c r="R50" i="62"/>
  <c r="Q50" i="62"/>
  <c r="R39" i="62"/>
  <c r="Q39" i="62"/>
  <c r="R35" i="62"/>
  <c r="Q35" i="62"/>
  <c r="R20" i="62"/>
  <c r="Q20" i="62"/>
  <c r="R16" i="62"/>
  <c r="Q16" i="62"/>
  <c r="U40" i="65"/>
  <c r="T40" i="65"/>
  <c r="U29" i="65"/>
  <c r="T29" i="65"/>
  <c r="U21" i="65"/>
  <c r="T21" i="65"/>
  <c r="U14" i="65"/>
  <c r="T14" i="65"/>
  <c r="R40" i="65"/>
  <c r="Q40" i="65"/>
  <c r="R29" i="65"/>
  <c r="Q29" i="65"/>
  <c r="R21" i="65"/>
  <c r="Q21" i="65"/>
  <c r="R14" i="65"/>
  <c r="Q14" i="65"/>
  <c r="AL16" i="62" l="1"/>
  <c r="AO16" i="62"/>
  <c r="AL50" i="62"/>
  <c r="AO50" i="62"/>
  <c r="T91" i="62"/>
  <c r="Q34" i="65"/>
  <c r="Q27" i="62"/>
  <c r="Q29" i="62" s="1"/>
  <c r="Q60" i="62"/>
  <c r="T27" i="62"/>
  <c r="T29" i="62" s="1"/>
  <c r="U60" i="62"/>
  <c r="T34" i="65"/>
  <c r="T41" i="65" s="1"/>
  <c r="T43" i="65" s="1"/>
  <c r="T45" i="65" s="1"/>
  <c r="R27" i="62"/>
  <c r="R29" i="62" s="1"/>
  <c r="R60" i="62"/>
  <c r="U27" i="62"/>
  <c r="U29" i="62" s="1"/>
  <c r="R34" i="65"/>
  <c r="R41" i="65" s="1"/>
  <c r="R43" i="65" s="1"/>
  <c r="R45" i="65" s="1"/>
  <c r="Q41" i="65"/>
  <c r="Q43" i="65" s="1"/>
  <c r="Q45" i="65" s="1"/>
  <c r="Q45" i="62"/>
  <c r="Q91" i="62"/>
  <c r="T45" i="62"/>
  <c r="T62" i="62" s="1"/>
  <c r="U91" i="62"/>
  <c r="R45" i="62"/>
  <c r="R62" i="62" s="1"/>
  <c r="R91" i="62"/>
  <c r="U45" i="62"/>
  <c r="U34" i="65"/>
  <c r="U41" i="65" s="1"/>
  <c r="U43" i="65" s="1"/>
  <c r="U45" i="65" s="1"/>
  <c r="U62" i="62" l="1"/>
  <c r="R64" i="62"/>
  <c r="Q62" i="62"/>
  <c r="Q64" i="62"/>
  <c r="T64" i="62"/>
  <c r="U64" i="62"/>
  <c r="AD85" i="62"/>
  <c r="AC85" i="62"/>
  <c r="AC91" i="62" s="1"/>
  <c r="AD54" i="62"/>
  <c r="AC54" i="62"/>
  <c r="AC60" i="62" s="1"/>
  <c r="AC62" i="62" s="1"/>
  <c r="AC29" i="62"/>
  <c r="O85" i="62"/>
  <c r="O79" i="62"/>
  <c r="N79" i="62"/>
  <c r="N91" i="62" s="1"/>
  <c r="N29" i="62"/>
  <c r="N64" i="62" s="1"/>
  <c r="AD40" i="65"/>
  <c r="AC40" i="65"/>
  <c r="AD29" i="65"/>
  <c r="AD21" i="65"/>
  <c r="AC21" i="65"/>
  <c r="AD14" i="65"/>
  <c r="AC14" i="65"/>
  <c r="O40" i="65"/>
  <c r="N40" i="65"/>
  <c r="O29" i="65"/>
  <c r="N29" i="65"/>
  <c r="O21" i="65"/>
  <c r="N21" i="65"/>
  <c r="O14" i="65"/>
  <c r="N14" i="65"/>
  <c r="AD29" i="62" l="1"/>
  <c r="AC34" i="65"/>
  <c r="AD60" i="62"/>
  <c r="AD62" i="62" s="1"/>
  <c r="O27" i="62"/>
  <c r="O29" i="62" s="1"/>
  <c r="O91" i="62"/>
  <c r="AC41" i="65"/>
  <c r="AC43" i="65" s="1"/>
  <c r="AC45" i="65" s="1"/>
  <c r="O34" i="65"/>
  <c r="O41" i="65" s="1"/>
  <c r="O43" i="65" s="1"/>
  <c r="O45" i="65" s="1"/>
  <c r="AD91" i="62"/>
  <c r="N34" i="65"/>
  <c r="N41" i="65" s="1"/>
  <c r="N43" i="65" s="1"/>
  <c r="N45" i="65" s="1"/>
  <c r="AD34" i="65"/>
  <c r="AD41" i="65" s="1"/>
  <c r="AD43" i="65" s="1"/>
  <c r="AD45" i="65" s="1"/>
  <c r="AC64" i="62"/>
  <c r="AD64" i="62" l="1"/>
  <c r="O64" i="62"/>
  <c r="L85" i="62"/>
  <c r="K85" i="62"/>
  <c r="L79" i="62"/>
  <c r="K79" i="62"/>
  <c r="L54" i="62"/>
  <c r="K54" i="62"/>
  <c r="L39" i="62"/>
  <c r="K39" i="62"/>
  <c r="L35" i="62"/>
  <c r="K35" i="62"/>
  <c r="L20" i="62"/>
  <c r="K20" i="62"/>
  <c r="L60" i="62" l="1"/>
  <c r="AM50" i="62"/>
  <c r="AP50" i="62"/>
  <c r="AM35" i="62"/>
  <c r="AP35" i="62"/>
  <c r="K27" i="62"/>
  <c r="AO20" i="62"/>
  <c r="AL20" i="62"/>
  <c r="AM85" i="62"/>
  <c r="AP85" i="62"/>
  <c r="K45" i="62"/>
  <c r="AL35" i="62"/>
  <c r="AO35" i="62"/>
  <c r="L91" i="62"/>
  <c r="AM79" i="62"/>
  <c r="AP79" i="62"/>
  <c r="AM16" i="62"/>
  <c r="AP16" i="62"/>
  <c r="K60" i="62"/>
  <c r="AL54" i="62"/>
  <c r="AO54" i="62"/>
  <c r="AO85" i="62"/>
  <c r="AL85" i="62"/>
  <c r="AL39" i="62"/>
  <c r="AO39" i="62"/>
  <c r="AP54" i="62"/>
  <c r="AM54" i="62"/>
  <c r="AM20" i="62"/>
  <c r="AP20" i="62"/>
  <c r="AM39" i="62"/>
  <c r="AP39" i="62"/>
  <c r="AL79" i="62"/>
  <c r="AO79" i="62"/>
  <c r="L27" i="62"/>
  <c r="K91" i="62"/>
  <c r="L45" i="62"/>
  <c r="L62" i="62" l="1"/>
  <c r="AP45" i="62"/>
  <c r="AM45" i="62"/>
  <c r="AL60" i="62"/>
  <c r="AO60" i="62"/>
  <c r="AL45" i="62"/>
  <c r="AO45" i="62"/>
  <c r="L29" i="62"/>
  <c r="AM27" i="62"/>
  <c r="AP27" i="62"/>
  <c r="AP91" i="62"/>
  <c r="AM91" i="62"/>
  <c r="K29" i="62"/>
  <c r="AO27" i="62"/>
  <c r="AL27" i="62"/>
  <c r="AO91" i="62"/>
  <c r="AL91" i="62"/>
  <c r="K62" i="62"/>
  <c r="AM60" i="62"/>
  <c r="AP60" i="62"/>
  <c r="AJ8" i="65"/>
  <c r="AI8" i="65"/>
  <c r="L40" i="65"/>
  <c r="AM40" i="65" s="1"/>
  <c r="K40" i="65"/>
  <c r="AL40" i="65" s="1"/>
  <c r="L29" i="65"/>
  <c r="AM29" i="65" s="1"/>
  <c r="K29" i="65"/>
  <c r="AL29" i="65" s="1"/>
  <c r="K21" i="65"/>
  <c r="L19" i="65"/>
  <c r="L14" i="65"/>
  <c r="K14" i="65"/>
  <c r="AP29" i="62" l="1"/>
  <c r="AM29" i="62"/>
  <c r="K64" i="62"/>
  <c r="AL62" i="62"/>
  <c r="AO62" i="62"/>
  <c r="AO29" i="62"/>
  <c r="AL29" i="62"/>
  <c r="L64" i="62"/>
  <c r="AP62" i="62"/>
  <c r="AM62" i="62"/>
  <c r="AP14" i="65"/>
  <c r="AM14" i="65"/>
  <c r="L21" i="65"/>
  <c r="AM19" i="65"/>
  <c r="AP19" i="65"/>
  <c r="AO14" i="65"/>
  <c r="AL14" i="65"/>
  <c r="AO21" i="65"/>
  <c r="AL21" i="65"/>
  <c r="K34" i="65"/>
  <c r="L34" i="65"/>
  <c r="AL64" i="62" l="1"/>
  <c r="AO64" i="62"/>
  <c r="AM64" i="62"/>
  <c r="AP64" i="62"/>
  <c r="L41" i="65"/>
  <c r="AM34" i="65"/>
  <c r="AM21" i="65"/>
  <c r="AP21" i="65"/>
  <c r="K41" i="65"/>
  <c r="AL34" i="65"/>
  <c r="K43" i="65" l="1"/>
  <c r="AL41" i="65"/>
  <c r="L43" i="65"/>
  <c r="AM41" i="65"/>
  <c r="K30" i="13"/>
  <c r="K30" i="20"/>
  <c r="K30" i="37"/>
  <c r="K32" i="13"/>
  <c r="K31" i="13"/>
  <c r="K33" i="20"/>
  <c r="K32" i="20"/>
  <c r="K33" i="23"/>
  <c r="K32" i="23"/>
  <c r="K31" i="23"/>
  <c r="K33" i="29"/>
  <c r="K32" i="29"/>
  <c r="L32" i="29"/>
  <c r="K31" i="29"/>
  <c r="L31" i="29"/>
  <c r="K33" i="33"/>
  <c r="K32" i="33"/>
  <c r="K31" i="33"/>
  <c r="K33" i="18"/>
  <c r="K32" i="18"/>
  <c r="K31" i="18"/>
  <c r="L30" i="29"/>
  <c r="K23" i="13"/>
  <c r="K23" i="20"/>
  <c r="K23" i="23"/>
  <c r="K23" i="29"/>
  <c r="K23" i="35"/>
  <c r="K23" i="33"/>
  <c r="K23" i="37"/>
  <c r="K23" i="18"/>
  <c r="K25" i="13"/>
  <c r="K24" i="13"/>
  <c r="K26" i="20"/>
  <c r="K25" i="20"/>
  <c r="K26" i="23"/>
  <c r="K25" i="23"/>
  <c r="K24" i="24"/>
  <c r="K26" i="29"/>
  <c r="K25" i="29"/>
  <c r="K24" i="29"/>
  <c r="K26" i="35"/>
  <c r="K26" i="33"/>
  <c r="K25" i="33"/>
  <c r="K24" i="33"/>
  <c r="K26" i="37"/>
  <c r="K25" i="37"/>
  <c r="K24" i="37"/>
  <c r="K26" i="18"/>
  <c r="K25" i="18"/>
  <c r="L45" i="65" l="1"/>
  <c r="AM45" i="65" s="1"/>
  <c r="AM43" i="65"/>
  <c r="K45" i="65"/>
  <c r="AL45" i="65" s="1"/>
  <c r="AL43" i="65"/>
  <c r="J31" i="37"/>
  <c r="L31" i="37" s="1"/>
  <c r="J33" i="37"/>
  <c r="L33" i="37" s="1"/>
  <c r="J30" i="37"/>
  <c r="L30" i="37" s="1"/>
  <c r="J32" i="37"/>
  <c r="L32" i="37" s="1"/>
  <c r="K30" i="18"/>
  <c r="K30" i="33"/>
  <c r="K30" i="29"/>
  <c r="K30" i="23"/>
  <c r="K32" i="37"/>
  <c r="K30" i="35"/>
  <c r="K31" i="37"/>
  <c r="K33" i="37"/>
  <c r="K31" i="35"/>
  <c r="K33" i="35"/>
  <c r="K31" i="24"/>
  <c r="B23" i="4" l="1"/>
  <c r="F39" i="4"/>
  <c r="E39" i="4"/>
  <c r="F38" i="4"/>
  <c r="E38" i="4"/>
  <c r="F37" i="4"/>
  <c r="E37" i="4"/>
  <c r="F36" i="4"/>
  <c r="E36" i="4"/>
  <c r="F33" i="4"/>
  <c r="F32" i="4"/>
  <c r="E32" i="4"/>
  <c r="F31" i="4"/>
  <c r="E31" i="4"/>
  <c r="F30" i="4"/>
  <c r="E30" i="4"/>
  <c r="F27" i="4"/>
  <c r="E27" i="4"/>
  <c r="F26" i="4"/>
  <c r="F25" i="4"/>
  <c r="E25" i="4"/>
  <c r="F24" i="4"/>
  <c r="E24" i="4"/>
  <c r="F23" i="4"/>
  <c r="E23" i="4"/>
  <c r="C33" i="4"/>
  <c r="C32" i="4"/>
  <c r="B32" i="4"/>
  <c r="C31" i="4"/>
  <c r="B31" i="4"/>
  <c r="C30" i="4"/>
  <c r="B30" i="4"/>
  <c r="C27" i="4"/>
  <c r="B27" i="4"/>
  <c r="C26" i="4"/>
  <c r="C25" i="4"/>
  <c r="B25" i="4"/>
  <c r="C24" i="4"/>
  <c r="B24" i="4"/>
  <c r="C23" i="4"/>
  <c r="F9" i="4"/>
  <c r="E9" i="4"/>
  <c r="F8" i="4"/>
  <c r="E8" i="4"/>
  <c r="E31" i="13" l="1"/>
  <c r="E31" i="37"/>
  <c r="E31" i="33"/>
  <c r="E31" i="24"/>
  <c r="E31" i="29"/>
  <c r="E23" i="13"/>
  <c r="E23" i="20"/>
  <c r="E23" i="37"/>
  <c r="E23" i="33"/>
  <c r="E23" i="29"/>
  <c r="E25" i="20"/>
  <c r="E25" i="13"/>
  <c r="E30" i="13"/>
  <c r="E30" i="20"/>
  <c r="E30" i="37"/>
  <c r="E30" i="29"/>
  <c r="E30" i="33"/>
  <c r="E32" i="20"/>
  <c r="E32" i="13"/>
  <c r="E32" i="29"/>
  <c r="E32" i="37"/>
  <c r="E24" i="24"/>
  <c r="E24" i="13"/>
  <c r="E24" i="29"/>
  <c r="E24" i="33"/>
  <c r="E24" i="37"/>
  <c r="E33" i="37"/>
  <c r="D47" i="72"/>
  <c r="D48" i="72"/>
  <c r="AK44" i="65"/>
  <c r="AH44" i="65"/>
  <c r="Y44" i="65"/>
  <c r="V44" i="65"/>
  <c r="S44" i="65"/>
  <c r="M44" i="65"/>
  <c r="G44" i="65"/>
  <c r="AK42" i="65"/>
  <c r="AH42" i="65"/>
  <c r="AB42" i="65"/>
  <c r="Y42" i="65"/>
  <c r="P42" i="65"/>
  <c r="M42" i="65"/>
  <c r="J42" i="65"/>
  <c r="G42" i="65"/>
  <c r="D42" i="65"/>
  <c r="AK40" i="65"/>
  <c r="AH40" i="65"/>
  <c r="AB40" i="65"/>
  <c r="Y40" i="65"/>
  <c r="V40" i="65"/>
  <c r="S40" i="65"/>
  <c r="P40" i="65"/>
  <c r="M40" i="65"/>
  <c r="J40" i="65"/>
  <c r="G40" i="65"/>
  <c r="D40" i="65"/>
  <c r="AK39" i="65"/>
  <c r="AH39" i="65"/>
  <c r="AB39" i="65"/>
  <c r="Y39" i="65"/>
  <c r="V39" i="65"/>
  <c r="S39" i="65"/>
  <c r="M39" i="65"/>
  <c r="J39" i="65"/>
  <c r="G39" i="65"/>
  <c r="AK38" i="65"/>
  <c r="AH38" i="65"/>
  <c r="AB38" i="65"/>
  <c r="Y38" i="65"/>
  <c r="V38" i="65"/>
  <c r="S38" i="65"/>
  <c r="M38" i="65"/>
  <c r="J38" i="65"/>
  <c r="G38" i="65"/>
  <c r="AK37" i="65"/>
  <c r="AH37" i="65"/>
  <c r="AB37" i="65"/>
  <c r="Y37" i="65"/>
  <c r="V37" i="65"/>
  <c r="S37" i="65"/>
  <c r="P37" i="65"/>
  <c r="M37" i="65"/>
  <c r="J37" i="65"/>
  <c r="G37" i="65"/>
  <c r="D37" i="65"/>
  <c r="AK33" i="65"/>
  <c r="AH33" i="65"/>
  <c r="Y33" i="65"/>
  <c r="V33" i="65"/>
  <c r="S33" i="65"/>
  <c r="G33" i="65"/>
  <c r="AK32" i="65"/>
  <c r="AH32" i="65"/>
  <c r="AE32" i="65"/>
  <c r="AB32" i="65"/>
  <c r="Y32" i="65"/>
  <c r="V32" i="65"/>
  <c r="S32" i="65"/>
  <c r="P32" i="65"/>
  <c r="M32" i="65"/>
  <c r="J32" i="65"/>
  <c r="G32" i="65"/>
  <c r="D32" i="65"/>
  <c r="AK31" i="65"/>
  <c r="AH31" i="65"/>
  <c r="AB31" i="65"/>
  <c r="Y31" i="65"/>
  <c r="S31" i="65"/>
  <c r="M31" i="65"/>
  <c r="G31" i="65"/>
  <c r="D31" i="65"/>
  <c r="AK30" i="65"/>
  <c r="AH30" i="65"/>
  <c r="AE30" i="65"/>
  <c r="Y30" i="65"/>
  <c r="V30" i="65"/>
  <c r="S30" i="65"/>
  <c r="M30" i="65"/>
  <c r="G30" i="65"/>
  <c r="D30" i="65"/>
  <c r="Y29" i="65"/>
  <c r="AK28" i="65"/>
  <c r="AH28" i="65"/>
  <c r="Y28" i="65"/>
  <c r="V28" i="65"/>
  <c r="S28" i="65"/>
  <c r="M28" i="65"/>
  <c r="G28" i="65"/>
  <c r="AK27" i="65"/>
  <c r="AH27" i="65"/>
  <c r="Y27" i="65"/>
  <c r="J27" i="65"/>
  <c r="G27" i="65"/>
  <c r="D27" i="65"/>
  <c r="AK26" i="65"/>
  <c r="AH26" i="65"/>
  <c r="AB26" i="65"/>
  <c r="Y26" i="65"/>
  <c r="V26" i="65"/>
  <c r="S26" i="65"/>
  <c r="G26" i="65"/>
  <c r="AK25" i="65"/>
  <c r="AH25" i="65"/>
  <c r="AB25" i="65"/>
  <c r="Y25" i="65"/>
  <c r="V25" i="65"/>
  <c r="S25" i="65"/>
  <c r="M25" i="65"/>
  <c r="G25" i="65"/>
  <c r="D25" i="65"/>
  <c r="AK24" i="65"/>
  <c r="AH24" i="65"/>
  <c r="AB24" i="65"/>
  <c r="Y24" i="65"/>
  <c r="V24" i="65"/>
  <c r="S24" i="65"/>
  <c r="M24" i="65"/>
  <c r="J24" i="65"/>
  <c r="G24" i="65"/>
  <c r="AK23" i="65"/>
  <c r="AH23" i="65"/>
  <c r="AB23" i="65"/>
  <c r="Y23" i="65"/>
  <c r="V23" i="65"/>
  <c r="S23" i="65"/>
  <c r="M23" i="65"/>
  <c r="J23" i="65"/>
  <c r="G23" i="65"/>
  <c r="D23" i="65"/>
  <c r="AB21" i="65"/>
  <c r="AK20" i="65"/>
  <c r="AH20" i="65"/>
  <c r="AE20" i="65"/>
  <c r="Y20" i="65"/>
  <c r="V20" i="65"/>
  <c r="S20" i="65"/>
  <c r="M20" i="65"/>
  <c r="J20" i="65"/>
  <c r="G20" i="65"/>
  <c r="D20" i="65"/>
  <c r="AK19" i="65"/>
  <c r="AH19" i="65"/>
  <c r="AE19" i="65"/>
  <c r="AB19" i="65"/>
  <c r="Y19" i="65"/>
  <c r="V19" i="65"/>
  <c r="S19" i="65"/>
  <c r="P19" i="65"/>
  <c r="M19" i="65"/>
  <c r="J19" i="65"/>
  <c r="G19" i="65"/>
  <c r="D19" i="65"/>
  <c r="AK17" i="65"/>
  <c r="AH17" i="65"/>
  <c r="AB17" i="65"/>
  <c r="Y17" i="65"/>
  <c r="V17" i="65"/>
  <c r="S17" i="65"/>
  <c r="J17" i="65"/>
  <c r="G17" i="65"/>
  <c r="AK16" i="65"/>
  <c r="AH16" i="65"/>
  <c r="AE16" i="65"/>
  <c r="Y16" i="65"/>
  <c r="V16" i="65"/>
  <c r="S16" i="65"/>
  <c r="M16" i="65"/>
  <c r="J16" i="65"/>
  <c r="G16" i="65"/>
  <c r="D16" i="65"/>
  <c r="AK15" i="65"/>
  <c r="AH15" i="65"/>
  <c r="AB15" i="65"/>
  <c r="Y15" i="65"/>
  <c r="V15" i="65"/>
  <c r="S15" i="65"/>
  <c r="M15" i="65"/>
  <c r="J15" i="65"/>
  <c r="G15" i="65"/>
  <c r="D15" i="65"/>
  <c r="AK14" i="65"/>
  <c r="Y14" i="65"/>
  <c r="AK13" i="65"/>
  <c r="AH13" i="65"/>
  <c r="AE13" i="65"/>
  <c r="Y13" i="65"/>
  <c r="V13" i="65"/>
  <c r="S13" i="65"/>
  <c r="M13" i="65"/>
  <c r="J13" i="65"/>
  <c r="G13" i="65"/>
  <c r="D13" i="65"/>
  <c r="AK12" i="65"/>
  <c r="AH12" i="65"/>
  <c r="Y12" i="65"/>
  <c r="V12" i="65"/>
  <c r="S12" i="65"/>
  <c r="M12" i="65"/>
  <c r="J12" i="65"/>
  <c r="G12" i="65"/>
  <c r="D12" i="65"/>
  <c r="AK11" i="65"/>
  <c r="AH11" i="65"/>
  <c r="AE11" i="65"/>
  <c r="AB11" i="65"/>
  <c r="Y11" i="65"/>
  <c r="V11" i="65"/>
  <c r="S11" i="65"/>
  <c r="P11" i="65"/>
  <c r="M11" i="65"/>
  <c r="J11" i="65"/>
  <c r="G11" i="65"/>
  <c r="D11" i="65"/>
  <c r="AK89" i="62"/>
  <c r="AH89" i="62"/>
  <c r="AB89" i="62"/>
  <c r="Y89" i="62"/>
  <c r="V89" i="62"/>
  <c r="S89" i="62"/>
  <c r="M89" i="62"/>
  <c r="J89" i="62"/>
  <c r="G89" i="62"/>
  <c r="D89" i="62"/>
  <c r="AK88" i="62"/>
  <c r="AH88" i="62"/>
  <c r="AE88" i="62"/>
  <c r="AB88" i="62"/>
  <c r="Y88" i="62"/>
  <c r="V88" i="62"/>
  <c r="S88" i="62"/>
  <c r="P88" i="62"/>
  <c r="M88" i="62"/>
  <c r="G88" i="62"/>
  <c r="D88" i="62"/>
  <c r="AH87" i="62"/>
  <c r="AK86" i="62"/>
  <c r="AH86" i="62"/>
  <c r="AB86" i="62"/>
  <c r="Y86" i="62"/>
  <c r="V86" i="62"/>
  <c r="S86" i="62"/>
  <c r="P86" i="62"/>
  <c r="M86" i="62"/>
  <c r="G86" i="62"/>
  <c r="D86" i="62"/>
  <c r="AK83" i="62"/>
  <c r="AH83" i="62"/>
  <c r="V83" i="62"/>
  <c r="S83" i="62"/>
  <c r="M83" i="62"/>
  <c r="G83" i="62"/>
  <c r="D83" i="62"/>
  <c r="AK82" i="62"/>
  <c r="AK81" i="62"/>
  <c r="AH81" i="62"/>
  <c r="AE81" i="62"/>
  <c r="Y81" i="62"/>
  <c r="V81" i="62"/>
  <c r="S81" i="62"/>
  <c r="M81" i="62"/>
  <c r="J81" i="62"/>
  <c r="G81" i="62"/>
  <c r="D81" i="62"/>
  <c r="AK77" i="62"/>
  <c r="J77" i="62"/>
  <c r="G77" i="62"/>
  <c r="D77" i="62"/>
  <c r="AK76" i="62"/>
  <c r="AH76" i="62"/>
  <c r="Y76" i="62"/>
  <c r="V76" i="62"/>
  <c r="S76" i="62"/>
  <c r="D76" i="62"/>
  <c r="AK75" i="62"/>
  <c r="AH75" i="62"/>
  <c r="AB75" i="62"/>
  <c r="Y75" i="62"/>
  <c r="V75" i="62"/>
  <c r="S75" i="62"/>
  <c r="M75" i="62"/>
  <c r="G75" i="62"/>
  <c r="D75" i="62"/>
  <c r="AK74" i="62"/>
  <c r="AH74" i="62"/>
  <c r="AB74" i="62"/>
  <c r="Y74" i="62"/>
  <c r="V74" i="62"/>
  <c r="S74" i="62"/>
  <c r="M74" i="62"/>
  <c r="J74" i="62"/>
  <c r="G74" i="62"/>
  <c r="D74" i="62"/>
  <c r="AK73" i="62"/>
  <c r="AH73" i="62"/>
  <c r="AB73" i="62"/>
  <c r="Y73" i="62"/>
  <c r="V73" i="62"/>
  <c r="S73" i="62"/>
  <c r="M73" i="62"/>
  <c r="J73" i="62"/>
  <c r="G73" i="62"/>
  <c r="D73" i="62"/>
  <c r="AK71" i="62"/>
  <c r="AH71" i="62"/>
  <c r="AB71" i="62"/>
  <c r="Y71" i="62"/>
  <c r="S71" i="62"/>
  <c r="G71" i="62"/>
  <c r="AK70" i="62"/>
  <c r="AH70" i="62"/>
  <c r="Y70" i="62"/>
  <c r="S70" i="62"/>
  <c r="G70" i="62"/>
  <c r="AK69" i="62"/>
  <c r="AH69" i="62"/>
  <c r="AE69" i="62"/>
  <c r="AB69" i="62"/>
  <c r="Y69" i="62"/>
  <c r="V69" i="62"/>
  <c r="S69" i="62"/>
  <c r="P69" i="62"/>
  <c r="M69" i="62"/>
  <c r="J69" i="62"/>
  <c r="G69" i="62"/>
  <c r="D69" i="62"/>
  <c r="AK68" i="62"/>
  <c r="AH68" i="62"/>
  <c r="AE68" i="62"/>
  <c r="AB68" i="62"/>
  <c r="Y68" i="62"/>
  <c r="V68" i="62"/>
  <c r="S68" i="62"/>
  <c r="P68" i="62"/>
  <c r="M68" i="62"/>
  <c r="J68" i="62"/>
  <c r="G68" i="62"/>
  <c r="D68" i="62"/>
  <c r="AQ61" i="62"/>
  <c r="AN61" i="62"/>
  <c r="AK59" i="62"/>
  <c r="AH59" i="62"/>
  <c r="Y59" i="62"/>
  <c r="S59" i="62"/>
  <c r="M59" i="62"/>
  <c r="J59" i="62"/>
  <c r="D59" i="62"/>
  <c r="AK58" i="62"/>
  <c r="S58" i="62"/>
  <c r="AK57" i="62"/>
  <c r="V57" i="62"/>
  <c r="S57" i="62"/>
  <c r="M57" i="62"/>
  <c r="G57" i="62"/>
  <c r="AK56" i="62"/>
  <c r="AH56" i="62"/>
  <c r="S56" i="62"/>
  <c r="M56" i="62"/>
  <c r="G56" i="62"/>
  <c r="D56" i="62"/>
  <c r="AK55" i="62"/>
  <c r="AH55" i="62"/>
  <c r="AE55" i="62"/>
  <c r="Y55" i="62"/>
  <c r="V55" i="62"/>
  <c r="S55" i="62"/>
  <c r="M55" i="62"/>
  <c r="J55" i="62"/>
  <c r="G55" i="62"/>
  <c r="D55" i="62"/>
  <c r="S53" i="62"/>
  <c r="S51" i="62"/>
  <c r="AK49" i="62"/>
  <c r="S49" i="62"/>
  <c r="AQ48" i="62"/>
  <c r="AN48" i="62"/>
  <c r="AH46" i="62"/>
  <c r="Y46" i="62"/>
  <c r="J46" i="62"/>
  <c r="D46" i="62"/>
  <c r="AH44" i="62"/>
  <c r="AB44" i="62"/>
  <c r="Y44" i="62"/>
  <c r="S44" i="62"/>
  <c r="M44" i="62"/>
  <c r="J44" i="62"/>
  <c r="G44" i="62"/>
  <c r="D44" i="62"/>
  <c r="AK43" i="62"/>
  <c r="AH43" i="62"/>
  <c r="AB43" i="62"/>
  <c r="Y43" i="62"/>
  <c r="S43" i="62"/>
  <c r="G43" i="62"/>
  <c r="D43" i="62"/>
  <c r="AB42" i="62"/>
  <c r="V42" i="62"/>
  <c r="S42" i="62"/>
  <c r="M42" i="62"/>
  <c r="G42" i="62"/>
  <c r="AK41" i="62"/>
  <c r="AH41" i="62"/>
  <c r="AB41" i="62"/>
  <c r="Y41" i="62"/>
  <c r="V41" i="62"/>
  <c r="S41" i="62"/>
  <c r="M41" i="62"/>
  <c r="J41" i="62"/>
  <c r="G41" i="62"/>
  <c r="D41" i="62"/>
  <c r="AK40" i="62"/>
  <c r="AH40" i="62"/>
  <c r="AB40" i="62"/>
  <c r="Y40" i="62"/>
  <c r="V40" i="62"/>
  <c r="S40" i="62"/>
  <c r="J40" i="62"/>
  <c r="G40" i="62"/>
  <c r="D40" i="62"/>
  <c r="AK38" i="62"/>
  <c r="AH38" i="62"/>
  <c r="AB38" i="62"/>
  <c r="Y38" i="62"/>
  <c r="V38" i="62"/>
  <c r="S38" i="62"/>
  <c r="M38" i="62"/>
  <c r="AK37" i="62"/>
  <c r="AH37" i="62"/>
  <c r="Y37" i="62"/>
  <c r="S37" i="62"/>
  <c r="M37" i="62"/>
  <c r="G37" i="62"/>
  <c r="AK36" i="62"/>
  <c r="AH36" i="62"/>
  <c r="AB36" i="62"/>
  <c r="Y36" i="62"/>
  <c r="V36" i="62"/>
  <c r="S36" i="62"/>
  <c r="M36" i="62"/>
  <c r="G36" i="62"/>
  <c r="G35" i="62"/>
  <c r="AK34" i="62"/>
  <c r="AH34" i="62"/>
  <c r="AB34" i="62"/>
  <c r="Y34" i="62"/>
  <c r="V34" i="62"/>
  <c r="S34" i="62"/>
  <c r="G34" i="62"/>
  <c r="AH33" i="62"/>
  <c r="G33" i="62"/>
  <c r="AK28" i="62"/>
  <c r="AH28" i="62"/>
  <c r="AE28" i="62"/>
  <c r="AB28" i="62"/>
  <c r="Y28" i="62"/>
  <c r="V28" i="62"/>
  <c r="S28" i="62"/>
  <c r="P28" i="62"/>
  <c r="M28" i="62"/>
  <c r="J28" i="62"/>
  <c r="G28" i="62"/>
  <c r="D28" i="62"/>
  <c r="P27" i="62"/>
  <c r="AQ26" i="62"/>
  <c r="AN26" i="62"/>
  <c r="AH25" i="62"/>
  <c r="S25" i="62"/>
  <c r="J25" i="62"/>
  <c r="G25" i="62"/>
  <c r="AK24" i="62"/>
  <c r="AB24" i="62"/>
  <c r="S24" i="62"/>
  <c r="AB23" i="62"/>
  <c r="Y23" i="62"/>
  <c r="V23" i="62"/>
  <c r="S23" i="62"/>
  <c r="G23" i="62"/>
  <c r="AK22" i="62"/>
  <c r="AH22" i="62"/>
  <c r="AB22" i="62"/>
  <c r="Y22" i="62"/>
  <c r="V22" i="62"/>
  <c r="S22" i="62"/>
  <c r="M22" i="62"/>
  <c r="J22" i="62"/>
  <c r="G22" i="62"/>
  <c r="D22" i="62"/>
  <c r="AK21" i="62"/>
  <c r="AH21" i="62"/>
  <c r="Y21" i="62"/>
  <c r="V21" i="62"/>
  <c r="S21" i="62"/>
  <c r="M21" i="62"/>
  <c r="J21" i="62"/>
  <c r="G21" i="62"/>
  <c r="D21" i="62"/>
  <c r="AK20" i="62"/>
  <c r="AH20" i="62"/>
  <c r="AB20" i="62"/>
  <c r="Y20" i="62"/>
  <c r="V20" i="62"/>
  <c r="S20" i="62"/>
  <c r="M20" i="62"/>
  <c r="J20" i="62"/>
  <c r="G20" i="62"/>
  <c r="AK19" i="62"/>
  <c r="AH19" i="62"/>
  <c r="AB19" i="62"/>
  <c r="S19" i="62"/>
  <c r="AH18" i="62"/>
  <c r="S18" i="62"/>
  <c r="AH17" i="62"/>
  <c r="AB17" i="62"/>
  <c r="S17" i="62"/>
  <c r="AK27" i="62"/>
  <c r="AK15" i="62"/>
  <c r="AH15" i="62"/>
  <c r="AB15" i="62"/>
  <c r="S15" i="62"/>
  <c r="G15" i="62"/>
  <c r="AH14" i="62"/>
  <c r="S14" i="62"/>
  <c r="AN84" i="62" l="1"/>
  <c r="AQ84" i="62"/>
  <c r="AN18" i="62"/>
  <c r="AN19" i="62"/>
  <c r="AN21" i="62"/>
  <c r="AQ22" i="62"/>
  <c r="AQ14" i="62"/>
  <c r="AQ37" i="62"/>
  <c r="AQ41" i="62"/>
  <c r="AQ52" i="62"/>
  <c r="AE54" i="62"/>
  <c r="AH54" i="62"/>
  <c r="AN59" i="62"/>
  <c r="AN69" i="62"/>
  <c r="AN70" i="62"/>
  <c r="V27" i="62"/>
  <c r="AQ40" i="62"/>
  <c r="AQ46" i="62"/>
  <c r="J14" i="65"/>
  <c r="AN15" i="65"/>
  <c r="AQ16" i="65"/>
  <c r="AN19" i="65"/>
  <c r="AN28" i="65"/>
  <c r="AQ71" i="62"/>
  <c r="AN74" i="62"/>
  <c r="AQ75" i="62"/>
  <c r="AQ81" i="62"/>
  <c r="AN83" i="62"/>
  <c r="AN86" i="62"/>
  <c r="AQ87" i="62"/>
  <c r="AQ89" i="62"/>
  <c r="H26" i="9"/>
  <c r="G26" i="9"/>
  <c r="B26" i="9"/>
  <c r="AN14" i="62"/>
  <c r="AN15" i="62"/>
  <c r="Y27" i="62"/>
  <c r="AN37" i="62"/>
  <c r="AN38" i="62"/>
  <c r="AN51" i="62"/>
  <c r="AN52" i="62"/>
  <c r="AQ55" i="62"/>
  <c r="AQ57" i="62"/>
  <c r="AQ68" i="62"/>
  <c r="AN17" i="65"/>
  <c r="AN20" i="65"/>
  <c r="S16" i="62"/>
  <c r="AQ28" i="62"/>
  <c r="AN33" i="62"/>
  <c r="AN40" i="62"/>
  <c r="AQ42" i="62"/>
  <c r="AN46" i="62"/>
  <c r="AQ69" i="62"/>
  <c r="AQ76" i="62"/>
  <c r="AN77" i="62"/>
  <c r="AN78" i="62"/>
  <c r="AQ82" i="62"/>
  <c r="AQ12" i="65"/>
  <c r="AN13" i="65"/>
  <c r="AN27" i="65"/>
  <c r="AN33" i="65"/>
  <c r="AN44" i="65"/>
  <c r="AQ15" i="62"/>
  <c r="AQ17" i="62"/>
  <c r="AQ19" i="62"/>
  <c r="AQ21" i="62"/>
  <c r="AQ23" i="62"/>
  <c r="AN25" i="62"/>
  <c r="AQ33" i="62"/>
  <c r="AN41" i="62"/>
  <c r="AN42" i="62"/>
  <c r="AN43" i="62"/>
  <c r="AQ53" i="62"/>
  <c r="AN56" i="62"/>
  <c r="AN68" i="62"/>
  <c r="AQ86" i="62"/>
  <c r="AN87" i="62"/>
  <c r="AN88" i="62"/>
  <c r="AN89" i="62"/>
  <c r="AQ19" i="65"/>
  <c r="AH35" i="62"/>
  <c r="Y39" i="62"/>
  <c r="AN58" i="62"/>
  <c r="AN23" i="62"/>
  <c r="AN24" i="62"/>
  <c r="AQ38" i="62"/>
  <c r="S39" i="62"/>
  <c r="AQ43" i="62"/>
  <c r="AN44" i="62"/>
  <c r="AQ49" i="62"/>
  <c r="AQ51" i="62"/>
  <c r="AN55" i="62"/>
  <c r="AQ56" i="62"/>
  <c r="AQ58" i="62"/>
  <c r="AQ59" i="62"/>
  <c r="AQ70" i="62"/>
  <c r="AQ74" i="62"/>
  <c r="AN75" i="62"/>
  <c r="AN76" i="62"/>
  <c r="AQ77" i="62"/>
  <c r="AQ78" i="62"/>
  <c r="AN82" i="62"/>
  <c r="AQ15" i="65"/>
  <c r="AQ20" i="65"/>
  <c r="G21" i="65"/>
  <c r="AH21" i="65"/>
  <c r="AN38" i="65"/>
  <c r="AN39" i="65"/>
  <c r="J29" i="65"/>
  <c r="M54" i="62"/>
  <c r="AK79" i="62"/>
  <c r="AB16" i="62"/>
  <c r="G54" i="62"/>
  <c r="AB14" i="65"/>
  <c r="S29" i="65"/>
  <c r="AN40" i="65"/>
  <c r="V85" i="62"/>
  <c r="AH16" i="62"/>
  <c r="D14" i="65"/>
  <c r="AH29" i="65"/>
  <c r="AQ18" i="62"/>
  <c r="AN49" i="62"/>
  <c r="AN71" i="62"/>
  <c r="AQ88" i="62"/>
  <c r="AN12" i="65"/>
  <c r="AN26" i="65"/>
  <c r="M35" i="62"/>
  <c r="AK35" i="62"/>
  <c r="AN36" i="62"/>
  <c r="V39" i="62"/>
  <c r="AB39" i="62"/>
  <c r="AK54" i="62"/>
  <c r="AQ73" i="62"/>
  <c r="AK16" i="62"/>
  <c r="AN17" i="62"/>
  <c r="AN20" i="62"/>
  <c r="AQ24" i="62"/>
  <c r="AN28" i="62"/>
  <c r="AQ34" i="62"/>
  <c r="AQ36" i="62"/>
  <c r="AQ44" i="62"/>
  <c r="AN53" i="62"/>
  <c r="D54" i="62"/>
  <c r="J54" i="62"/>
  <c r="AN73" i="62"/>
  <c r="AH79" i="62"/>
  <c r="AN81" i="62"/>
  <c r="AQ83" i="62"/>
  <c r="S85" i="62"/>
  <c r="Y85" i="62"/>
  <c r="AN11" i="65"/>
  <c r="AQ13" i="65"/>
  <c r="P14" i="65"/>
  <c r="AN16" i="65"/>
  <c r="AQ17" i="65"/>
  <c r="M21" i="65"/>
  <c r="AN23" i="65"/>
  <c r="AN24" i="65"/>
  <c r="AN25" i="65"/>
  <c r="G29" i="65"/>
  <c r="AN32" i="65"/>
  <c r="AQ25" i="62"/>
  <c r="AN57" i="62"/>
  <c r="AN22" i="62"/>
  <c r="AQ11" i="65"/>
  <c r="V14" i="65"/>
  <c r="AE34" i="65"/>
  <c r="S21" i="65"/>
  <c r="AK21" i="65"/>
  <c r="D29" i="65"/>
  <c r="M29" i="65"/>
  <c r="AN37" i="65"/>
  <c r="G34" i="65"/>
  <c r="S14" i="65"/>
  <c r="J21" i="65"/>
  <c r="V21" i="65"/>
  <c r="AE21" i="65"/>
  <c r="AK29" i="65"/>
  <c r="AB34" i="65"/>
  <c r="AB29" i="65"/>
  <c r="AN30" i="65"/>
  <c r="V29" i="65"/>
  <c r="G14" i="65"/>
  <c r="M14" i="65"/>
  <c r="AE14" i="65"/>
  <c r="D21" i="65"/>
  <c r="P21" i="65"/>
  <c r="AH14" i="65"/>
  <c r="Y21" i="65"/>
  <c r="AN31" i="65"/>
  <c r="AN42" i="65"/>
  <c r="S27" i="62"/>
  <c r="P29" i="62"/>
  <c r="G27" i="62"/>
  <c r="J27" i="62"/>
  <c r="D27" i="62"/>
  <c r="M27" i="62"/>
  <c r="AE29" i="62"/>
  <c r="V35" i="62"/>
  <c r="AN16" i="62"/>
  <c r="AN34" i="62"/>
  <c r="S35" i="62"/>
  <c r="M39" i="62"/>
  <c r="AH39" i="62"/>
  <c r="AQ16" i="62"/>
  <c r="D20" i="62"/>
  <c r="AQ20" i="62"/>
  <c r="Y35" i="62"/>
  <c r="G39" i="62"/>
  <c r="AK39" i="62"/>
  <c r="D39" i="62"/>
  <c r="AB35" i="62"/>
  <c r="J39" i="62"/>
  <c r="V54" i="62"/>
  <c r="G79" i="62"/>
  <c r="M79" i="62"/>
  <c r="S79" i="62"/>
  <c r="Y79" i="62"/>
  <c r="G85" i="62"/>
  <c r="M85" i="62"/>
  <c r="AK85" i="62"/>
  <c r="S91" i="62"/>
  <c r="S50" i="62"/>
  <c r="S54" i="62"/>
  <c r="Y54" i="62"/>
  <c r="D79" i="62"/>
  <c r="J79" i="62"/>
  <c r="P79" i="62"/>
  <c r="V79" i="62"/>
  <c r="AB79" i="62"/>
  <c r="D85" i="62"/>
  <c r="J85" i="62"/>
  <c r="AE85" i="62"/>
  <c r="AH85" i="62"/>
  <c r="C26" i="9" l="1"/>
  <c r="C65" i="9" s="1"/>
  <c r="AQ39" i="62"/>
  <c r="B65" i="9"/>
  <c r="D65" i="9" s="1"/>
  <c r="M26" i="8"/>
  <c r="AH27" i="62"/>
  <c r="AN27" i="62"/>
  <c r="AQ27" i="62"/>
  <c r="AB27" i="62"/>
  <c r="AQ14" i="65"/>
  <c r="AQ21" i="65"/>
  <c r="AN35" i="62"/>
  <c r="P91" i="62"/>
  <c r="AQ79" i="62"/>
  <c r="AN79" i="62"/>
  <c r="P34" i="65"/>
  <c r="J34" i="65"/>
  <c r="G41" i="65"/>
  <c r="AN29" i="65"/>
  <c r="AN14" i="65"/>
  <c r="AH34" i="65"/>
  <c r="AN21" i="65"/>
  <c r="M34" i="65"/>
  <c r="AB41" i="65"/>
  <c r="AK34" i="65"/>
  <c r="V34" i="65"/>
  <c r="D34" i="65"/>
  <c r="Y34" i="65"/>
  <c r="S34" i="65"/>
  <c r="V60" i="62"/>
  <c r="AH29" i="62"/>
  <c r="AB29" i="62"/>
  <c r="AN85" i="62"/>
  <c r="AK60" i="62"/>
  <c r="V91" i="62"/>
  <c r="AQ85" i="62"/>
  <c r="AQ54" i="62"/>
  <c r="Y91" i="62"/>
  <c r="AQ50" i="62"/>
  <c r="AB45" i="62"/>
  <c r="V45" i="62"/>
  <c r="J29" i="62"/>
  <c r="Y29" i="62"/>
  <c r="J91" i="62"/>
  <c r="D91" i="62"/>
  <c r="D45" i="62"/>
  <c r="AE60" i="62"/>
  <c r="AE91" i="62"/>
  <c r="AK45" i="62"/>
  <c r="AK91" i="62"/>
  <c r="J60" i="62"/>
  <c r="AN50" i="62"/>
  <c r="M45" i="62"/>
  <c r="Y45" i="62"/>
  <c r="AN54" i="62"/>
  <c r="S45" i="62"/>
  <c r="AK29" i="62"/>
  <c r="M29" i="62"/>
  <c r="AN29" i="62"/>
  <c r="D29" i="62"/>
  <c r="AQ29" i="62"/>
  <c r="G29" i="62"/>
  <c r="S29" i="62"/>
  <c r="G60" i="62"/>
  <c r="AB91" i="62"/>
  <c r="S60" i="62"/>
  <c r="M60" i="62"/>
  <c r="M91" i="62"/>
  <c r="Y60" i="62"/>
  <c r="AH45" i="62"/>
  <c r="AH60" i="62"/>
  <c r="D60" i="62"/>
  <c r="AH91" i="62"/>
  <c r="G91" i="62"/>
  <c r="AQ35" i="62"/>
  <c r="G45" i="62"/>
  <c r="AN39" i="62"/>
  <c r="J45" i="62"/>
  <c r="V29" i="62"/>
  <c r="N26" i="8" l="1"/>
  <c r="AE41" i="65"/>
  <c r="AN91" i="62"/>
  <c r="AN34" i="65"/>
  <c r="V41" i="65"/>
  <c r="AB43" i="65"/>
  <c r="M41" i="65"/>
  <c r="G43" i="65"/>
  <c r="J41" i="65"/>
  <c r="S41" i="65"/>
  <c r="Y41" i="65"/>
  <c r="D41" i="65"/>
  <c r="AN41" i="65"/>
  <c r="AH41" i="65"/>
  <c r="P41" i="65"/>
  <c r="AK41" i="65"/>
  <c r="AE43" i="65"/>
  <c r="AH64" i="62"/>
  <c r="J64" i="62"/>
  <c r="D62" i="62"/>
  <c r="G62" i="62"/>
  <c r="AN60" i="62"/>
  <c r="AK64" i="62"/>
  <c r="M62" i="62"/>
  <c r="AK62" i="62"/>
  <c r="AB62" i="62"/>
  <c r="V64" i="62"/>
  <c r="AE62" i="62"/>
  <c r="AH62" i="62"/>
  <c r="AQ91" i="62"/>
  <c r="AN45" i="62"/>
  <c r="V62" i="62"/>
  <c r="J62" i="62"/>
  <c r="AQ60" i="62"/>
  <c r="S64" i="62"/>
  <c r="M64" i="62"/>
  <c r="S62" i="62"/>
  <c r="Y62" i="62"/>
  <c r="AQ45" i="62"/>
  <c r="G33" i="4"/>
  <c r="I33" i="4" l="1"/>
  <c r="H33" i="4"/>
  <c r="J33" i="4" s="1"/>
  <c r="AK43" i="65"/>
  <c r="P43" i="65"/>
  <c r="AN43" i="65"/>
  <c r="D43" i="65"/>
  <c r="S43" i="65"/>
  <c r="G45" i="65"/>
  <c r="M43" i="65"/>
  <c r="J43" i="65"/>
  <c r="AB45" i="65"/>
  <c r="V43" i="65"/>
  <c r="AE45" i="65"/>
  <c r="AH43" i="65"/>
  <c r="Y43" i="65"/>
  <c r="D64" i="62"/>
  <c r="Y64" i="62"/>
  <c r="AE64" i="62"/>
  <c r="G64" i="62"/>
  <c r="AN62" i="62"/>
  <c r="AB64" i="62"/>
  <c r="P64" i="62"/>
  <c r="AQ62" i="62"/>
  <c r="Y45" i="65" l="1"/>
  <c r="M45" i="65"/>
  <c r="S45" i="65"/>
  <c r="P45" i="65"/>
  <c r="V45" i="65"/>
  <c r="AH45" i="65"/>
  <c r="J45" i="65"/>
  <c r="D45" i="65"/>
  <c r="AK45" i="65"/>
  <c r="AQ64" i="62"/>
  <c r="AN64" i="62"/>
  <c r="K9" i="18"/>
  <c r="K8" i="18"/>
  <c r="AN45" i="65" l="1"/>
  <c r="D22" i="18"/>
  <c r="D29" i="18"/>
  <c r="H124" i="18"/>
  <c r="H10" i="18"/>
  <c r="D7" i="18"/>
  <c r="D10" i="18"/>
  <c r="H116" i="18"/>
  <c r="H117" i="18"/>
  <c r="H121" i="18"/>
  <c r="K7" i="18"/>
  <c r="J88" i="18"/>
  <c r="H109" i="18"/>
  <c r="H113" i="18"/>
  <c r="H125" i="18"/>
  <c r="K113" i="18"/>
  <c r="K99" i="18"/>
  <c r="H7" i="18"/>
  <c r="K11" i="18"/>
  <c r="J67" i="18"/>
  <c r="D99" i="18"/>
  <c r="J109" i="18"/>
  <c r="J112" i="18"/>
  <c r="J116" i="18"/>
  <c r="J121" i="18"/>
  <c r="D28" i="18"/>
  <c r="H34" i="18"/>
  <c r="H35" i="18"/>
  <c r="K78" i="18"/>
  <c r="K108" i="18"/>
  <c r="J113" i="18"/>
  <c r="K120" i="18"/>
  <c r="H108" i="18"/>
  <c r="J35" i="18"/>
  <c r="H11" i="18"/>
  <c r="K109" i="18"/>
  <c r="J117" i="18"/>
  <c r="K12" i="18"/>
  <c r="K112" i="18"/>
  <c r="K117" i="18"/>
  <c r="H12" i="18"/>
  <c r="K35" i="18"/>
  <c r="J124" i="18"/>
  <c r="K10" i="18"/>
  <c r="J34" i="18"/>
  <c r="D67" i="18"/>
  <c r="D88" i="18"/>
  <c r="J99" i="18"/>
  <c r="J120" i="18"/>
  <c r="K121" i="18"/>
  <c r="K124" i="18"/>
  <c r="K28" i="18"/>
  <c r="K34" i="18"/>
  <c r="D124" i="18"/>
  <c r="D48" i="18"/>
  <c r="K67" i="18"/>
  <c r="D120" i="18"/>
  <c r="J11" i="18"/>
  <c r="J108" i="18"/>
  <c r="D112" i="18"/>
  <c r="K116" i="18"/>
  <c r="D116" i="18"/>
  <c r="H22" i="18"/>
  <c r="D78" i="18"/>
  <c r="D108" i="18"/>
  <c r="J125" i="18"/>
  <c r="J9" i="18"/>
  <c r="D9" i="18"/>
  <c r="J28" i="18"/>
  <c r="J12" i="18"/>
  <c r="J7" i="18"/>
  <c r="J10" i="18"/>
  <c r="J8" i="18"/>
  <c r="D8" i="18"/>
  <c r="J78" i="18"/>
  <c r="K125" i="18"/>
  <c r="K88" i="18"/>
  <c r="C97" i="4"/>
  <c r="E97" i="4"/>
  <c r="B76" i="4"/>
  <c r="D87" i="18" l="1"/>
  <c r="B97" i="4"/>
  <c r="E76" i="4"/>
  <c r="G76" i="4" s="1"/>
  <c r="F76" i="4"/>
  <c r="C76" i="4"/>
  <c r="F97" i="4"/>
  <c r="H29" i="18"/>
  <c r="D66" i="18"/>
  <c r="K29" i="18"/>
  <c r="K22" i="18"/>
  <c r="D47" i="18"/>
  <c r="J29" i="18"/>
  <c r="H119" i="18"/>
  <c r="K100" i="18"/>
  <c r="J22" i="18"/>
  <c r="K119" i="18"/>
  <c r="L113" i="18"/>
  <c r="L12" i="18"/>
  <c r="K98" i="18"/>
  <c r="L28" i="18"/>
  <c r="L88" i="18"/>
  <c r="L121" i="18"/>
  <c r="L109" i="18"/>
  <c r="L120" i="18"/>
  <c r="L99" i="18"/>
  <c r="L35" i="18"/>
  <c r="J111" i="18"/>
  <c r="H111" i="18"/>
  <c r="L117" i="18"/>
  <c r="L78" i="18"/>
  <c r="L7" i="18"/>
  <c r="L108" i="18"/>
  <c r="L116" i="18"/>
  <c r="L11" i="18"/>
  <c r="L67" i="18"/>
  <c r="K111" i="18"/>
  <c r="L112" i="18"/>
  <c r="L124" i="18"/>
  <c r="D98" i="18"/>
  <c r="L10" i="18"/>
  <c r="J119" i="18"/>
  <c r="L119" i="18" s="1"/>
  <c r="D119" i="18"/>
  <c r="L34" i="18"/>
  <c r="L125" i="18"/>
  <c r="D111" i="18"/>
  <c r="K97" i="37"/>
  <c r="J97" i="37"/>
  <c r="D97" i="29"/>
  <c r="K97" i="33"/>
  <c r="K97" i="29"/>
  <c r="J97" i="13"/>
  <c r="J97" i="33"/>
  <c r="L97" i="33" s="1"/>
  <c r="J97" i="29"/>
  <c r="D97" i="37"/>
  <c r="D97" i="13"/>
  <c r="K97" i="13"/>
  <c r="D97" i="33"/>
  <c r="K76" i="37"/>
  <c r="D76" i="33"/>
  <c r="D76" i="37"/>
  <c r="K76" i="29"/>
  <c r="J76" i="13"/>
  <c r="J76" i="37"/>
  <c r="D76" i="29"/>
  <c r="K76" i="33"/>
  <c r="J76" i="33"/>
  <c r="J76" i="29"/>
  <c r="D76" i="13"/>
  <c r="K76" i="13"/>
  <c r="J8" i="37"/>
  <c r="L8" i="37" s="1"/>
  <c r="K8" i="37"/>
  <c r="J9" i="37"/>
  <c r="L9" i="37" s="1"/>
  <c r="K9" i="37"/>
  <c r="J36" i="37"/>
  <c r="J37" i="37"/>
  <c r="L76" i="33" l="1"/>
  <c r="L97" i="29"/>
  <c r="L76" i="29"/>
  <c r="D77" i="18"/>
  <c r="H68" i="18"/>
  <c r="J68" i="18"/>
  <c r="J66" i="18"/>
  <c r="L29" i="18"/>
  <c r="K79" i="18"/>
  <c r="K77" i="18"/>
  <c r="L22" i="18"/>
  <c r="L76" i="13"/>
  <c r="D97" i="4"/>
  <c r="D76" i="4"/>
  <c r="L97" i="37"/>
  <c r="K68" i="18"/>
  <c r="L76" i="37"/>
  <c r="K87" i="18"/>
  <c r="K89" i="18"/>
  <c r="L97" i="13"/>
  <c r="H100" i="18"/>
  <c r="J100" i="18"/>
  <c r="L100" i="18" s="1"/>
  <c r="J89" i="18"/>
  <c r="H89" i="18"/>
  <c r="H79" i="18"/>
  <c r="J79" i="18"/>
  <c r="I97" i="4"/>
  <c r="I76" i="4"/>
  <c r="L111" i="18"/>
  <c r="H34" i="37"/>
  <c r="H116" i="37"/>
  <c r="D114" i="37"/>
  <c r="D116" i="37"/>
  <c r="J124" i="37"/>
  <c r="H76" i="4"/>
  <c r="H97" i="4"/>
  <c r="K12" i="37"/>
  <c r="K7" i="37"/>
  <c r="H113" i="37"/>
  <c r="H117" i="37"/>
  <c r="J88" i="37"/>
  <c r="K75" i="37"/>
  <c r="K108" i="37"/>
  <c r="K96" i="37"/>
  <c r="K67" i="37"/>
  <c r="J35" i="37"/>
  <c r="J10" i="37"/>
  <c r="D7" i="37"/>
  <c r="K137" i="37"/>
  <c r="K135" i="37"/>
  <c r="K134" i="37"/>
  <c r="K122" i="37"/>
  <c r="D122" i="37"/>
  <c r="H114" i="37"/>
  <c r="H112" i="37"/>
  <c r="J121" i="37"/>
  <c r="D137"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K136" i="37"/>
  <c r="J134" i="37"/>
  <c r="H35" i="37"/>
  <c r="J28" i="37"/>
  <c r="K11" i="37"/>
  <c r="J122" i="37"/>
  <c r="L122" i="37" s="1"/>
  <c r="J116" i="37"/>
  <c r="K109" i="37"/>
  <c r="D35" i="37"/>
  <c r="J12" i="37"/>
  <c r="J7" i="37"/>
  <c r="H75" i="37"/>
  <c r="D48" i="37"/>
  <c r="J137" i="37"/>
  <c r="K121" i="37"/>
  <c r="J67" i="37"/>
  <c r="H125" i="37"/>
  <c r="D124" i="37"/>
  <c r="H96" i="37"/>
  <c r="K88" i="37"/>
  <c r="J34" i="37"/>
  <c r="D9" i="37"/>
  <c r="J107" i="37"/>
  <c r="D107" i="37"/>
  <c r="K124" i="37"/>
  <c r="D99" i="37"/>
  <c r="D134" i="37"/>
  <c r="D120" i="37"/>
  <c r="J78" i="37"/>
  <c r="D78" i="37"/>
  <c r="J75" i="37"/>
  <c r="D75" i="37"/>
  <c r="J112" i="37"/>
  <c r="D112" i="37"/>
  <c r="J109" i="37"/>
  <c r="J135" i="37"/>
  <c r="K120" i="37"/>
  <c r="J99" i="37"/>
  <c r="J96" i="37"/>
  <c r="D96" i="37"/>
  <c r="K86" i="37"/>
  <c r="J136" i="37"/>
  <c r="J120" i="37"/>
  <c r="J114" i="37"/>
  <c r="L114" i="37" s="1"/>
  <c r="H109" i="37"/>
  <c r="D86" i="37"/>
  <c r="K117" i="37"/>
  <c r="K112" i="37"/>
  <c r="D88" i="37"/>
  <c r="H11" i="37"/>
  <c r="D10" i="37"/>
  <c r="K35" i="37"/>
  <c r="D57" i="37"/>
  <c r="D54" i="37"/>
  <c r="K34" i="37"/>
  <c r="H12" i="37"/>
  <c r="K37" i="37"/>
  <c r="L37" i="37" s="1"/>
  <c r="D37" i="37"/>
  <c r="H10" i="37"/>
  <c r="K36" i="37"/>
  <c r="L36" i="37" s="1"/>
  <c r="D36" i="37"/>
  <c r="J11" i="37"/>
  <c r="J76" i="4" l="1"/>
  <c r="L79" i="18"/>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136" i="37"/>
  <c r="L96" i="37"/>
  <c r="L34" i="37"/>
  <c r="L109" i="37"/>
  <c r="L67" i="37"/>
  <c r="L99" i="37"/>
  <c r="L108" i="37"/>
  <c r="L134" i="37"/>
  <c r="L10" i="37"/>
  <c r="D47" i="37"/>
  <c r="L107" i="37"/>
  <c r="L75" i="37"/>
  <c r="K119" i="37"/>
  <c r="H111" i="37"/>
  <c r="L86" i="37"/>
  <c r="L121" i="37"/>
  <c r="H119" i="37"/>
  <c r="L137"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89" i="37" s="1"/>
  <c r="H87" i="37"/>
  <c r="L111" i="37"/>
  <c r="L119" i="37"/>
  <c r="J98" i="37" l="1"/>
  <c r="L98" i="37" s="1"/>
  <c r="J77" i="37"/>
  <c r="L77" i="37" s="1"/>
  <c r="L68" i="37"/>
  <c r="J87" i="37"/>
  <c r="L87" i="37" s="1"/>
  <c r="H66" i="37"/>
  <c r="K66" i="37"/>
  <c r="L66"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27" i="58"/>
  <c r="B27" i="58"/>
  <c r="F30" i="58"/>
  <c r="B30" i="58"/>
  <c r="F25" i="58"/>
  <c r="B25" i="58"/>
  <c r="C12" i="58"/>
  <c r="G12" i="58"/>
  <c r="F14" i="58"/>
  <c r="B14" i="58"/>
  <c r="G10" i="58"/>
  <c r="C10" i="58"/>
  <c r="C9" i="58"/>
  <c r="G9" i="58"/>
  <c r="G19" i="58"/>
  <c r="C19" i="58"/>
  <c r="G18" i="58"/>
  <c r="C18" i="58"/>
  <c r="F21" i="58"/>
  <c r="B21" i="58"/>
  <c r="G27" i="58"/>
  <c r="C27" i="58"/>
  <c r="G30" i="58"/>
  <c r="C30" i="58"/>
  <c r="F26" i="58"/>
  <c r="B26" i="58"/>
  <c r="G25" i="58"/>
  <c r="C25" i="58"/>
  <c r="C8" i="58" l="1"/>
  <c r="D123" i="29" l="1"/>
  <c r="G31" i="4"/>
  <c r="B29" i="4" l="1"/>
  <c r="F29" i="4"/>
  <c r="E29" i="4"/>
  <c r="C29" i="4"/>
  <c r="G23" i="4"/>
  <c r="E22" i="4"/>
  <c r="F22" i="4"/>
  <c r="B22" i="4"/>
  <c r="C22" i="4"/>
  <c r="G24" i="4"/>
  <c r="G30" i="4"/>
  <c r="G25" i="4"/>
  <c r="G32" i="4"/>
  <c r="D32" i="4"/>
  <c r="D24" i="4"/>
  <c r="I23" i="37"/>
  <c r="I25" i="37"/>
  <c r="I25" i="18"/>
  <c r="I30" i="37"/>
  <c r="I30" i="18"/>
  <c r="I31" i="37"/>
  <c r="I31" i="18"/>
  <c r="G26" i="4"/>
  <c r="D25" i="4"/>
  <c r="I24" i="37"/>
  <c r="I32" i="37"/>
  <c r="I32" i="18"/>
  <c r="D30" i="4"/>
  <c r="D31" i="4"/>
  <c r="E29" i="18" l="1"/>
  <c r="E29" i="23"/>
  <c r="E29" i="29"/>
  <c r="E29" i="33"/>
  <c r="E29" i="20"/>
  <c r="E29" i="24"/>
  <c r="E29" i="51"/>
  <c r="E29" i="37"/>
  <c r="E29" i="13"/>
  <c r="I23" i="18"/>
  <c r="D23" i="4"/>
  <c r="I26" i="4"/>
  <c r="M26" i="29" s="1"/>
  <c r="H26" i="4"/>
  <c r="J26" i="4" s="1"/>
  <c r="E123" i="29"/>
  <c r="F26" i="10"/>
  <c r="G37" i="4"/>
  <c r="F16" i="10"/>
  <c r="G36" i="4"/>
  <c r="F34" i="10"/>
  <c r="I26" i="29"/>
  <c r="I26" i="20"/>
  <c r="I26" i="23"/>
  <c r="I26" i="33"/>
  <c r="I26" i="37"/>
  <c r="I26" i="35"/>
  <c r="I26" i="18"/>
  <c r="I36" i="37"/>
  <c r="I37" i="37"/>
  <c r="G16" i="10"/>
  <c r="G26" i="10"/>
  <c r="G34" i="10"/>
  <c r="M26" i="20" l="1"/>
  <c r="M26" i="23"/>
  <c r="M26" i="35"/>
  <c r="M26" i="37"/>
  <c r="M26" i="33"/>
  <c r="M26" i="18"/>
  <c r="I9" i="13"/>
  <c r="I8" i="13"/>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H26" i="58"/>
  <c r="C33" i="58"/>
  <c r="C16" i="58"/>
  <c r="G24" i="58"/>
  <c r="H16" i="58"/>
  <c r="B8" i="58"/>
  <c r="D8" i="58" s="1"/>
  <c r="B33" i="58"/>
  <c r="D36"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H37" i="58" s="1"/>
  <c r="F38" i="58"/>
  <c r="F34" i="58"/>
  <c r="H34" i="58" l="1"/>
  <c r="H36" i="58"/>
  <c r="G32" i="58"/>
  <c r="H38" i="58"/>
  <c r="H35" i="58"/>
  <c r="F32" i="58"/>
  <c r="H32" i="58" l="1"/>
  <c r="D8" i="9" l="1"/>
  <c r="G56" i="10" l="1"/>
  <c r="G60" i="10"/>
  <c r="F60" i="10" l="1"/>
  <c r="F56" i="10"/>
  <c r="K28" i="10" l="1"/>
  <c r="J28" i="10"/>
  <c r="K9" i="33" l="1"/>
  <c r="K9" i="29"/>
  <c r="K8" i="51"/>
  <c r="B134" i="4"/>
  <c r="K8" i="29"/>
  <c r="K8" i="33"/>
  <c r="K9" i="51"/>
  <c r="C137" i="4"/>
  <c r="E136" i="4"/>
  <c r="K8" i="25"/>
  <c r="K8" i="24"/>
  <c r="K9" i="25"/>
  <c r="K9" i="24"/>
  <c r="K8" i="22"/>
  <c r="K9" i="22"/>
  <c r="F100" i="4"/>
  <c r="K9" i="20"/>
  <c r="B48" i="4"/>
  <c r="K8" i="20"/>
  <c r="K8" i="19"/>
  <c r="J36" i="13"/>
  <c r="K9" i="19"/>
  <c r="K39" i="13"/>
  <c r="K37" i="13"/>
  <c r="J39" i="13"/>
  <c r="J37" i="13"/>
  <c r="K36" i="13"/>
  <c r="K8" i="13"/>
  <c r="K9" i="13"/>
  <c r="C126" i="4"/>
  <c r="F117" i="4"/>
  <c r="B136" i="4"/>
  <c r="E96" i="4"/>
  <c r="C78" i="4"/>
  <c r="B38" i="4"/>
  <c r="C114" i="4"/>
  <c r="F75" i="4"/>
  <c r="B37" i="4"/>
  <c r="B35" i="4"/>
  <c r="C122" i="4"/>
  <c r="B34" i="4"/>
  <c r="E120" i="4"/>
  <c r="F78" i="4"/>
  <c r="E99" i="4"/>
  <c r="C55" i="4"/>
  <c r="C120" i="4"/>
  <c r="F96" i="4"/>
  <c r="B36" i="4"/>
  <c r="F113" i="4"/>
  <c r="B7" i="4"/>
  <c r="B75" i="4"/>
  <c r="C39" i="4"/>
  <c r="F28" i="4"/>
  <c r="C136" i="4" l="1"/>
  <c r="G96" i="4"/>
  <c r="C48" i="4"/>
  <c r="E48" i="72" s="1"/>
  <c r="E108" i="4"/>
  <c r="B12" i="4"/>
  <c r="B41" i="10" s="1"/>
  <c r="B10" i="4"/>
  <c r="B20" i="10" s="1"/>
  <c r="F34" i="4"/>
  <c r="C99" i="4"/>
  <c r="C34" i="4"/>
  <c r="C107" i="4"/>
  <c r="C134" i="4"/>
  <c r="B86" i="4"/>
  <c r="C37" i="4"/>
  <c r="E121" i="4"/>
  <c r="E35" i="4"/>
  <c r="F42" i="10" s="1"/>
  <c r="B54" i="4"/>
  <c r="B120" i="4"/>
  <c r="C49" i="4"/>
  <c r="C100" i="4"/>
  <c r="E110" i="4"/>
  <c r="F109" i="4"/>
  <c r="E75" i="4"/>
  <c r="G75" i="4" s="1"/>
  <c r="B9" i="4"/>
  <c r="C57" i="4"/>
  <c r="E137" i="4"/>
  <c r="B88" i="4"/>
  <c r="E135" i="4"/>
  <c r="E100" i="4"/>
  <c r="G100" i="4" s="1"/>
  <c r="F110" i="4"/>
  <c r="E125" i="4"/>
  <c r="E124" i="4"/>
  <c r="B137" i="4"/>
  <c r="B44" i="10" s="1"/>
  <c r="E86" i="4"/>
  <c r="C124" i="4"/>
  <c r="C12" i="4"/>
  <c r="C28" i="4"/>
  <c r="C75" i="4"/>
  <c r="F134" i="4"/>
  <c r="E68" i="4"/>
  <c r="C109" i="4"/>
  <c r="F12" i="4"/>
  <c r="G20" i="9"/>
  <c r="B107" i="4"/>
  <c r="B96" i="4"/>
  <c r="C54" i="4"/>
  <c r="C9" i="4"/>
  <c r="C38" i="4"/>
  <c r="B58" i="4"/>
  <c r="B8" i="4"/>
  <c r="F107" i="4"/>
  <c r="C11" i="4"/>
  <c r="C79" i="4"/>
  <c r="B49" i="4"/>
  <c r="B108" i="4"/>
  <c r="C113" i="4"/>
  <c r="F114" i="4"/>
  <c r="B79" i="4"/>
  <c r="B118" i="4"/>
  <c r="B124" i="4"/>
  <c r="B28" i="4"/>
  <c r="D28" i="4" s="1"/>
  <c r="F122" i="4"/>
  <c r="F11" i="4"/>
  <c r="B112" i="4"/>
  <c r="C7" i="4"/>
  <c r="C36" i="4"/>
  <c r="B100" i="4"/>
  <c r="F118" i="4"/>
  <c r="E113" i="4"/>
  <c r="G113" i="4" s="1"/>
  <c r="B121" i="4"/>
  <c r="B57" i="4"/>
  <c r="F137" i="4"/>
  <c r="B110" i="4"/>
  <c r="B126" i="4"/>
  <c r="F116" i="4"/>
  <c r="E10" i="4"/>
  <c r="F20" i="10" s="1"/>
  <c r="E34" i="4"/>
  <c r="F31" i="10" s="1"/>
  <c r="F120" i="4"/>
  <c r="E11" i="4"/>
  <c r="G37" i="9"/>
  <c r="C116" i="4"/>
  <c r="B55" i="4"/>
  <c r="B135" i="4"/>
  <c r="B25" i="10" s="1"/>
  <c r="C58" i="4"/>
  <c r="F112" i="4"/>
  <c r="E78" i="4"/>
  <c r="G78" i="4" s="1"/>
  <c r="B68" i="4"/>
  <c r="B13" i="10" s="1"/>
  <c r="E116" i="4"/>
  <c r="C10" i="4"/>
  <c r="B114" i="4"/>
  <c r="F88" i="4"/>
  <c r="B39" i="4"/>
  <c r="E7" i="4"/>
  <c r="F9" i="10" s="1"/>
  <c r="F99" i="4"/>
  <c r="C121" i="4"/>
  <c r="F10" i="4"/>
  <c r="E114" i="4"/>
  <c r="G114" i="4" s="1"/>
  <c r="B11" i="4"/>
  <c r="B30" i="10" s="1"/>
  <c r="C86" i="4"/>
  <c r="F135" i="4"/>
  <c r="C35" i="4"/>
  <c r="B113" i="4"/>
  <c r="F89" i="4"/>
  <c r="E79" i="4"/>
  <c r="C67" i="4"/>
  <c r="F126" i="4"/>
  <c r="E109" i="4"/>
  <c r="C108" i="4"/>
  <c r="F125" i="4"/>
  <c r="C125" i="4"/>
  <c r="G16" i="9"/>
  <c r="M65" i="8" s="1"/>
  <c r="E122" i="4"/>
  <c r="F136" i="4"/>
  <c r="E67" i="4"/>
  <c r="F86" i="4"/>
  <c r="B99" i="4"/>
  <c r="E28" i="4"/>
  <c r="E12" i="4"/>
  <c r="F41" i="10" s="1"/>
  <c r="C112" i="4"/>
  <c r="C135" i="4"/>
  <c r="E107" i="4"/>
  <c r="B78" i="4"/>
  <c r="E134" i="4"/>
  <c r="F15" i="10" s="1"/>
  <c r="C96" i="4"/>
  <c r="F121" i="4"/>
  <c r="F7" i="4"/>
  <c r="E112" i="4"/>
  <c r="G112" i="4" s="1"/>
  <c r="C8" i="4"/>
  <c r="F35" i="4"/>
  <c r="E88" i="4"/>
  <c r="B122" i="4"/>
  <c r="C68" i="4"/>
  <c r="B67" i="4"/>
  <c r="C89" i="4"/>
  <c r="E89" i="4"/>
  <c r="F79" i="4"/>
  <c r="E126" i="4"/>
  <c r="E117" i="4"/>
  <c r="G117" i="4" s="1"/>
  <c r="C118" i="4"/>
  <c r="B125" i="4"/>
  <c r="C110" i="4"/>
  <c r="E118" i="4"/>
  <c r="B116" i="4"/>
  <c r="C117" i="4"/>
  <c r="F124" i="4"/>
  <c r="F67" i="4"/>
  <c r="H9" i="9"/>
  <c r="C88" i="4"/>
  <c r="B89" i="4"/>
  <c r="B23" i="10" s="1"/>
  <c r="F68" i="4"/>
  <c r="B109" i="4"/>
  <c r="B117" i="4"/>
  <c r="F108" i="4"/>
  <c r="G13" i="9"/>
  <c r="G14" i="9"/>
  <c r="H23" i="9"/>
  <c r="B41" i="9"/>
  <c r="B42" i="9"/>
  <c r="C39" i="9"/>
  <c r="C40" i="9"/>
  <c r="H30" i="9"/>
  <c r="H13" i="9"/>
  <c r="H36" i="9"/>
  <c r="G12" i="9"/>
  <c r="C36" i="9"/>
  <c r="G19" i="9"/>
  <c r="H35" i="9"/>
  <c r="H11" i="9"/>
  <c r="H12" i="9"/>
  <c r="C38" i="9"/>
  <c r="G27" i="9"/>
  <c r="G29" i="9"/>
  <c r="H22" i="9"/>
  <c r="G23" i="9"/>
  <c r="B35" i="9"/>
  <c r="B40" i="9"/>
  <c r="B36" i="9"/>
  <c r="B16" i="10"/>
  <c r="K135" i="26"/>
  <c r="K7" i="35"/>
  <c r="H29" i="29"/>
  <c r="K121" i="13"/>
  <c r="H29" i="20"/>
  <c r="H68" i="29"/>
  <c r="K113" i="33"/>
  <c r="H68" i="35"/>
  <c r="H29" i="13"/>
  <c r="K68" i="20"/>
  <c r="K12" i="29"/>
  <c r="J86" i="29"/>
  <c r="K108" i="33"/>
  <c r="H22" i="33"/>
  <c r="K68" i="33"/>
  <c r="H35" i="29"/>
  <c r="H34" i="13"/>
  <c r="H121" i="27"/>
  <c r="D55" i="39"/>
  <c r="K89" i="27"/>
  <c r="K108" i="27"/>
  <c r="H121" i="35"/>
  <c r="K22" i="51"/>
  <c r="K135" i="34"/>
  <c r="K134" i="26"/>
  <c r="K113" i="29"/>
  <c r="H100" i="29"/>
  <c r="K137" i="26"/>
  <c r="K116" i="29"/>
  <c r="J79" i="29"/>
  <c r="K28" i="51"/>
  <c r="H89" i="29"/>
  <c r="K12" i="33"/>
  <c r="K116" i="33"/>
  <c r="K29" i="51"/>
  <c r="H34" i="33"/>
  <c r="H12" i="33"/>
  <c r="H79" i="27"/>
  <c r="H125" i="29"/>
  <c r="K108" i="23"/>
  <c r="D55" i="22"/>
  <c r="K22" i="23"/>
  <c r="K100" i="27"/>
  <c r="H40" i="9"/>
  <c r="K107" i="33"/>
  <c r="K100" i="33"/>
  <c r="K75" i="33"/>
  <c r="K122" i="33"/>
  <c r="H86" i="35"/>
  <c r="K114" i="33"/>
  <c r="H29" i="33"/>
  <c r="D58" i="39"/>
  <c r="D37" i="13"/>
  <c r="K89" i="20"/>
  <c r="H100" i="20"/>
  <c r="K89" i="23"/>
  <c r="K68" i="23"/>
  <c r="K28" i="24"/>
  <c r="H135" i="26"/>
  <c r="H22" i="29"/>
  <c r="K113" i="35"/>
  <c r="K12" i="35"/>
  <c r="K109" i="35"/>
  <c r="H12" i="35"/>
  <c r="K100" i="20"/>
  <c r="K28" i="25"/>
  <c r="K136" i="34"/>
  <c r="K96" i="33"/>
  <c r="H35" i="33"/>
  <c r="D49" i="33"/>
  <c r="K117" i="33"/>
  <c r="H100" i="27"/>
  <c r="H109" i="35"/>
  <c r="K28" i="23"/>
  <c r="H41" i="9"/>
  <c r="K113" i="20"/>
  <c r="K109" i="27"/>
  <c r="K89" i="33"/>
  <c r="K11" i="35"/>
  <c r="H113" i="35"/>
  <c r="H100" i="23"/>
  <c r="C37" i="9"/>
  <c r="B21" i="10"/>
  <c r="K109" i="23"/>
  <c r="H109" i="27"/>
  <c r="K10" i="35"/>
  <c r="K34" i="13"/>
  <c r="K107" i="13"/>
  <c r="K121" i="23"/>
  <c r="H109" i="23"/>
  <c r="H22" i="23"/>
  <c r="H89" i="35"/>
  <c r="K125" i="33"/>
  <c r="D49" i="39"/>
  <c r="K7" i="13"/>
  <c r="K7" i="19"/>
  <c r="K10" i="29"/>
  <c r="H7" i="23"/>
  <c r="H7" i="29"/>
  <c r="H7" i="33"/>
  <c r="K10" i="33"/>
  <c r="H10" i="13"/>
  <c r="K7" i="23"/>
  <c r="K11" i="33"/>
  <c r="K7" i="29"/>
  <c r="H10" i="35"/>
  <c r="H11" i="13"/>
  <c r="H89" i="20"/>
  <c r="K22" i="13"/>
  <c r="K29" i="13"/>
  <c r="H79" i="13"/>
  <c r="K100" i="13"/>
  <c r="K116" i="13"/>
  <c r="K10" i="13"/>
  <c r="H121" i="13"/>
  <c r="K7" i="20"/>
  <c r="K10" i="20"/>
  <c r="K22" i="24"/>
  <c r="D49" i="26"/>
  <c r="K11" i="29"/>
  <c r="H22" i="35"/>
  <c r="H113" i="29"/>
  <c r="H7" i="35"/>
  <c r="H11" i="35"/>
  <c r="K7" i="33"/>
  <c r="K121" i="33"/>
  <c r="H89" i="13"/>
  <c r="K109" i="13"/>
  <c r="K67" i="13"/>
  <c r="K11" i="13"/>
  <c r="H22" i="20"/>
  <c r="H107" i="35"/>
  <c r="H12" i="23"/>
  <c r="H136" i="26"/>
  <c r="H89" i="27"/>
  <c r="K28" i="29"/>
  <c r="K34" i="29"/>
  <c r="H134" i="26"/>
  <c r="K117" i="29"/>
  <c r="H35" i="35"/>
  <c r="H79" i="23"/>
  <c r="H89" i="23"/>
  <c r="H117" i="23"/>
  <c r="K35" i="29"/>
  <c r="H117" i="29"/>
  <c r="D49" i="13"/>
  <c r="H38" i="9"/>
  <c r="H43" i="9"/>
  <c r="D39" i="13"/>
  <c r="H22" i="13"/>
  <c r="H113" i="20"/>
  <c r="H7" i="13"/>
  <c r="K35" i="13"/>
  <c r="K108" i="13"/>
  <c r="K12" i="13"/>
  <c r="H107" i="13"/>
  <c r="C42" i="9"/>
  <c r="C43" i="9"/>
  <c r="H37" i="9"/>
  <c r="H39" i="9"/>
  <c r="C41" i="9"/>
  <c r="D48" i="13"/>
  <c r="J10" i="13"/>
  <c r="D10" i="13"/>
  <c r="K28" i="13"/>
  <c r="K68" i="13"/>
  <c r="K112" i="13"/>
  <c r="K117" i="13"/>
  <c r="H35" i="13"/>
  <c r="H109" i="13"/>
  <c r="J89" i="13"/>
  <c r="D89" i="13"/>
  <c r="D11" i="13"/>
  <c r="J11" i="13"/>
  <c r="J9" i="19"/>
  <c r="L9" i="19" s="1"/>
  <c r="D9" i="19"/>
  <c r="B34" i="9"/>
  <c r="K113" i="13"/>
  <c r="J9" i="13"/>
  <c r="D9" i="13"/>
  <c r="H68" i="13"/>
  <c r="G11" i="9"/>
  <c r="J88" i="13"/>
  <c r="D88" i="13"/>
  <c r="H100" i="13"/>
  <c r="H12" i="13"/>
  <c r="C34" i="9"/>
  <c r="H34" i="9"/>
  <c r="G34" i="9"/>
  <c r="D78" i="13"/>
  <c r="J78" i="13"/>
  <c r="J12" i="13"/>
  <c r="D12" i="13"/>
  <c r="K120" i="13"/>
  <c r="C35" i="9"/>
  <c r="K88" i="13"/>
  <c r="H117" i="13"/>
  <c r="D35" i="13"/>
  <c r="J35" i="13"/>
  <c r="J68" i="13"/>
  <c r="K86" i="13"/>
  <c r="K89" i="13"/>
  <c r="J107" i="13"/>
  <c r="D107" i="13"/>
  <c r="D112" i="13"/>
  <c r="J112" i="13"/>
  <c r="J117" i="13"/>
  <c r="D86" i="13"/>
  <c r="J86" i="13"/>
  <c r="J125" i="13"/>
  <c r="G10" i="9"/>
  <c r="D8" i="20"/>
  <c r="J8" i="20"/>
  <c r="L8" i="20" s="1"/>
  <c r="J79" i="13"/>
  <c r="D99" i="13"/>
  <c r="J99" i="13"/>
  <c r="J124" i="13"/>
  <c r="D124" i="13"/>
  <c r="H108" i="13"/>
  <c r="H113" i="13"/>
  <c r="J68" i="20"/>
  <c r="D68" i="20"/>
  <c r="J100" i="20"/>
  <c r="D100" i="20"/>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J28" i="20"/>
  <c r="D28" i="20"/>
  <c r="K79" i="20"/>
  <c r="K121" i="20"/>
  <c r="D54" i="22"/>
  <c r="D22" i="23"/>
  <c r="J22" i="23"/>
  <c r="D28" i="24"/>
  <c r="J28" i="24"/>
  <c r="D28" i="25"/>
  <c r="J28" i="25"/>
  <c r="J100" i="27"/>
  <c r="J112" i="23"/>
  <c r="D112" i="23"/>
  <c r="J22" i="24"/>
  <c r="D22" i="24"/>
  <c r="J88" i="27"/>
  <c r="D88" i="27"/>
  <c r="D8" i="22"/>
  <c r="J8" i="22"/>
  <c r="L8" i="22" s="1"/>
  <c r="D29" i="23"/>
  <c r="J29" i="23"/>
  <c r="K112" i="23"/>
  <c r="D7" i="24"/>
  <c r="J7" i="24"/>
  <c r="J22" i="51"/>
  <c r="L22" i="51" s="1"/>
  <c r="D22" i="51"/>
  <c r="G21" i="9"/>
  <c r="K11" i="23"/>
  <c r="K35" i="23"/>
  <c r="J117" i="23"/>
  <c r="K29" i="24"/>
  <c r="D48" i="25"/>
  <c r="D9" i="22"/>
  <c r="J9" i="22"/>
  <c r="L9" i="22" s="1"/>
  <c r="K12" i="23"/>
  <c r="K67" i="23"/>
  <c r="D78" i="23"/>
  <c r="K78" i="23"/>
  <c r="J108" i="23"/>
  <c r="D108" i="23"/>
  <c r="H113" i="23"/>
  <c r="J68" i="27"/>
  <c r="K88" i="27"/>
  <c r="H20" i="9"/>
  <c r="D67" i="29"/>
  <c r="K67" i="29"/>
  <c r="J75" i="33"/>
  <c r="D75" i="33"/>
  <c r="D48" i="26"/>
  <c r="H19" i="9"/>
  <c r="K67" i="27"/>
  <c r="J79" i="27"/>
  <c r="J121" i="27"/>
  <c r="D48" i="51"/>
  <c r="J28" i="29"/>
  <c r="D28" i="29"/>
  <c r="D136" i="26"/>
  <c r="J136" i="26"/>
  <c r="H68" i="27"/>
  <c r="H117" i="27"/>
  <c r="D7" i="29"/>
  <c r="J7" i="29"/>
  <c r="J10" i="35"/>
  <c r="J12" i="29"/>
  <c r="H12" i="29"/>
  <c r="J109" i="29"/>
  <c r="D109" i="29"/>
  <c r="K120" i="29"/>
  <c r="D68" i="29"/>
  <c r="J68" i="29"/>
  <c r="D86" i="29"/>
  <c r="K86" i="29"/>
  <c r="K89" i="29"/>
  <c r="K107" i="29"/>
  <c r="J112" i="29"/>
  <c r="D112" i="29"/>
  <c r="D116" i="29"/>
  <c r="J116" i="29"/>
  <c r="H121" i="29"/>
  <c r="J7" i="35"/>
  <c r="K22" i="35"/>
  <c r="K29" i="35"/>
  <c r="J10" i="33"/>
  <c r="D10" i="33"/>
  <c r="J68" i="33"/>
  <c r="D68" i="33"/>
  <c r="J125" i="35"/>
  <c r="L125" i="35" s="1"/>
  <c r="D54" i="33"/>
  <c r="J86" i="35"/>
  <c r="J89" i="35"/>
  <c r="J107" i="35"/>
  <c r="D57" i="33"/>
  <c r="K78" i="33"/>
  <c r="K77" i="33"/>
  <c r="K112" i="33"/>
  <c r="K121" i="35"/>
  <c r="J8" i="33"/>
  <c r="L8" i="33" s="1"/>
  <c r="D8" i="33"/>
  <c r="H11" i="33"/>
  <c r="K35" i="33"/>
  <c r="D96" i="33"/>
  <c r="J96" i="33"/>
  <c r="J108" i="33"/>
  <c r="D108" i="33"/>
  <c r="K110" i="33"/>
  <c r="D116" i="33"/>
  <c r="J116" i="33"/>
  <c r="D54" i="39"/>
  <c r="J8" i="13"/>
  <c r="D8" i="13"/>
  <c r="J28" i="13"/>
  <c r="D28" i="13"/>
  <c r="J34" i="13"/>
  <c r="D34" i="13"/>
  <c r="D67" i="13"/>
  <c r="J67" i="13"/>
  <c r="K79" i="13"/>
  <c r="G35" i="9"/>
  <c r="D100" i="13"/>
  <c r="J100" i="13"/>
  <c r="J116" i="13"/>
  <c r="D116" i="13"/>
  <c r="J121" i="13"/>
  <c r="D113" i="20"/>
  <c r="J113" i="20"/>
  <c r="K125" i="13"/>
  <c r="J8" i="19"/>
  <c r="L8" i="19" s="1"/>
  <c r="D8" i="19"/>
  <c r="D79" i="20"/>
  <c r="J79" i="20"/>
  <c r="J121" i="20"/>
  <c r="D121" i="20"/>
  <c r="D57" i="22"/>
  <c r="J9" i="20"/>
  <c r="L9" i="20" s="1"/>
  <c r="D9" i="20"/>
  <c r="H68" i="20"/>
  <c r="K22" i="20"/>
  <c r="K29" i="20"/>
  <c r="H79" i="20"/>
  <c r="H121" i="20"/>
  <c r="J113" i="23"/>
  <c r="J125" i="27"/>
  <c r="K7" i="22"/>
  <c r="J12" i="35"/>
  <c r="D49" i="22"/>
  <c r="J10" i="23"/>
  <c r="J34" i="23"/>
  <c r="K113" i="23"/>
  <c r="J125" i="23"/>
  <c r="J8" i="24"/>
  <c r="L8" i="24" s="1"/>
  <c r="D8" i="24"/>
  <c r="G17" i="9"/>
  <c r="M66" i="8" s="1"/>
  <c r="J7" i="25"/>
  <c r="D7" i="25"/>
  <c r="D29" i="51"/>
  <c r="L29" i="51"/>
  <c r="J12" i="23"/>
  <c r="J78" i="23"/>
  <c r="K7" i="24"/>
  <c r="D10" i="24"/>
  <c r="J10" i="24"/>
  <c r="H29" i="23"/>
  <c r="J68" i="23"/>
  <c r="K79" i="23"/>
  <c r="J88" i="23"/>
  <c r="D88" i="23"/>
  <c r="K99" i="23"/>
  <c r="J109" i="23"/>
  <c r="K120" i="23"/>
  <c r="K10" i="24"/>
  <c r="D48" i="40"/>
  <c r="J29" i="29"/>
  <c r="D29" i="29"/>
  <c r="D112" i="27"/>
  <c r="J112" i="27"/>
  <c r="J117" i="27"/>
  <c r="D48" i="41"/>
  <c r="K68" i="27"/>
  <c r="K112" i="27"/>
  <c r="K117" i="27"/>
  <c r="D134" i="26"/>
  <c r="J134" i="26"/>
  <c r="D137" i="26"/>
  <c r="J137" i="26"/>
  <c r="H113" i="27"/>
  <c r="K7" i="51"/>
  <c r="K10" i="51"/>
  <c r="J78" i="29"/>
  <c r="D78" i="29"/>
  <c r="J22" i="29"/>
  <c r="D22" i="29"/>
  <c r="K68" i="29"/>
  <c r="J88" i="29"/>
  <c r="G24" i="9"/>
  <c r="D88" i="29"/>
  <c r="J11" i="33"/>
  <c r="J121" i="29"/>
  <c r="J134" i="34"/>
  <c r="D134" i="34"/>
  <c r="H29" i="35"/>
  <c r="K108" i="29"/>
  <c r="D48" i="34"/>
  <c r="G25" i="9"/>
  <c r="J22" i="35"/>
  <c r="J29" i="35"/>
  <c r="H77" i="29"/>
  <c r="H107" i="29"/>
  <c r="K112" i="29"/>
  <c r="J117" i="29"/>
  <c r="J135" i="34"/>
  <c r="D135" i="34"/>
  <c r="K34" i="35"/>
  <c r="J117" i="35"/>
  <c r="J9" i="33"/>
  <c r="L9" i="33" s="1"/>
  <c r="D9" i="33"/>
  <c r="J78" i="33"/>
  <c r="D78" i="33"/>
  <c r="J22" i="33"/>
  <c r="D22" i="33"/>
  <c r="J29" i="33"/>
  <c r="D29" i="33"/>
  <c r="J67" i="33"/>
  <c r="K79" i="33"/>
  <c r="H42" i="9"/>
  <c r="K86" i="35"/>
  <c r="K89" i="35"/>
  <c r="K107" i="35"/>
  <c r="H117" i="35"/>
  <c r="J99" i="33"/>
  <c r="D99" i="33"/>
  <c r="D109" i="33"/>
  <c r="J109" i="33"/>
  <c r="D48" i="38"/>
  <c r="G43" i="9"/>
  <c r="J112" i="33"/>
  <c r="D112" i="33"/>
  <c r="J117" i="33"/>
  <c r="D48" i="39"/>
  <c r="D47" i="39"/>
  <c r="D56" i="21"/>
  <c r="D57" i="21"/>
  <c r="K28" i="20"/>
  <c r="J89" i="20"/>
  <c r="D89" i="20"/>
  <c r="J28" i="23"/>
  <c r="D28" i="23"/>
  <c r="D48" i="21"/>
  <c r="D57" i="25"/>
  <c r="J11" i="23"/>
  <c r="J35" i="23"/>
  <c r="J8" i="25"/>
  <c r="L8" i="25" s="1"/>
  <c r="D8" i="25"/>
  <c r="J9" i="51"/>
  <c r="L9" i="51" s="1"/>
  <c r="D9" i="51"/>
  <c r="K29" i="23"/>
  <c r="J67" i="23"/>
  <c r="D67" i="23"/>
  <c r="J79" i="23"/>
  <c r="J99" i="23"/>
  <c r="D99" i="23"/>
  <c r="J120" i="23"/>
  <c r="D120" i="23"/>
  <c r="K125" i="23"/>
  <c r="K7" i="25"/>
  <c r="D48" i="22"/>
  <c r="H10" i="23"/>
  <c r="H34" i="23"/>
  <c r="J89" i="23"/>
  <c r="K100" i="23"/>
  <c r="K116" i="23"/>
  <c r="J121" i="23"/>
  <c r="H125" i="23"/>
  <c r="J9" i="24"/>
  <c r="L9" i="24" s="1"/>
  <c r="D9" i="24"/>
  <c r="D54" i="25"/>
  <c r="D99" i="27"/>
  <c r="J99" i="27"/>
  <c r="J113" i="27"/>
  <c r="D57" i="41"/>
  <c r="K113" i="27"/>
  <c r="J7" i="51"/>
  <c r="D7" i="51"/>
  <c r="D10" i="51"/>
  <c r="J10" i="51"/>
  <c r="L10" i="51" s="1"/>
  <c r="J34" i="29"/>
  <c r="D34" i="29"/>
  <c r="K78" i="27"/>
  <c r="K77" i="27"/>
  <c r="K120" i="27"/>
  <c r="H125" i="27"/>
  <c r="D10" i="29"/>
  <c r="J10" i="29"/>
  <c r="J89" i="29"/>
  <c r="D89" i="29"/>
  <c r="J11" i="35"/>
  <c r="H10" i="29"/>
  <c r="K22" i="29"/>
  <c r="K29" i="29"/>
  <c r="J120" i="29"/>
  <c r="D120" i="29"/>
  <c r="J107" i="29"/>
  <c r="D107" i="29"/>
  <c r="H34" i="35"/>
  <c r="K78" i="29"/>
  <c r="K99" i="29"/>
  <c r="K109" i="29"/>
  <c r="J125" i="29"/>
  <c r="K134" i="34"/>
  <c r="J34" i="35"/>
  <c r="J68" i="35"/>
  <c r="H28" i="9"/>
  <c r="H79" i="29"/>
  <c r="J113" i="29"/>
  <c r="K125" i="29"/>
  <c r="K35" i="35"/>
  <c r="K68" i="35"/>
  <c r="D48" i="33"/>
  <c r="K117" i="35"/>
  <c r="G65" i="9"/>
  <c r="D67" i="33"/>
  <c r="K67" i="33"/>
  <c r="J79" i="33"/>
  <c r="D79" i="33"/>
  <c r="K125" i="35"/>
  <c r="J28" i="33"/>
  <c r="D28" i="33"/>
  <c r="J34" i="33"/>
  <c r="K86" i="33"/>
  <c r="D122" i="33"/>
  <c r="J122" i="33"/>
  <c r="J113" i="35"/>
  <c r="K22" i="33"/>
  <c r="K29" i="33"/>
  <c r="J88" i="33"/>
  <c r="D88" i="33"/>
  <c r="J100" i="33"/>
  <c r="D100" i="33"/>
  <c r="K120" i="33"/>
  <c r="D113" i="33"/>
  <c r="J113" i="33"/>
  <c r="C30" i="9"/>
  <c r="D57" i="39"/>
  <c r="D54" i="21"/>
  <c r="J22" i="20"/>
  <c r="D22" i="20"/>
  <c r="J29" i="20"/>
  <c r="D29" i="20"/>
  <c r="D48" i="20"/>
  <c r="J7" i="23"/>
  <c r="G15" i="9"/>
  <c r="K88" i="23"/>
  <c r="J35" i="29"/>
  <c r="D7" i="22"/>
  <c r="J7" i="22"/>
  <c r="H121" i="23"/>
  <c r="J29" i="24"/>
  <c r="D29" i="24"/>
  <c r="H18" i="9"/>
  <c r="J89" i="27"/>
  <c r="K10" i="23"/>
  <c r="K34" i="23"/>
  <c r="H68" i="23"/>
  <c r="J100" i="23"/>
  <c r="D116" i="23"/>
  <c r="J116" i="23"/>
  <c r="J108" i="27"/>
  <c r="D108" i="27"/>
  <c r="J28" i="51"/>
  <c r="D28" i="51"/>
  <c r="H11" i="23"/>
  <c r="H35" i="23"/>
  <c r="K117" i="23"/>
  <c r="J9" i="25"/>
  <c r="L9" i="25" s="1"/>
  <c r="D9" i="25"/>
  <c r="H77" i="27"/>
  <c r="J109" i="27"/>
  <c r="D67" i="27"/>
  <c r="J67" i="27"/>
  <c r="K99" i="27"/>
  <c r="K125" i="27"/>
  <c r="G22" i="9"/>
  <c r="K136" i="26"/>
  <c r="J78" i="27"/>
  <c r="D78" i="27"/>
  <c r="D120" i="27"/>
  <c r="J120" i="27"/>
  <c r="J8" i="51"/>
  <c r="L8" i="51" s="1"/>
  <c r="D8" i="51"/>
  <c r="G18" i="9"/>
  <c r="D135" i="26"/>
  <c r="J135" i="26"/>
  <c r="K79" i="27"/>
  <c r="K121" i="27"/>
  <c r="D57" i="40"/>
  <c r="D54" i="41"/>
  <c r="D53" i="41"/>
  <c r="J8" i="29"/>
  <c r="L8" i="29" s="1"/>
  <c r="D8" i="29"/>
  <c r="J11" i="29"/>
  <c r="J99" i="29"/>
  <c r="D99" i="29"/>
  <c r="D120" i="33"/>
  <c r="J120" i="33"/>
  <c r="D9" i="29"/>
  <c r="J9" i="29"/>
  <c r="L9" i="29" s="1"/>
  <c r="H11" i="29"/>
  <c r="H34" i="29"/>
  <c r="J100" i="29"/>
  <c r="D100" i="29"/>
  <c r="J136" i="34"/>
  <c r="D136" i="34"/>
  <c r="J108" i="29"/>
  <c r="D108" i="29"/>
  <c r="J12" i="33"/>
  <c r="D125" i="33"/>
  <c r="J125" i="33"/>
  <c r="J67" i="29"/>
  <c r="D79" i="29"/>
  <c r="K79" i="29"/>
  <c r="K88" i="29"/>
  <c r="K100" i="29"/>
  <c r="K121" i="29"/>
  <c r="J35" i="35"/>
  <c r="K99" i="33"/>
  <c r="K98" i="33"/>
  <c r="H86" i="29"/>
  <c r="H109" i="29"/>
  <c r="K88" i="33"/>
  <c r="J86" i="33"/>
  <c r="D121" i="33"/>
  <c r="J121" i="33"/>
  <c r="J121" i="35"/>
  <c r="J35" i="33"/>
  <c r="D35" i="33"/>
  <c r="J109" i="35"/>
  <c r="H125" i="35"/>
  <c r="J7" i="33"/>
  <c r="D7" i="33"/>
  <c r="H10" i="33"/>
  <c r="K28" i="33"/>
  <c r="K34" i="33"/>
  <c r="J89" i="33"/>
  <c r="D89" i="33"/>
  <c r="J107" i="33"/>
  <c r="J110" i="33"/>
  <c r="D110" i="33"/>
  <c r="K109" i="33"/>
  <c r="J114" i="33"/>
  <c r="D114" i="33"/>
  <c r="G28" i="9"/>
  <c r="G30" i="9"/>
  <c r="B15" i="10"/>
  <c r="B9" i="10"/>
  <c r="B10" i="10"/>
  <c r="B33" i="10"/>
  <c r="F21" i="10"/>
  <c r="F25" i="10"/>
  <c r="F10" i="10"/>
  <c r="F30" i="10"/>
  <c r="B26" i="10"/>
  <c r="B34" i="10"/>
  <c r="L28" i="51" l="1"/>
  <c r="G107" i="4"/>
  <c r="G79" i="4"/>
  <c r="D35" i="4"/>
  <c r="G109" i="4"/>
  <c r="G124" i="4"/>
  <c r="G108" i="4"/>
  <c r="F23" i="10"/>
  <c r="G89" i="4"/>
  <c r="G116" i="4"/>
  <c r="G86" i="4"/>
  <c r="G125" i="4"/>
  <c r="F13" i="10"/>
  <c r="G68" i="4"/>
  <c r="G121" i="4"/>
  <c r="D34" i="4"/>
  <c r="E34" i="29"/>
  <c r="E28" i="20"/>
  <c r="I28" i="4"/>
  <c r="E35" i="37"/>
  <c r="E28" i="18"/>
  <c r="E28" i="37"/>
  <c r="E28" i="13"/>
  <c r="L7" i="35"/>
  <c r="E28" i="23"/>
  <c r="E28" i="51"/>
  <c r="E28" i="33"/>
  <c r="E28" i="24"/>
  <c r="E28" i="25"/>
  <c r="E28" i="29"/>
  <c r="L110" i="33"/>
  <c r="D53" i="21"/>
  <c r="K77" i="20"/>
  <c r="H77" i="20"/>
  <c r="E34" i="37"/>
  <c r="E34" i="13"/>
  <c r="E35" i="13"/>
  <c r="L7" i="51"/>
  <c r="E35" i="33"/>
  <c r="H77" i="13"/>
  <c r="B56" i="4"/>
  <c r="B49" i="10" s="1"/>
  <c r="B119" i="4"/>
  <c r="B43" i="10" s="1"/>
  <c r="C119" i="4"/>
  <c r="F119" i="4"/>
  <c r="B47" i="4"/>
  <c r="B11" i="10" s="1"/>
  <c r="B77" i="4"/>
  <c r="C53" i="4"/>
  <c r="B111" i="4"/>
  <c r="B32" i="10" s="1"/>
  <c r="E111" i="4"/>
  <c r="C47" i="4"/>
  <c r="E47" i="72" s="1"/>
  <c r="F111" i="4"/>
  <c r="B98" i="4"/>
  <c r="E98" i="4"/>
  <c r="B53" i="4"/>
  <c r="B38" i="10" s="1"/>
  <c r="C56" i="4"/>
  <c r="C111" i="4"/>
  <c r="C98" i="4"/>
  <c r="E97" i="29" s="1"/>
  <c r="E77" i="4"/>
  <c r="E119" i="4"/>
  <c r="F98" i="4"/>
  <c r="F77" i="4"/>
  <c r="E66" i="4"/>
  <c r="B66" i="4"/>
  <c r="E87" i="4"/>
  <c r="C66" i="4"/>
  <c r="F87" i="4"/>
  <c r="C87" i="4"/>
  <c r="C77" i="4"/>
  <c r="B87" i="4"/>
  <c r="B22" i="10" s="1"/>
  <c r="F66" i="4"/>
  <c r="B42" i="10"/>
  <c r="E99" i="18"/>
  <c r="E116" i="18"/>
  <c r="D29" i="4"/>
  <c r="E88" i="18"/>
  <c r="E9" i="18"/>
  <c r="E67" i="18"/>
  <c r="E8" i="18"/>
  <c r="E112" i="18"/>
  <c r="E108" i="18"/>
  <c r="E120" i="18"/>
  <c r="E78" i="18"/>
  <c r="E124" i="18"/>
  <c r="D37" i="4"/>
  <c r="D36" i="4"/>
  <c r="D39" i="4"/>
  <c r="I33" i="18"/>
  <c r="I33" i="37"/>
  <c r="I33" i="33"/>
  <c r="I33" i="35"/>
  <c r="I33" i="29"/>
  <c r="I33" i="23"/>
  <c r="I33" i="20"/>
  <c r="B31" i="10"/>
  <c r="H119" i="20"/>
  <c r="D110" i="4"/>
  <c r="L117" i="35"/>
  <c r="L122" i="33"/>
  <c r="L135" i="26"/>
  <c r="E39" i="13"/>
  <c r="H111" i="35"/>
  <c r="L113" i="35"/>
  <c r="D122" i="4"/>
  <c r="H119" i="35"/>
  <c r="D47" i="34"/>
  <c r="L121" i="13"/>
  <c r="L108" i="33"/>
  <c r="L121" i="35"/>
  <c r="E48" i="37"/>
  <c r="E48" i="18"/>
  <c r="I11" i="37"/>
  <c r="I11" i="18"/>
  <c r="E54" i="37"/>
  <c r="I34" i="37"/>
  <c r="I34" i="18"/>
  <c r="I117" i="37"/>
  <c r="I117" i="18"/>
  <c r="E22" i="37"/>
  <c r="E22" i="18"/>
  <c r="I109" i="37"/>
  <c r="I109" i="18"/>
  <c r="E7" i="37"/>
  <c r="E7" i="18"/>
  <c r="E134" i="37"/>
  <c r="I89" i="37"/>
  <c r="I89" i="18"/>
  <c r="I10" i="37"/>
  <c r="I10" i="18"/>
  <c r="I125" i="37"/>
  <c r="I125" i="18"/>
  <c r="I124" i="37"/>
  <c r="I124" i="18"/>
  <c r="I113" i="37"/>
  <c r="I113" i="18"/>
  <c r="I68" i="37"/>
  <c r="I68" i="18"/>
  <c r="E137" i="37"/>
  <c r="I114" i="37"/>
  <c r="I96" i="37"/>
  <c r="E75" i="37"/>
  <c r="E36" i="37"/>
  <c r="E49" i="37"/>
  <c r="I100" i="37"/>
  <c r="I100" i="18"/>
  <c r="E89" i="37"/>
  <c r="D114" i="4"/>
  <c r="I12" i="37"/>
  <c r="I12" i="18"/>
  <c r="E37" i="37"/>
  <c r="I22" i="37"/>
  <c r="I22" i="18"/>
  <c r="I121" i="37"/>
  <c r="I121" i="18"/>
  <c r="I29" i="37"/>
  <c r="I29" i="18"/>
  <c r="I79" i="37"/>
  <c r="I79" i="18"/>
  <c r="I116" i="37"/>
  <c r="I116" i="18"/>
  <c r="I35" i="37"/>
  <c r="I35" i="18"/>
  <c r="I75" i="37"/>
  <c r="E135" i="37"/>
  <c r="I112" i="37"/>
  <c r="I108" i="37"/>
  <c r="I108" i="18"/>
  <c r="E10" i="37"/>
  <c r="E10" i="18"/>
  <c r="E57" i="37"/>
  <c r="I7" i="37"/>
  <c r="I7" i="18"/>
  <c r="E96" i="37"/>
  <c r="L114" i="33"/>
  <c r="H77" i="23"/>
  <c r="K77" i="23"/>
  <c r="D47" i="21"/>
  <c r="D47" i="20"/>
  <c r="L107" i="29"/>
  <c r="L134" i="26"/>
  <c r="L109" i="23"/>
  <c r="L113" i="33"/>
  <c r="L12" i="33"/>
  <c r="D56" i="22"/>
  <c r="H111" i="20"/>
  <c r="D56" i="41"/>
  <c r="E100" i="37"/>
  <c r="E122" i="37"/>
  <c r="E78" i="37"/>
  <c r="E114" i="37"/>
  <c r="E9" i="37"/>
  <c r="E124" i="37"/>
  <c r="E8" i="37"/>
  <c r="E67" i="37"/>
  <c r="E116" i="37"/>
  <c r="E125" i="37"/>
  <c r="E99" i="37"/>
  <c r="E112" i="37"/>
  <c r="E110" i="37"/>
  <c r="E107" i="37"/>
  <c r="E88" i="37"/>
  <c r="E86" i="37"/>
  <c r="E108" i="37"/>
  <c r="E120" i="37"/>
  <c r="H66" i="27"/>
  <c r="D47" i="38"/>
  <c r="L96" i="33"/>
  <c r="L113" i="29"/>
  <c r="L89" i="23"/>
  <c r="L75" i="33"/>
  <c r="L68" i="20"/>
  <c r="L136" i="34"/>
  <c r="H98" i="20"/>
  <c r="L68" i="33"/>
  <c r="L68" i="23"/>
  <c r="L28" i="24"/>
  <c r="H98" i="29"/>
  <c r="K98" i="29"/>
  <c r="L89" i="20"/>
  <c r="L22" i="23"/>
  <c r="K98" i="20"/>
  <c r="L120" i="33"/>
  <c r="K87" i="29"/>
  <c r="L137" i="26"/>
  <c r="D47" i="40"/>
  <c r="L89" i="27"/>
  <c r="K66" i="27"/>
  <c r="L113" i="20"/>
  <c r="L28" i="23"/>
  <c r="L12" i="29"/>
  <c r="D53" i="13"/>
  <c r="K87" i="33"/>
  <c r="K87" i="23"/>
  <c r="L89" i="33"/>
  <c r="H87" i="29"/>
  <c r="L135" i="34"/>
  <c r="L109" i="27"/>
  <c r="L10" i="29"/>
  <c r="L7" i="33"/>
  <c r="H98" i="27"/>
  <c r="H66" i="23"/>
  <c r="L35" i="29"/>
  <c r="D56" i="39"/>
  <c r="L11" i="35"/>
  <c r="H87" i="35"/>
  <c r="L116" i="29"/>
  <c r="L11" i="29"/>
  <c r="D47" i="41"/>
  <c r="H111" i="13"/>
  <c r="L108" i="27"/>
  <c r="L35" i="23"/>
  <c r="N138" i="8"/>
  <c r="C12" i="9"/>
  <c r="N113" i="8"/>
  <c r="C24" i="9"/>
  <c r="C13" i="9"/>
  <c r="C22" i="9"/>
  <c r="C27" i="9"/>
  <c r="K119" i="20"/>
  <c r="K111" i="13"/>
  <c r="L107" i="33"/>
  <c r="L100" i="33"/>
  <c r="L100" i="20"/>
  <c r="N141" i="8"/>
  <c r="M113" i="8"/>
  <c r="L108" i="13"/>
  <c r="D56" i="40"/>
  <c r="N142" i="8"/>
  <c r="L109" i="35"/>
  <c r="H119" i="23"/>
  <c r="L116" i="33"/>
  <c r="L100" i="27"/>
  <c r="C19" i="9"/>
  <c r="D53" i="22"/>
  <c r="L35" i="33"/>
  <c r="L67" i="29"/>
  <c r="L29" i="20"/>
  <c r="L116" i="23"/>
  <c r="L12" i="35"/>
  <c r="H87" i="27"/>
  <c r="L108" i="23"/>
  <c r="L28" i="25"/>
  <c r="H98" i="13"/>
  <c r="K111" i="29"/>
  <c r="D47" i="33"/>
  <c r="D56" i="25"/>
  <c r="L117" i="33"/>
  <c r="L10" i="35"/>
  <c r="L12" i="13"/>
  <c r="K66" i="35"/>
  <c r="N136" i="8"/>
  <c r="L99" i="23"/>
  <c r="L7" i="20"/>
  <c r="K119" i="13"/>
  <c r="M115" i="8"/>
  <c r="K66" i="23"/>
  <c r="K87" i="35"/>
  <c r="M110" i="8"/>
  <c r="L11" i="33"/>
  <c r="H119" i="13"/>
  <c r="C14" i="9"/>
  <c r="G9" i="9"/>
  <c r="N140" i="8"/>
  <c r="L7" i="13"/>
  <c r="M139" i="8"/>
  <c r="N135" i="8"/>
  <c r="B28" i="9"/>
  <c r="M116" i="8"/>
  <c r="M140" i="8"/>
  <c r="N112" i="8"/>
  <c r="N137" i="8"/>
  <c r="N143" i="8"/>
  <c r="C9" i="9"/>
  <c r="C28" i="9"/>
  <c r="C21" i="9"/>
  <c r="C17" i="9"/>
  <c r="M112" i="8"/>
  <c r="B11" i="9"/>
  <c r="B15" i="9"/>
  <c r="B9" i="9"/>
  <c r="M117" i="8"/>
  <c r="L125" i="33"/>
  <c r="L121" i="23"/>
  <c r="M114" i="8"/>
  <c r="M138" i="8"/>
  <c r="L116" i="13"/>
  <c r="N116" i="8"/>
  <c r="L10" i="33"/>
  <c r="C18" i="9"/>
  <c r="B18" i="9"/>
  <c r="L22" i="13"/>
  <c r="L107" i="13"/>
  <c r="B10" i="9"/>
  <c r="L10" i="13"/>
  <c r="L121" i="33"/>
  <c r="C25" i="9"/>
  <c r="K98" i="27"/>
  <c r="H87" i="23"/>
  <c r="L29" i="24"/>
  <c r="L7" i="23"/>
  <c r="L120" i="29"/>
  <c r="D47" i="22"/>
  <c r="L11" i="23"/>
  <c r="L117" i="29"/>
  <c r="B23" i="9"/>
  <c r="N114" i="8"/>
  <c r="K119" i="23"/>
  <c r="L34" i="13"/>
  <c r="M142" i="8"/>
  <c r="B21" i="9"/>
  <c r="B19" i="9"/>
  <c r="N139" i="8"/>
  <c r="L22" i="24"/>
  <c r="L7" i="19"/>
  <c r="N110" i="8"/>
  <c r="M111" i="8"/>
  <c r="C10" i="9"/>
  <c r="L11" i="13"/>
  <c r="C11" i="9"/>
  <c r="M135" i="8"/>
  <c r="C29" i="9"/>
  <c r="F14" i="10"/>
  <c r="E48" i="39"/>
  <c r="I89" i="20"/>
  <c r="I89" i="13"/>
  <c r="I89" i="29"/>
  <c r="I89" i="35"/>
  <c r="I89" i="33"/>
  <c r="I89" i="27"/>
  <c r="I89" i="23"/>
  <c r="G23" i="10"/>
  <c r="I35" i="23"/>
  <c r="I35" i="29"/>
  <c r="I35" i="35"/>
  <c r="I35" i="33"/>
  <c r="I35" i="13"/>
  <c r="G42" i="10"/>
  <c r="I134" i="26"/>
  <c r="G15" i="10"/>
  <c r="I10" i="23"/>
  <c r="I10" i="35"/>
  <c r="I10" i="29"/>
  <c r="I10" i="33"/>
  <c r="I10" i="13"/>
  <c r="G20" i="10"/>
  <c r="E49" i="39"/>
  <c r="I23" i="33"/>
  <c r="I23" i="13"/>
  <c r="I23" i="23"/>
  <c r="I23" i="29"/>
  <c r="I23" i="35"/>
  <c r="E54" i="39"/>
  <c r="C25" i="10"/>
  <c r="C31" i="10"/>
  <c r="C9" i="10"/>
  <c r="C23" i="10"/>
  <c r="G44" i="10"/>
  <c r="C41" i="10"/>
  <c r="I86" i="29"/>
  <c r="I86" i="33"/>
  <c r="I86" i="35"/>
  <c r="I28" i="33"/>
  <c r="C21" i="10"/>
  <c r="C33" i="10"/>
  <c r="C16" i="10"/>
  <c r="H16" i="9"/>
  <c r="N65" i="8" s="1"/>
  <c r="B14" i="9"/>
  <c r="M143" i="8"/>
  <c r="B12" i="9"/>
  <c r="H65" i="9"/>
  <c r="H17" i="9"/>
  <c r="N66" i="8" s="1"/>
  <c r="M137" i="8"/>
  <c r="N111" i="8"/>
  <c r="G39" i="9"/>
  <c r="I29" i="33"/>
  <c r="I29" i="20"/>
  <c r="I29" i="23"/>
  <c r="I29" i="29"/>
  <c r="I29" i="13"/>
  <c r="I29" i="35"/>
  <c r="G21" i="10"/>
  <c r="I25" i="20"/>
  <c r="I25" i="23"/>
  <c r="I25" i="29"/>
  <c r="I25" i="33"/>
  <c r="I25" i="13"/>
  <c r="I30" i="23"/>
  <c r="I30" i="29"/>
  <c r="I30" i="35"/>
  <c r="I30" i="33"/>
  <c r="I30" i="13"/>
  <c r="C30" i="10"/>
  <c r="I107" i="13"/>
  <c r="I107" i="29"/>
  <c r="I107" i="35"/>
  <c r="I107" i="33"/>
  <c r="C44" i="10"/>
  <c r="I75" i="33"/>
  <c r="G14" i="10"/>
  <c r="I32" i="13"/>
  <c r="I32" i="23"/>
  <c r="I32" i="29"/>
  <c r="I32" i="33"/>
  <c r="I100" i="13"/>
  <c r="I100" i="20"/>
  <c r="I100" i="23"/>
  <c r="I100" i="27"/>
  <c r="I100" i="29"/>
  <c r="I100" i="33"/>
  <c r="I22" i="23"/>
  <c r="I22" i="29"/>
  <c r="I22" i="35"/>
  <c r="I22" i="33"/>
  <c r="I22" i="20"/>
  <c r="I22" i="13"/>
  <c r="G10" i="10"/>
  <c r="C34" i="10"/>
  <c r="I121" i="20"/>
  <c r="I121" i="13"/>
  <c r="I121" i="23"/>
  <c r="I121" i="35"/>
  <c r="I121" i="27"/>
  <c r="I121" i="33"/>
  <c r="I121" i="29"/>
  <c r="I113" i="20"/>
  <c r="I113" i="23"/>
  <c r="I113" i="13"/>
  <c r="I113" i="27"/>
  <c r="I113" i="35"/>
  <c r="I113" i="33"/>
  <c r="I113" i="29"/>
  <c r="I108" i="13"/>
  <c r="M141" i="8"/>
  <c r="N115" i="8"/>
  <c r="B38" i="9"/>
  <c r="B13" i="9"/>
  <c r="B30" i="9"/>
  <c r="G42" i="9"/>
  <c r="B39" i="9"/>
  <c r="H21" i="9"/>
  <c r="C15" i="9"/>
  <c r="B29" i="9"/>
  <c r="H27" i="9"/>
  <c r="B37" i="9"/>
  <c r="B17" i="9"/>
  <c r="I136" i="26"/>
  <c r="G33" i="10"/>
  <c r="I7" i="29"/>
  <c r="I7" i="33"/>
  <c r="I7" i="23"/>
  <c r="I7" i="35"/>
  <c r="I7" i="13"/>
  <c r="G9" i="10"/>
  <c r="B45" i="10"/>
  <c r="I31" i="35"/>
  <c r="I31" i="13"/>
  <c r="I31" i="33"/>
  <c r="I31" i="23"/>
  <c r="I31" i="29"/>
  <c r="C45" i="10"/>
  <c r="C42" i="10"/>
  <c r="I24" i="13"/>
  <c r="I24" i="33"/>
  <c r="C15" i="10"/>
  <c r="B27" i="9"/>
  <c r="B20" i="9"/>
  <c r="H15" i="9"/>
  <c r="M136" i="8"/>
  <c r="B43" i="9"/>
  <c r="G41" i="9"/>
  <c r="C23" i="9"/>
  <c r="H10" i="9"/>
  <c r="N117" i="8"/>
  <c r="C16" i="9"/>
  <c r="H29" i="9"/>
  <c r="C13" i="10"/>
  <c r="F44" i="10"/>
  <c r="I135" i="26"/>
  <c r="G25" i="10"/>
  <c r="E58" i="39"/>
  <c r="I96" i="33"/>
  <c r="G24" i="10"/>
  <c r="E55" i="39"/>
  <c r="C14" i="10"/>
  <c r="I68" i="20"/>
  <c r="I68" i="23"/>
  <c r="I68" i="27"/>
  <c r="I68" i="29"/>
  <c r="I68" i="35"/>
  <c r="I68" i="33"/>
  <c r="I68" i="13"/>
  <c r="G13" i="10"/>
  <c r="G136" i="4"/>
  <c r="F33" i="10"/>
  <c r="I79" i="13"/>
  <c r="I79" i="20"/>
  <c r="I79" i="23"/>
  <c r="I79" i="33"/>
  <c r="I79" i="27"/>
  <c r="I79" i="29"/>
  <c r="I109" i="13"/>
  <c r="I109" i="27"/>
  <c r="I109" i="35"/>
  <c r="I109" i="29"/>
  <c r="I109" i="23"/>
  <c r="I109" i="33"/>
  <c r="I12" i="29"/>
  <c r="I12" i="33"/>
  <c r="I12" i="35"/>
  <c r="I12" i="23"/>
  <c r="I12" i="13"/>
  <c r="G41" i="10"/>
  <c r="I11" i="13"/>
  <c r="I11" i="23"/>
  <c r="I11" i="35"/>
  <c r="I11" i="33"/>
  <c r="G30" i="10"/>
  <c r="I11" i="29"/>
  <c r="F24" i="10"/>
  <c r="I125" i="13"/>
  <c r="I125" i="27"/>
  <c r="I125" i="23"/>
  <c r="I125" i="35"/>
  <c r="I125" i="29"/>
  <c r="I125" i="33"/>
  <c r="C26" i="10"/>
  <c r="I34" i="13"/>
  <c r="I34" i="35"/>
  <c r="I34" i="23"/>
  <c r="I34" i="29"/>
  <c r="I34" i="33"/>
  <c r="G31" i="10"/>
  <c r="D96" i="4"/>
  <c r="B24" i="10"/>
  <c r="C24" i="10"/>
  <c r="I117" i="13"/>
  <c r="I117" i="23"/>
  <c r="I117" i="35"/>
  <c r="I117" i="29"/>
  <c r="I117" i="33"/>
  <c r="I117" i="27"/>
  <c r="C10" i="10"/>
  <c r="C20" i="10"/>
  <c r="D75" i="4"/>
  <c r="B14" i="10"/>
  <c r="E57" i="39"/>
  <c r="L120" i="27"/>
  <c r="K119" i="27"/>
  <c r="L120" i="23"/>
  <c r="L67" i="23"/>
  <c r="L22" i="35"/>
  <c r="H87" i="20"/>
  <c r="L100" i="13"/>
  <c r="D53" i="39"/>
  <c r="D56" i="33"/>
  <c r="L109" i="29"/>
  <c r="L7" i="29"/>
  <c r="L28" i="29"/>
  <c r="L117" i="23"/>
  <c r="H98" i="23"/>
  <c r="L10" i="20"/>
  <c r="K98" i="13"/>
  <c r="L29" i="13"/>
  <c r="G38" i="9"/>
  <c r="B16" i="9"/>
  <c r="G40" i="9"/>
  <c r="B22" i="9"/>
  <c r="H14" i="9"/>
  <c r="B25" i="9"/>
  <c r="C20" i="9"/>
  <c r="G36" i="9"/>
  <c r="H25" i="9"/>
  <c r="B24" i="9"/>
  <c r="H24" i="9"/>
  <c r="L22" i="20"/>
  <c r="L109" i="33"/>
  <c r="L99" i="33"/>
  <c r="H111" i="29"/>
  <c r="L10" i="23"/>
  <c r="L28" i="13"/>
  <c r="L89" i="35"/>
  <c r="D56" i="13"/>
  <c r="L35" i="35"/>
  <c r="L99" i="29"/>
  <c r="K119" i="33"/>
  <c r="L88" i="33"/>
  <c r="L28" i="33"/>
  <c r="L79" i="33"/>
  <c r="L34" i="29"/>
  <c r="L78" i="33"/>
  <c r="L67" i="13"/>
  <c r="H66" i="35"/>
  <c r="K87" i="27"/>
  <c r="L109" i="13"/>
  <c r="L112" i="13"/>
  <c r="L35" i="13"/>
  <c r="L79" i="29"/>
  <c r="L86" i="29"/>
  <c r="L7" i="22"/>
  <c r="L78" i="27"/>
  <c r="K66" i="33"/>
  <c r="L89" i="29"/>
  <c r="L112" i="27"/>
  <c r="L12" i="23"/>
  <c r="H87" i="13"/>
  <c r="L120" i="13"/>
  <c r="L68" i="13"/>
  <c r="L7" i="25"/>
  <c r="K66" i="20"/>
  <c r="L134" i="34"/>
  <c r="L125" i="27"/>
  <c r="L108" i="29"/>
  <c r="L67" i="27"/>
  <c r="L34" i="35"/>
  <c r="D53" i="25"/>
  <c r="L112" i="33"/>
  <c r="L29" i="33"/>
  <c r="L121" i="29"/>
  <c r="L29" i="29"/>
  <c r="H111" i="23"/>
  <c r="L86" i="35"/>
  <c r="D53" i="33"/>
  <c r="L112" i="29"/>
  <c r="L68" i="29"/>
  <c r="L136" i="26"/>
  <c r="L79" i="27"/>
  <c r="D47" i="25"/>
  <c r="L88" i="27"/>
  <c r="L112" i="23"/>
  <c r="H66" i="20"/>
  <c r="L113" i="13"/>
  <c r="L117" i="13"/>
  <c r="K87" i="20"/>
  <c r="L68" i="35"/>
  <c r="L86" i="33"/>
  <c r="H119" i="29"/>
  <c r="L100" i="29"/>
  <c r="L34" i="33"/>
  <c r="L125" i="29"/>
  <c r="L99" i="27"/>
  <c r="L29" i="35"/>
  <c r="L88" i="29"/>
  <c r="L78" i="29"/>
  <c r="K111" i="27"/>
  <c r="L88" i="23"/>
  <c r="L125" i="23"/>
  <c r="L113" i="23"/>
  <c r="L79" i="20"/>
  <c r="L107" i="35"/>
  <c r="D47" i="51"/>
  <c r="D47" i="26"/>
  <c r="L7" i="24"/>
  <c r="L29" i="23"/>
  <c r="L28" i="20"/>
  <c r="L121" i="27"/>
  <c r="K119" i="35"/>
  <c r="L100" i="23"/>
  <c r="L113" i="27"/>
  <c r="L79" i="23"/>
  <c r="L67" i="33"/>
  <c r="L22" i="33"/>
  <c r="L22" i="29"/>
  <c r="J77" i="29"/>
  <c r="L117" i="27"/>
  <c r="K98" i="23"/>
  <c r="L10" i="24"/>
  <c r="L78" i="23"/>
  <c r="L34" i="23"/>
  <c r="L121" i="20"/>
  <c r="H111" i="27"/>
  <c r="L68" i="27"/>
  <c r="K111" i="20"/>
  <c r="L124" i="13"/>
  <c r="L79" i="13"/>
  <c r="L89" i="13"/>
  <c r="L99" i="13"/>
  <c r="L125" i="13"/>
  <c r="L78" i="13"/>
  <c r="K66" i="13"/>
  <c r="L86" i="13"/>
  <c r="K87" i="13"/>
  <c r="J77" i="13"/>
  <c r="L88" i="13"/>
  <c r="H66" i="13"/>
  <c r="D47" i="13"/>
  <c r="J87" i="35"/>
  <c r="D66" i="33"/>
  <c r="J66" i="33"/>
  <c r="D77" i="27"/>
  <c r="J77" i="27"/>
  <c r="L77" i="27" s="1"/>
  <c r="J98" i="23"/>
  <c r="D98" i="23"/>
  <c r="D111" i="33"/>
  <c r="J111" i="33"/>
  <c r="J111" i="35"/>
  <c r="D87" i="20"/>
  <c r="J87" i="20"/>
  <c r="D66" i="13"/>
  <c r="J66" i="13"/>
  <c r="K111" i="33"/>
  <c r="K111" i="35"/>
  <c r="J111" i="29"/>
  <c r="D111" i="29"/>
  <c r="J111" i="23"/>
  <c r="D111" i="23"/>
  <c r="J77" i="20"/>
  <c r="L77" i="20" s="1"/>
  <c r="D77" i="20"/>
  <c r="J87" i="13"/>
  <c r="D87" i="13"/>
  <c r="J119" i="33"/>
  <c r="D119" i="33"/>
  <c r="J119" i="27"/>
  <c r="D119" i="27"/>
  <c r="J66" i="27"/>
  <c r="D66" i="27"/>
  <c r="D77" i="29"/>
  <c r="K77" i="29"/>
  <c r="D98" i="27"/>
  <c r="J98" i="27"/>
  <c r="J66" i="35"/>
  <c r="D77" i="13"/>
  <c r="K77" i="13"/>
  <c r="D98" i="20"/>
  <c r="J98" i="20"/>
  <c r="J66" i="29"/>
  <c r="J87" i="33"/>
  <c r="D87" i="33"/>
  <c r="D119" i="29"/>
  <c r="J119" i="29"/>
  <c r="D98" i="33"/>
  <c r="J98" i="33"/>
  <c r="L98" i="33" s="1"/>
  <c r="J87" i="29"/>
  <c r="D87" i="29"/>
  <c r="J111" i="27"/>
  <c r="D111" i="27"/>
  <c r="J87" i="23"/>
  <c r="D87" i="23"/>
  <c r="K119" i="29"/>
  <c r="H119" i="27"/>
  <c r="K111" i="23"/>
  <c r="D119" i="13"/>
  <c r="J119" i="13"/>
  <c r="D98" i="13"/>
  <c r="J98" i="13"/>
  <c r="D111" i="13"/>
  <c r="J111" i="13"/>
  <c r="J98" i="29"/>
  <c r="D98" i="29"/>
  <c r="J119" i="35"/>
  <c r="L119" i="35" s="1"/>
  <c r="H66" i="29"/>
  <c r="D119" i="23"/>
  <c r="J119" i="23"/>
  <c r="J66" i="23"/>
  <c r="D66" i="23"/>
  <c r="D77" i="33"/>
  <c r="J77" i="33"/>
  <c r="L77" i="33" s="1"/>
  <c r="J77" i="23"/>
  <c r="D77" i="23"/>
  <c r="D66" i="29"/>
  <c r="K66" i="29"/>
  <c r="D87" i="27"/>
  <c r="J87" i="27"/>
  <c r="D119" i="20"/>
  <c r="J119" i="20"/>
  <c r="J111" i="20"/>
  <c r="D111" i="20"/>
  <c r="D66" i="20"/>
  <c r="J66" i="20"/>
  <c r="E48" i="38"/>
  <c r="E88" i="33"/>
  <c r="E108" i="33"/>
  <c r="E22" i="33"/>
  <c r="E57" i="33"/>
  <c r="E99" i="33"/>
  <c r="E9" i="33"/>
  <c r="E48" i="33"/>
  <c r="E110" i="33"/>
  <c r="E122" i="33"/>
  <c r="E75" i="33"/>
  <c r="E116" i="33"/>
  <c r="E10" i="33"/>
  <c r="E79" i="33"/>
  <c r="E49" i="33"/>
  <c r="E54" i="33"/>
  <c r="E7" i="33"/>
  <c r="E89" i="33"/>
  <c r="E100" i="33"/>
  <c r="E125" i="33"/>
  <c r="E68" i="33"/>
  <c r="E96" i="33"/>
  <c r="E8" i="33"/>
  <c r="E78" i="33"/>
  <c r="E67" i="33"/>
  <c r="E112" i="33"/>
  <c r="E109" i="33"/>
  <c r="E114" i="33"/>
  <c r="E121" i="33"/>
  <c r="E120" i="33"/>
  <c r="E113" i="33"/>
  <c r="E99" i="29"/>
  <c r="E9" i="29"/>
  <c r="E48" i="34"/>
  <c r="E86" i="29"/>
  <c r="E134" i="34"/>
  <c r="E68" i="29"/>
  <c r="E88" i="29"/>
  <c r="E108" i="29"/>
  <c r="E116" i="29"/>
  <c r="E22" i="29"/>
  <c r="E10" i="29"/>
  <c r="E79" i="29"/>
  <c r="E135" i="34"/>
  <c r="E7" i="29"/>
  <c r="E89" i="29"/>
  <c r="E100" i="29"/>
  <c r="E107" i="29"/>
  <c r="E136" i="34"/>
  <c r="E8" i="29"/>
  <c r="E78" i="29"/>
  <c r="E67" i="29"/>
  <c r="E112" i="29"/>
  <c r="E109" i="29"/>
  <c r="E120" i="29"/>
  <c r="E48" i="40"/>
  <c r="E48" i="41"/>
  <c r="E57" i="40"/>
  <c r="E57" i="41"/>
  <c r="E54" i="41"/>
  <c r="E99" i="27"/>
  <c r="E9" i="51"/>
  <c r="E48" i="51"/>
  <c r="E88" i="27"/>
  <c r="E108" i="27"/>
  <c r="E22" i="51"/>
  <c r="E10" i="51"/>
  <c r="E7" i="51"/>
  <c r="E8" i="51"/>
  <c r="E78" i="27"/>
  <c r="E67" i="27"/>
  <c r="E112" i="27"/>
  <c r="E120" i="27"/>
  <c r="E9" i="25"/>
  <c r="E57" i="25"/>
  <c r="E48" i="25"/>
  <c r="E48" i="26"/>
  <c r="E137" i="26"/>
  <c r="E49" i="26"/>
  <c r="E54" i="25"/>
  <c r="E135" i="26"/>
  <c r="E7" i="25"/>
  <c r="E136" i="26"/>
  <c r="E134" i="26"/>
  <c r="E8" i="25"/>
  <c r="E99" i="23"/>
  <c r="E9" i="24"/>
  <c r="E88" i="23"/>
  <c r="E108" i="23"/>
  <c r="E116" i="23"/>
  <c r="E22" i="23"/>
  <c r="E22" i="24"/>
  <c r="E10" i="24"/>
  <c r="E7" i="24"/>
  <c r="E8" i="24"/>
  <c r="E78" i="23"/>
  <c r="E67" i="23"/>
  <c r="E112" i="23"/>
  <c r="E120" i="23"/>
  <c r="E9" i="22"/>
  <c r="E48" i="21"/>
  <c r="E48" i="22"/>
  <c r="E55" i="22"/>
  <c r="E57" i="21"/>
  <c r="E57" i="22"/>
  <c r="E49" i="22"/>
  <c r="E54" i="21"/>
  <c r="E54" i="22"/>
  <c r="E7" i="22"/>
  <c r="E8" i="22"/>
  <c r="E68" i="20"/>
  <c r="E22" i="20"/>
  <c r="E10" i="20"/>
  <c r="E79" i="20"/>
  <c r="E7" i="19"/>
  <c r="E7" i="20"/>
  <c r="E89" i="20"/>
  <c r="E100" i="20"/>
  <c r="E9" i="19"/>
  <c r="E9" i="20"/>
  <c r="E48" i="20"/>
  <c r="E8" i="19"/>
  <c r="E8" i="20"/>
  <c r="E121" i="20"/>
  <c r="E113" i="20"/>
  <c r="E99" i="13"/>
  <c r="E9" i="13"/>
  <c r="E48" i="13"/>
  <c r="E86" i="13"/>
  <c r="E88" i="13"/>
  <c r="E124" i="13"/>
  <c r="E37" i="13"/>
  <c r="E108" i="13"/>
  <c r="E116" i="13"/>
  <c r="E22" i="13"/>
  <c r="E10" i="13"/>
  <c r="E57" i="13"/>
  <c r="E11" i="13"/>
  <c r="E49" i="13"/>
  <c r="E54" i="13"/>
  <c r="E7" i="13"/>
  <c r="E89" i="13"/>
  <c r="E100" i="13"/>
  <c r="E107" i="13"/>
  <c r="E12" i="13"/>
  <c r="E36" i="13"/>
  <c r="E8" i="13"/>
  <c r="E78" i="13"/>
  <c r="E67" i="13"/>
  <c r="E112" i="13"/>
  <c r="E109" i="13"/>
  <c r="E120" i="13"/>
  <c r="D116" i="4"/>
  <c r="D108" i="4"/>
  <c r="D124" i="4"/>
  <c r="D125" i="4"/>
  <c r="D109" i="4"/>
  <c r="D22" i="4"/>
  <c r="D136" i="4"/>
  <c r="D57" i="4"/>
  <c r="G22" i="4"/>
  <c r="D113" i="4"/>
  <c r="D137" i="4"/>
  <c r="D10" i="4"/>
  <c r="D112" i="4"/>
  <c r="D55" i="4"/>
  <c r="D120" i="4"/>
  <c r="D7" i="4"/>
  <c r="D68" i="4"/>
  <c r="D8" i="4"/>
  <c r="D134" i="4"/>
  <c r="G7" i="4"/>
  <c r="D48" i="4"/>
  <c r="D54" i="4"/>
  <c r="D49" i="4"/>
  <c r="D12" i="4"/>
  <c r="D11" i="4"/>
  <c r="G12" i="4"/>
  <c r="G34" i="4"/>
  <c r="D121" i="4"/>
  <c r="G11" i="4"/>
  <c r="H22" i="4"/>
  <c r="G29" i="4"/>
  <c r="D67" i="4"/>
  <c r="D100" i="4"/>
  <c r="D58" i="4"/>
  <c r="G10" i="4"/>
  <c r="D89" i="4"/>
  <c r="G35" i="4"/>
  <c r="D99" i="4"/>
  <c r="D86" i="4"/>
  <c r="D107" i="4"/>
  <c r="D135" i="4"/>
  <c r="G135" i="4"/>
  <c r="G134" i="4"/>
  <c r="D78" i="4"/>
  <c r="D88" i="4"/>
  <c r="D79" i="4"/>
  <c r="D9" i="4"/>
  <c r="G119" i="4" l="1"/>
  <c r="G87" i="4"/>
  <c r="F43" i="10"/>
  <c r="G98" i="4"/>
  <c r="F32" i="10"/>
  <c r="G111" i="4"/>
  <c r="G77" i="4"/>
  <c r="E87" i="18"/>
  <c r="E66" i="18"/>
  <c r="L77" i="23"/>
  <c r="I77" i="27"/>
  <c r="I77" i="29"/>
  <c r="I77" i="20"/>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98" i="27"/>
  <c r="L87" i="29"/>
  <c r="E97" i="33"/>
  <c r="E97" i="37"/>
  <c r="E97" i="13"/>
  <c r="I98" i="37"/>
  <c r="L119" i="13"/>
  <c r="E76" i="33"/>
  <c r="E76" i="29"/>
  <c r="E76" i="37"/>
  <c r="E76" i="13"/>
  <c r="E66" i="37"/>
  <c r="E87" i="33"/>
  <c r="E87" i="37"/>
  <c r="E98" i="37"/>
  <c r="E77" i="37"/>
  <c r="L98" i="20"/>
  <c r="L111" i="29"/>
  <c r="L66" i="27"/>
  <c r="L111" i="13"/>
  <c r="L87" i="33"/>
  <c r="L98" i="29"/>
  <c r="L87" i="20"/>
  <c r="L119" i="23"/>
  <c r="L87" i="23"/>
  <c r="L98" i="23"/>
  <c r="L119" i="20"/>
  <c r="L111" i="27"/>
  <c r="E66" i="20"/>
  <c r="E87" i="13"/>
  <c r="E87" i="23"/>
  <c r="D98" i="4"/>
  <c r="L66" i="35"/>
  <c r="E98" i="29"/>
  <c r="E98" i="33"/>
  <c r="L87" i="27"/>
  <c r="L119" i="33"/>
  <c r="L98" i="13"/>
  <c r="L66" i="33"/>
  <c r="L87" i="35"/>
  <c r="L66" i="23"/>
  <c r="L66" i="13"/>
  <c r="E66" i="23"/>
  <c r="E66" i="13"/>
  <c r="E66" i="27"/>
  <c r="E66" i="29"/>
  <c r="E66" i="33"/>
  <c r="L111" i="33"/>
  <c r="D87" i="4"/>
  <c r="E98" i="20"/>
  <c r="E98" i="23"/>
  <c r="E87" i="27"/>
  <c r="E98" i="27"/>
  <c r="E87" i="29"/>
  <c r="L119" i="27"/>
  <c r="C43" i="10"/>
  <c r="I119" i="13"/>
  <c r="I119" i="20"/>
  <c r="I119" i="23"/>
  <c r="I119" i="27"/>
  <c r="I119" i="29"/>
  <c r="I119" i="35"/>
  <c r="I119" i="33"/>
  <c r="G43" i="10"/>
  <c r="F22" i="10"/>
  <c r="I98" i="20"/>
  <c r="I98" i="13"/>
  <c r="I98" i="23"/>
  <c r="I98" i="29"/>
  <c r="I98" i="27"/>
  <c r="I98" i="33"/>
  <c r="D66" i="4"/>
  <c r="B12" i="10"/>
  <c r="I66" i="13"/>
  <c r="I66" i="20"/>
  <c r="I66" i="27"/>
  <c r="I66" i="29"/>
  <c r="I66" i="35"/>
  <c r="I66" i="33"/>
  <c r="G12" i="10"/>
  <c r="I66" i="23"/>
  <c r="G66" i="4"/>
  <c r="F12" i="10"/>
  <c r="E53" i="39"/>
  <c r="C38" i="10"/>
  <c r="I111" i="13"/>
  <c r="I111" i="20"/>
  <c r="I111" i="23"/>
  <c r="I111" i="27"/>
  <c r="I111" i="29"/>
  <c r="I111" i="35"/>
  <c r="I111" i="33"/>
  <c r="G32" i="10"/>
  <c r="E56" i="39"/>
  <c r="C49" i="10"/>
  <c r="C32" i="10"/>
  <c r="C22" i="10"/>
  <c r="E47" i="39"/>
  <c r="C11" i="10"/>
  <c r="C12" i="10"/>
  <c r="I87" i="13"/>
  <c r="I87" i="20"/>
  <c r="I87" i="27"/>
  <c r="I87" i="29"/>
  <c r="I87" i="23"/>
  <c r="I87" i="33"/>
  <c r="I87" i="35"/>
  <c r="G22" i="10"/>
  <c r="L66" i="20"/>
  <c r="L111" i="20"/>
  <c r="L87" i="13"/>
  <c r="L119" i="29"/>
  <c r="L66" i="29"/>
  <c r="L77" i="29"/>
  <c r="L111" i="23"/>
  <c r="E98" i="13"/>
  <c r="E87" i="20"/>
  <c r="L77" i="13"/>
  <c r="E47" i="38"/>
  <c r="E77" i="33"/>
  <c r="E111" i="33"/>
  <c r="E47" i="33"/>
  <c r="E119" i="33"/>
  <c r="E53" i="33"/>
  <c r="E56" i="33"/>
  <c r="E47" i="34"/>
  <c r="E119" i="29"/>
  <c r="E77" i="29"/>
  <c r="E111" i="29"/>
  <c r="E53" i="41"/>
  <c r="E56" i="40"/>
  <c r="E56" i="41"/>
  <c r="E47" i="40"/>
  <c r="E47" i="41"/>
  <c r="E77" i="27"/>
  <c r="E111" i="27"/>
  <c r="E47" i="51"/>
  <c r="E119" i="27"/>
  <c r="E53" i="25"/>
  <c r="E47" i="25"/>
  <c r="E47" i="26"/>
  <c r="E56" i="25"/>
  <c r="E119" i="23"/>
  <c r="E77" i="23"/>
  <c r="E111" i="23"/>
  <c r="E56" i="21"/>
  <c r="E56" i="22"/>
  <c r="E47" i="21"/>
  <c r="E47" i="22"/>
  <c r="E53" i="21"/>
  <c r="E53" i="22"/>
  <c r="E119" i="20"/>
  <c r="E47" i="20"/>
  <c r="E77" i="20"/>
  <c r="E111" i="20"/>
  <c r="E53" i="13"/>
  <c r="E77" i="13"/>
  <c r="E56" i="13"/>
  <c r="E111" i="13"/>
  <c r="E47" i="13"/>
  <c r="E119" i="13"/>
  <c r="D111" i="4"/>
  <c r="D77" i="4"/>
  <c r="D119" i="4"/>
  <c r="D53" i="4"/>
  <c r="D56" i="4"/>
  <c r="D47" i="4"/>
  <c r="C60" i="10" l="1"/>
  <c r="H107" i="4"/>
  <c r="H114" i="4"/>
  <c r="H116" i="4"/>
  <c r="H28" i="4"/>
  <c r="H98" i="4" l="1"/>
  <c r="H117" i="4"/>
  <c r="H99" i="4"/>
  <c r="H24" i="4"/>
  <c r="H118" i="4"/>
  <c r="H27" i="4"/>
  <c r="H78" i="4"/>
  <c r="D9" i="10"/>
  <c r="H124" i="4"/>
  <c r="H112" i="4"/>
  <c r="H88" i="4"/>
  <c r="H9" i="4"/>
  <c r="H8" i="4"/>
  <c r="H79" i="4"/>
  <c r="H122" i="4"/>
  <c r="H14" i="10"/>
  <c r="H37" i="4"/>
  <c r="H121" i="4"/>
  <c r="I121" i="4"/>
  <c r="I112" i="4"/>
  <c r="I9" i="4"/>
  <c r="I109" i="4"/>
  <c r="K49" i="10"/>
  <c r="H113" i="4"/>
  <c r="I108" i="4"/>
  <c r="H11" i="4"/>
  <c r="I122" i="4"/>
  <c r="I79" i="4"/>
  <c r="I100" i="4"/>
  <c r="H110" i="4"/>
  <c r="H25" i="4"/>
  <c r="H125" i="4"/>
  <c r="H86" i="4"/>
  <c r="H42" i="10"/>
  <c r="H21" i="10"/>
  <c r="I120" i="4"/>
  <c r="H109" i="4"/>
  <c r="I32" i="4"/>
  <c r="I67" i="4"/>
  <c r="K11" i="10"/>
  <c r="I23" i="4"/>
  <c r="H22" i="10"/>
  <c r="H108" i="4"/>
  <c r="H10" i="4"/>
  <c r="I126" i="4"/>
  <c r="H38" i="4"/>
  <c r="I77" i="4"/>
  <c r="I88" i="4"/>
  <c r="I117" i="4"/>
  <c r="H67" i="4"/>
  <c r="H12" i="10"/>
  <c r="I116" i="4"/>
  <c r="I118" i="4"/>
  <c r="H120" i="4"/>
  <c r="I110" i="4"/>
  <c r="I113" i="4"/>
  <c r="I78" i="4"/>
  <c r="K26" i="10"/>
  <c r="I98" i="4"/>
  <c r="I99" i="4"/>
  <c r="K9" i="10"/>
  <c r="H77" i="4"/>
  <c r="H24" i="10"/>
  <c r="I31" i="4"/>
  <c r="I24" i="4"/>
  <c r="H126" i="4"/>
  <c r="K16" i="10"/>
  <c r="I30" i="4"/>
  <c r="H36" i="4"/>
  <c r="K45" i="10"/>
  <c r="H39" i="4"/>
  <c r="I107" i="4"/>
  <c r="I8" i="4"/>
  <c r="I114" i="4"/>
  <c r="I86" i="4"/>
  <c r="H10" i="10"/>
  <c r="I124" i="4"/>
  <c r="H100" i="4"/>
  <c r="H7" i="4"/>
  <c r="H23" i="4"/>
  <c r="H15" i="10"/>
  <c r="I125" i="4"/>
  <c r="J23" i="4" l="1"/>
  <c r="J24" i="4"/>
  <c r="J110" i="4"/>
  <c r="M67" i="37"/>
  <c r="M67" i="18"/>
  <c r="M107" i="37"/>
  <c r="M32" i="37"/>
  <c r="M32" i="18"/>
  <c r="M79" i="37"/>
  <c r="M79" i="18"/>
  <c r="M124" i="37"/>
  <c r="M124" i="18"/>
  <c r="M88" i="37"/>
  <c r="M88" i="18"/>
  <c r="M78" i="37"/>
  <c r="M78" i="18"/>
  <c r="M100" i="37"/>
  <c r="M100" i="18"/>
  <c r="M86" i="37"/>
  <c r="M122" i="37"/>
  <c r="M109" i="37"/>
  <c r="M109" i="18"/>
  <c r="M99" i="37"/>
  <c r="M99" i="18"/>
  <c r="M113" i="37"/>
  <c r="M113" i="18"/>
  <c r="M117" i="37"/>
  <c r="M117" i="18"/>
  <c r="M28" i="37"/>
  <c r="M28" i="18"/>
  <c r="M114" i="37"/>
  <c r="M98" i="18"/>
  <c r="M110" i="37"/>
  <c r="M9" i="37"/>
  <c r="M9" i="18"/>
  <c r="M31" i="37"/>
  <c r="M31" i="18"/>
  <c r="M8" i="37"/>
  <c r="M8" i="18"/>
  <c r="M24" i="37"/>
  <c r="M108" i="37"/>
  <c r="M108" i="18"/>
  <c r="M112" i="37"/>
  <c r="M112" i="18"/>
  <c r="J122" i="4"/>
  <c r="M23" i="37"/>
  <c r="M23" i="18"/>
  <c r="M121" i="37"/>
  <c r="M121" i="18"/>
  <c r="M125" i="37"/>
  <c r="M125" i="18"/>
  <c r="M30" i="37"/>
  <c r="M30" i="18"/>
  <c r="M116" i="37"/>
  <c r="M116" i="18"/>
  <c r="M77" i="18"/>
  <c r="M120" i="37"/>
  <c r="M120" i="18"/>
  <c r="J114" i="4"/>
  <c r="M98" i="37"/>
  <c r="M97" i="37"/>
  <c r="M97" i="13"/>
  <c r="M97" i="29"/>
  <c r="M97" i="33"/>
  <c r="M77" i="37"/>
  <c r="M76" i="37"/>
  <c r="M76" i="33"/>
  <c r="M76" i="29"/>
  <c r="M76" i="13"/>
  <c r="M24" i="13"/>
  <c r="M24" i="24"/>
  <c r="M24" i="33"/>
  <c r="M24" i="29"/>
  <c r="M88" i="13"/>
  <c r="M88" i="27"/>
  <c r="M88" i="29"/>
  <c r="M88" i="23"/>
  <c r="M88" i="33"/>
  <c r="J28" i="4"/>
  <c r="M28" i="20"/>
  <c r="M28" i="25"/>
  <c r="M28" i="23"/>
  <c r="M28" i="24"/>
  <c r="M28" i="51"/>
  <c r="M28" i="29"/>
  <c r="M28" i="13"/>
  <c r="M28" i="33"/>
  <c r="M121" i="23"/>
  <c r="M121" i="13"/>
  <c r="M121" i="27"/>
  <c r="M121" i="29"/>
  <c r="M121" i="33"/>
  <c r="M121" i="20"/>
  <c r="M121" i="35"/>
  <c r="M125" i="23"/>
  <c r="M125" i="27"/>
  <c r="M125" i="13"/>
  <c r="M125" i="29"/>
  <c r="M125" i="33"/>
  <c r="M125" i="35"/>
  <c r="M124" i="13"/>
  <c r="M114" i="33"/>
  <c r="M31" i="23"/>
  <c r="M31" i="13"/>
  <c r="M31" i="24"/>
  <c r="M31" i="35"/>
  <c r="M31" i="29"/>
  <c r="M31" i="33"/>
  <c r="M78" i="23"/>
  <c r="M78" i="27"/>
  <c r="M78" i="13"/>
  <c r="M78" i="29"/>
  <c r="M78" i="33"/>
  <c r="M113" i="23"/>
  <c r="M113" i="13"/>
  <c r="M113" i="27"/>
  <c r="M113" i="20"/>
  <c r="M113" i="29"/>
  <c r="M113" i="33"/>
  <c r="M113" i="35"/>
  <c r="J116" i="4"/>
  <c r="M116" i="13"/>
  <c r="M116" i="23"/>
  <c r="M116" i="29"/>
  <c r="M116" i="33"/>
  <c r="M117" i="23"/>
  <c r="M117" i="27"/>
  <c r="M117" i="13"/>
  <c r="M117" i="29"/>
  <c r="M117" i="33"/>
  <c r="M117" i="35"/>
  <c r="M23" i="20"/>
  <c r="M23" i="23"/>
  <c r="M23" i="13"/>
  <c r="M23" i="35"/>
  <c r="M23" i="29"/>
  <c r="M23" i="33"/>
  <c r="M32" i="13"/>
  <c r="M32" i="20"/>
  <c r="M32" i="33"/>
  <c r="M32" i="23"/>
  <c r="M32" i="29"/>
  <c r="M79" i="13"/>
  <c r="M79" i="20"/>
  <c r="M79" i="23"/>
  <c r="M79" i="33"/>
  <c r="M79" i="29"/>
  <c r="M79" i="27"/>
  <c r="M8" i="20"/>
  <c r="M8" i="13"/>
  <c r="M8" i="22"/>
  <c r="M8" i="24"/>
  <c r="M8" i="51"/>
  <c r="M8" i="25"/>
  <c r="M8" i="29"/>
  <c r="M8" i="33"/>
  <c r="M8" i="19"/>
  <c r="M30" i="20"/>
  <c r="M30" i="13"/>
  <c r="M30" i="23"/>
  <c r="M30" i="33"/>
  <c r="M30" i="29"/>
  <c r="M30" i="35"/>
  <c r="M99" i="23"/>
  <c r="M99" i="27"/>
  <c r="M99" i="29"/>
  <c r="M99" i="13"/>
  <c r="M99" i="33"/>
  <c r="M110" i="33"/>
  <c r="M120" i="13"/>
  <c r="M120" i="23"/>
  <c r="M120" i="27"/>
  <c r="M120" i="29"/>
  <c r="M120" i="33"/>
  <c r="M100" i="13"/>
  <c r="M100" i="20"/>
  <c r="M100" i="29"/>
  <c r="M100" i="33"/>
  <c r="M100" i="27"/>
  <c r="M100" i="23"/>
  <c r="M122" i="33"/>
  <c r="M108" i="13"/>
  <c r="M108" i="23"/>
  <c r="M108" i="33"/>
  <c r="M108" i="29"/>
  <c r="M108" i="27"/>
  <c r="M9" i="19"/>
  <c r="M9" i="25"/>
  <c r="M9" i="20"/>
  <c r="M9" i="22"/>
  <c r="M9" i="51"/>
  <c r="M9" i="13"/>
  <c r="M9" i="29"/>
  <c r="M9" i="24"/>
  <c r="M9" i="33"/>
  <c r="M86" i="35"/>
  <c r="M86" i="29"/>
  <c r="M86" i="13"/>
  <c r="M86" i="33"/>
  <c r="J107" i="4"/>
  <c r="M107" i="13"/>
  <c r="M107" i="35"/>
  <c r="M107" i="29"/>
  <c r="M107" i="33"/>
  <c r="M98" i="20"/>
  <c r="M98" i="13"/>
  <c r="M98" i="23"/>
  <c r="M98" i="27"/>
  <c r="M98" i="29"/>
  <c r="M98" i="33"/>
  <c r="M77" i="20"/>
  <c r="M77" i="13"/>
  <c r="M77" i="27"/>
  <c r="M77" i="23"/>
  <c r="M77" i="29"/>
  <c r="M77" i="33"/>
  <c r="M67" i="13"/>
  <c r="M67" i="23"/>
  <c r="M67" i="27"/>
  <c r="M67" i="29"/>
  <c r="M67" i="33"/>
  <c r="M109" i="27"/>
  <c r="M109" i="13"/>
  <c r="M109" i="23"/>
  <c r="M109" i="29"/>
  <c r="M109" i="35"/>
  <c r="M109" i="33"/>
  <c r="M112" i="13"/>
  <c r="M112" i="23"/>
  <c r="M112" i="27"/>
  <c r="M112" i="33"/>
  <c r="M112" i="29"/>
  <c r="J108" i="4"/>
  <c r="M43" i="8"/>
  <c r="D40" i="9"/>
  <c r="N71" i="8"/>
  <c r="H64" i="9"/>
  <c r="B66" i="9"/>
  <c r="M44" i="8"/>
  <c r="D41" i="9"/>
  <c r="M39" i="8"/>
  <c r="D36" i="9"/>
  <c r="C52" i="9"/>
  <c r="N13" i="8"/>
  <c r="H51" i="9"/>
  <c r="N62" i="8"/>
  <c r="N46" i="8"/>
  <c r="G54" i="9"/>
  <c r="I15" i="9"/>
  <c r="G48" i="9"/>
  <c r="I9" i="9"/>
  <c r="G31" i="9"/>
  <c r="M30" i="8"/>
  <c r="B70" i="9"/>
  <c r="D30" i="9"/>
  <c r="D14" i="9"/>
  <c r="B53" i="9"/>
  <c r="M14" i="8"/>
  <c r="M22" i="8"/>
  <c r="D22" i="9"/>
  <c r="B61" i="9"/>
  <c r="M37" i="8"/>
  <c r="B44" i="9"/>
  <c r="D34" i="9"/>
  <c r="G51" i="9"/>
  <c r="I12" i="9"/>
  <c r="M62" i="8"/>
  <c r="G49" i="9"/>
  <c r="M60" i="8"/>
  <c r="I10" i="9"/>
  <c r="M70" i="8"/>
  <c r="G63" i="9"/>
  <c r="I24" i="9"/>
  <c r="H53" i="9"/>
  <c r="N64" i="8"/>
  <c r="G62" i="9"/>
  <c r="N10" i="8"/>
  <c r="C49" i="9"/>
  <c r="B69" i="9"/>
  <c r="D29" i="9"/>
  <c r="M29" i="8"/>
  <c r="M86" i="8"/>
  <c r="I36" i="9"/>
  <c r="M69" i="8"/>
  <c r="G59" i="9"/>
  <c r="I20" i="9"/>
  <c r="N43" i="8"/>
  <c r="N12" i="8"/>
  <c r="C51" i="9"/>
  <c r="N22" i="8"/>
  <c r="C61" i="9"/>
  <c r="M19" i="8"/>
  <c r="B58" i="9"/>
  <c r="D19" i="9"/>
  <c r="H54" i="9"/>
  <c r="N41" i="8"/>
  <c r="D39" i="9"/>
  <c r="M42" i="8"/>
  <c r="N40" i="8"/>
  <c r="N28" i="8"/>
  <c r="C68" i="9"/>
  <c r="N63" i="8"/>
  <c r="H52" i="9"/>
  <c r="N45" i="8"/>
  <c r="M46" i="8"/>
  <c r="D43" i="9"/>
  <c r="B68" i="9"/>
  <c r="H31" i="9"/>
  <c r="J24" i="9" s="1"/>
  <c r="H48" i="9"/>
  <c r="I19" i="9"/>
  <c r="M68" i="8"/>
  <c r="G58" i="9"/>
  <c r="N11" i="8"/>
  <c r="C50" i="9"/>
  <c r="M85" i="8"/>
  <c r="I35" i="9"/>
  <c r="I14" i="9"/>
  <c r="G53" i="9"/>
  <c r="M64" i="8"/>
  <c r="H57" i="9"/>
  <c r="N67" i="8"/>
  <c r="D42" i="9"/>
  <c r="M45" i="8"/>
  <c r="H61" i="9"/>
  <c r="I21" i="9"/>
  <c r="G60" i="9"/>
  <c r="D13" i="9"/>
  <c r="M13" i="8"/>
  <c r="B52" i="9"/>
  <c r="N86" i="8"/>
  <c r="B64" i="9"/>
  <c r="M25" i="8"/>
  <c r="D25" i="9"/>
  <c r="N19" i="8"/>
  <c r="C58" i="9"/>
  <c r="H58" i="9"/>
  <c r="N68" i="8"/>
  <c r="M20" i="8"/>
  <c r="D20" i="9"/>
  <c r="B59" i="9"/>
  <c r="N20" i="8"/>
  <c r="C59" i="9"/>
  <c r="D11" i="9"/>
  <c r="M11" i="8"/>
  <c r="B50" i="9"/>
  <c r="M87" i="8"/>
  <c r="I37" i="9"/>
  <c r="H56" i="9"/>
  <c r="G61" i="9"/>
  <c r="I27" i="9"/>
  <c r="M72" i="8"/>
  <c r="G67" i="9"/>
  <c r="G70" i="9"/>
  <c r="N72" i="8"/>
  <c r="H67" i="9"/>
  <c r="N73" i="8"/>
  <c r="H68" i="9"/>
  <c r="N93" i="8"/>
  <c r="B49" i="9"/>
  <c r="D10" i="9"/>
  <c r="M10" i="8"/>
  <c r="N44" i="8"/>
  <c r="C66" i="9"/>
  <c r="H63" i="9"/>
  <c r="N70" i="8"/>
  <c r="N87" i="8"/>
  <c r="H50" i="9"/>
  <c r="N61" i="8"/>
  <c r="C54" i="9"/>
  <c r="N15" i="8"/>
  <c r="I40" i="9"/>
  <c r="M90" i="8"/>
  <c r="B56" i="9"/>
  <c r="M17" i="8"/>
  <c r="D17" i="9"/>
  <c r="C48" i="9"/>
  <c r="C31" i="9"/>
  <c r="E16" i="9" s="1"/>
  <c r="N9" i="8"/>
  <c r="N90" i="8"/>
  <c r="C70" i="9"/>
  <c r="N30" i="8"/>
  <c r="G66" i="9"/>
  <c r="I41" i="9"/>
  <c r="M91" i="8"/>
  <c r="C67" i="9"/>
  <c r="N27" i="8"/>
  <c r="N89" i="8"/>
  <c r="D21" i="9"/>
  <c r="B60" i="9"/>
  <c r="M21" i="8"/>
  <c r="N16" i="8"/>
  <c r="C55" i="9"/>
  <c r="N92" i="8"/>
  <c r="C44" i="9"/>
  <c r="E34" i="9" s="1"/>
  <c r="N37" i="8"/>
  <c r="M41" i="8"/>
  <c r="D38" i="9"/>
  <c r="M71" i="8"/>
  <c r="I25" i="9"/>
  <c r="G64" i="9"/>
  <c r="N39" i="8"/>
  <c r="B63" i="9"/>
  <c r="D24" i="9"/>
  <c r="M24" i="8"/>
  <c r="H59" i="9"/>
  <c r="N69" i="8"/>
  <c r="D35" i="9"/>
  <c r="M38" i="8"/>
  <c r="N88" i="8"/>
  <c r="D28" i="9"/>
  <c r="M28" i="8"/>
  <c r="M61" i="8"/>
  <c r="I11" i="9"/>
  <c r="G50" i="9"/>
  <c r="H44" i="9"/>
  <c r="J38" i="9" s="1"/>
  <c r="N84" i="8"/>
  <c r="C64" i="9"/>
  <c r="N25" i="8"/>
  <c r="N38" i="8"/>
  <c r="B55" i="9"/>
  <c r="D16" i="9"/>
  <c r="M16" i="8"/>
  <c r="N21" i="8"/>
  <c r="C60" i="9"/>
  <c r="H70" i="9"/>
  <c r="N85" i="8"/>
  <c r="N23" i="8"/>
  <c r="C62" i="9"/>
  <c r="N29" i="8"/>
  <c r="C69" i="9"/>
  <c r="H49" i="9"/>
  <c r="N60" i="8"/>
  <c r="I38" i="9"/>
  <c r="M88" i="8"/>
  <c r="D12" i="9"/>
  <c r="M12" i="8"/>
  <c r="B51" i="9"/>
  <c r="C53" i="9"/>
  <c r="N14" i="8"/>
  <c r="I34" i="9"/>
  <c r="G44" i="9"/>
  <c r="F27" i="10" s="1"/>
  <c r="M84" i="8"/>
  <c r="N17" i="8"/>
  <c r="C56" i="9"/>
  <c r="H66" i="9"/>
  <c r="N91" i="8"/>
  <c r="M27" i="8"/>
  <c r="D27" i="9"/>
  <c r="B67" i="9"/>
  <c r="H55" i="9"/>
  <c r="M92" i="8"/>
  <c r="I42" i="9"/>
  <c r="H60" i="9"/>
  <c r="D18" i="9"/>
  <c r="M18" i="8"/>
  <c r="B57" i="9"/>
  <c r="H69" i="9"/>
  <c r="N18" i="8"/>
  <c r="C57" i="9"/>
  <c r="M93" i="8"/>
  <c r="I43" i="9"/>
  <c r="B31" i="9"/>
  <c r="B17" i="10" s="1"/>
  <c r="B48" i="9"/>
  <c r="D9" i="9"/>
  <c r="M9" i="8"/>
  <c r="N42" i="8"/>
  <c r="M67" i="8"/>
  <c r="G57" i="9"/>
  <c r="I18" i="9"/>
  <c r="M40" i="8"/>
  <c r="D37" i="9"/>
  <c r="D26" i="9"/>
  <c r="B54" i="9"/>
  <c r="M15" i="8"/>
  <c r="D15" i="9"/>
  <c r="D23" i="9"/>
  <c r="M23" i="8"/>
  <c r="B62" i="9"/>
  <c r="G69" i="9"/>
  <c r="H62" i="9"/>
  <c r="I13" i="9"/>
  <c r="G52" i="9"/>
  <c r="M63" i="8"/>
  <c r="I28" i="9"/>
  <c r="M73" i="8"/>
  <c r="G68" i="9"/>
  <c r="G55" i="9"/>
  <c r="I16" i="9"/>
  <c r="N24" i="8"/>
  <c r="C63" i="9"/>
  <c r="G56" i="9"/>
  <c r="I17" i="9"/>
  <c r="M89" i="8"/>
  <c r="I39"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111" i="4"/>
  <c r="K44" i="10"/>
  <c r="K24" i="10"/>
  <c r="G46" i="10"/>
  <c r="H43" i="10"/>
  <c r="H31" i="4"/>
  <c r="J31" i="4" s="1"/>
  <c r="H32" i="4"/>
  <c r="J32" i="4" s="1"/>
  <c r="J10" i="10"/>
  <c r="D10" i="10"/>
  <c r="J24" i="10"/>
  <c r="D24" i="10"/>
  <c r="I25" i="4"/>
  <c r="B60" i="10"/>
  <c r="D38" i="10"/>
  <c r="J38" i="10"/>
  <c r="I37" i="4"/>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J34" i="10"/>
  <c r="H66" i="4"/>
  <c r="H32" i="10"/>
  <c r="F54" i="10"/>
  <c r="I22" i="4"/>
  <c r="K41" i="10"/>
  <c r="C46" i="10"/>
  <c r="H119" i="4"/>
  <c r="H137" i="4"/>
  <c r="I136" i="4"/>
  <c r="H68" i="4"/>
  <c r="I68" i="4"/>
  <c r="I38" i="4"/>
  <c r="K43" i="10"/>
  <c r="I10" i="4"/>
  <c r="H135" i="4"/>
  <c r="H12" i="4"/>
  <c r="J26" i="10"/>
  <c r="L26" i="10" s="1"/>
  <c r="D26" i="10"/>
  <c r="I34" i="4"/>
  <c r="H9" i="10"/>
  <c r="J9" i="10"/>
  <c r="L9" i="10" s="1"/>
  <c r="J49" i="10"/>
  <c r="L49" i="10" s="1"/>
  <c r="D49" i="10"/>
  <c r="D21" i="10"/>
  <c r="J21" i="10"/>
  <c r="I39" i="4"/>
  <c r="I27" i="4"/>
  <c r="I36" i="4"/>
  <c r="B35" i="10"/>
  <c r="J30" i="10"/>
  <c r="B52" i="10"/>
  <c r="D30" i="10"/>
  <c r="I7" i="4"/>
  <c r="K60" i="10"/>
  <c r="K38" i="10"/>
  <c r="H13" i="10"/>
  <c r="G35" i="10"/>
  <c r="G52" i="10"/>
  <c r="I35" i="4"/>
  <c r="D12" i="10"/>
  <c r="J12" i="10"/>
  <c r="I12" i="4"/>
  <c r="D43" i="10"/>
  <c r="J43" i="10"/>
  <c r="I134" i="4"/>
  <c r="I11" i="4"/>
  <c r="K20" i="10"/>
  <c r="D25" i="10"/>
  <c r="J25" i="10"/>
  <c r="D41" i="10"/>
  <c r="J41" i="10"/>
  <c r="B46" i="10"/>
  <c r="K31" i="10"/>
  <c r="C53" i="10"/>
  <c r="M39" i="9"/>
  <c r="L15" i="9"/>
  <c r="O15" i="9"/>
  <c r="O25" i="9"/>
  <c r="M27" i="9"/>
  <c r="N34" i="9"/>
  <c r="M20" i="9"/>
  <c r="O23" i="9"/>
  <c r="O37" i="9"/>
  <c r="M34" i="9"/>
  <c r="L35" i="9"/>
  <c r="L17" i="9"/>
  <c r="L21" i="9"/>
  <c r="O24" i="9"/>
  <c r="L40" i="9"/>
  <c r="N11" i="9"/>
  <c r="L26" i="9"/>
  <c r="M25" i="9"/>
  <c r="O35" i="9"/>
  <c r="N24" i="9"/>
  <c r="N30" i="9"/>
  <c r="M30" i="9"/>
  <c r="N37" i="9"/>
  <c r="N16" i="9"/>
  <c r="N38" i="9"/>
  <c r="L28" i="9"/>
  <c r="L9" i="9"/>
  <c r="M18" i="9"/>
  <c r="L27" i="9"/>
  <c r="O13" i="9"/>
  <c r="M21" i="9"/>
  <c r="N42" i="9"/>
  <c r="O14" i="9"/>
  <c r="N40" i="9"/>
  <c r="M42" i="9"/>
  <c r="N43" i="9"/>
  <c r="O16" i="9"/>
  <c r="L36" i="9"/>
  <c r="M10" i="9"/>
  <c r="M38" i="9"/>
  <c r="O18" i="9"/>
  <c r="N21" i="9"/>
  <c r="N20" i="9"/>
  <c r="L38" i="9"/>
  <c r="O10" i="9"/>
  <c r="O41" i="9"/>
  <c r="O43" i="9"/>
  <c r="L25" i="9"/>
  <c r="L22" i="9"/>
  <c r="N27" i="9"/>
  <c r="L13" i="9"/>
  <c r="N29" i="9"/>
  <c r="M35" i="9"/>
  <c r="O34" i="9"/>
  <c r="M29" i="9"/>
  <c r="L29" i="9"/>
  <c r="M16" i="9"/>
  <c r="O19" i="9"/>
  <c r="N22" i="9"/>
  <c r="O12" i="9"/>
  <c r="O42" i="9"/>
  <c r="O21" i="9"/>
  <c r="M40" i="9"/>
  <c r="O22" i="9"/>
  <c r="L42" i="9"/>
  <c r="L20" i="9"/>
  <c r="O11" i="9"/>
  <c r="M11" i="9"/>
  <c r="L43" i="9"/>
  <c r="L18" i="9"/>
  <c r="O38" i="9"/>
  <c r="N36" i="9"/>
  <c r="N12" i="9"/>
  <c r="N23" i="9"/>
  <c r="M43" i="9"/>
  <c r="O29" i="9"/>
  <c r="N41" i="9"/>
  <c r="N17" i="9"/>
  <c r="M28" i="9"/>
  <c r="M15" i="9"/>
  <c r="L16" i="9"/>
  <c r="N19" i="9"/>
  <c r="O30" i="9"/>
  <c r="L37" i="9"/>
  <c r="M17" i="9"/>
  <c r="N9" i="9"/>
  <c r="M14" i="9"/>
  <c r="L30" i="9"/>
  <c r="L34" i="9"/>
  <c r="M37" i="9"/>
  <c r="O28" i="9"/>
  <c r="L19" i="9"/>
  <c r="M23" i="9"/>
  <c r="O27" i="9"/>
  <c r="M19" i="9"/>
  <c r="L12" i="9"/>
  <c r="O17" i="9"/>
  <c r="N14" i="9"/>
  <c r="L11" i="9"/>
  <c r="L39" i="9"/>
  <c r="O20" i="9"/>
  <c r="N13" i="9"/>
  <c r="L14" i="9"/>
  <c r="M26" i="9"/>
  <c r="M9" i="9"/>
  <c r="N26" i="9"/>
  <c r="N25" i="9"/>
  <c r="O39" i="9"/>
  <c r="N28" i="9"/>
  <c r="O26" i="9"/>
  <c r="M12" i="9"/>
  <c r="N39" i="9"/>
  <c r="M13" i="9"/>
  <c r="L24" i="9"/>
  <c r="M22" i="9"/>
  <c r="N15" i="9"/>
  <c r="N18" i="9"/>
  <c r="O40" i="9"/>
  <c r="L41" i="9"/>
  <c r="M36" i="9"/>
  <c r="N10" i="9"/>
  <c r="O9" i="9"/>
  <c r="N35" i="9"/>
  <c r="O36" i="9"/>
  <c r="M41" i="9"/>
  <c r="M24" i="9"/>
  <c r="L10" i="9"/>
  <c r="L23" i="9"/>
  <c r="J25" i="4" l="1"/>
  <c r="M33" i="18"/>
  <c r="M33" i="35"/>
  <c r="M33" i="23"/>
  <c r="M33" i="33"/>
  <c r="M33" i="20"/>
  <c r="M33" i="37"/>
  <c r="M33" i="29"/>
  <c r="M35" i="37"/>
  <c r="M35" i="18"/>
  <c r="M22" i="37"/>
  <c r="M22" i="18"/>
  <c r="M29" i="37"/>
  <c r="M29" i="18"/>
  <c r="M135" i="37"/>
  <c r="M37" i="37"/>
  <c r="M137" i="37"/>
  <c r="M66" i="37"/>
  <c r="M66" i="18"/>
  <c r="M111" i="37"/>
  <c r="M111" i="18"/>
  <c r="M10" i="37"/>
  <c r="M10" i="18"/>
  <c r="M136" i="37"/>
  <c r="M75" i="37"/>
  <c r="M134" i="37"/>
  <c r="M36" i="37"/>
  <c r="M12" i="37"/>
  <c r="M12" i="18"/>
  <c r="M89" i="37"/>
  <c r="M89" i="18"/>
  <c r="M87" i="37"/>
  <c r="M87" i="18"/>
  <c r="M25" i="37"/>
  <c r="M25" i="18"/>
  <c r="M11" i="37"/>
  <c r="M11" i="18"/>
  <c r="M7" i="37"/>
  <c r="M7" i="18"/>
  <c r="M34" i="37"/>
  <c r="M34" i="18"/>
  <c r="M119" i="37"/>
  <c r="M119" i="18"/>
  <c r="M68" i="37"/>
  <c r="M68" i="18"/>
  <c r="M96" i="37"/>
  <c r="L24" i="10"/>
  <c r="L14" i="10"/>
  <c r="J39" i="4"/>
  <c r="J75" i="4"/>
  <c r="J96" i="4"/>
  <c r="L15" i="10"/>
  <c r="L50" i="9"/>
  <c r="L70" i="9"/>
  <c r="N57" i="9"/>
  <c r="M44" i="9"/>
  <c r="M68" i="9"/>
  <c r="O67" i="9"/>
  <c r="L53" i="9"/>
  <c r="M50" i="9"/>
  <c r="M55" i="9"/>
  <c r="O55" i="9"/>
  <c r="N60" i="9"/>
  <c r="O70" i="9"/>
  <c r="O54" i="9"/>
  <c r="M60" i="9"/>
  <c r="N55" i="9"/>
  <c r="N52" i="9"/>
  <c r="O69" i="9"/>
  <c r="M67" i="9"/>
  <c r="L55" i="9"/>
  <c r="L64" i="9"/>
  <c r="L57" i="9"/>
  <c r="L63" i="9"/>
  <c r="M59" i="9"/>
  <c r="L69" i="9"/>
  <c r="M48" i="9"/>
  <c r="M31" i="9"/>
  <c r="O53" i="9"/>
  <c r="L44" i="9"/>
  <c r="L52" i="9"/>
  <c r="O66" i="9"/>
  <c r="L49" i="9"/>
  <c r="N62" i="9"/>
  <c r="M70" i="9"/>
  <c r="N48" i="9"/>
  <c r="N31" i="9"/>
  <c r="M61" i="9"/>
  <c r="O44" i="9"/>
  <c r="N54" i="9"/>
  <c r="O50" i="9"/>
  <c r="O49" i="9"/>
  <c r="L60" i="9"/>
  <c r="M62" i="9"/>
  <c r="N66" i="9"/>
  <c r="N70" i="9"/>
  <c r="M63" i="9"/>
  <c r="O63" i="9"/>
  <c r="N68" i="9"/>
  <c r="O58" i="9"/>
  <c r="L61" i="9"/>
  <c r="L68" i="9"/>
  <c r="L56" i="9"/>
  <c r="N64" i="9"/>
  <c r="N53" i="9"/>
  <c r="L66" i="9"/>
  <c r="O60" i="9"/>
  <c r="O59" i="9"/>
  <c r="O68" i="9"/>
  <c r="L58" i="9"/>
  <c r="O64" i="9"/>
  <c r="N50" i="9"/>
  <c r="L59" i="9"/>
  <c r="N49" i="9"/>
  <c r="M69" i="9"/>
  <c r="N63" i="9"/>
  <c r="M53" i="9"/>
  <c r="M66" i="9"/>
  <c r="O48" i="9"/>
  <c r="O31" i="9"/>
  <c r="M57" i="9"/>
  <c r="M58" i="9"/>
  <c r="L62" i="9"/>
  <c r="M49" i="9"/>
  <c r="N69" i="9"/>
  <c r="O62" i="9"/>
  <c r="N51" i="9"/>
  <c r="O56" i="9"/>
  <c r="M56" i="9"/>
  <c r="L67" i="9"/>
  <c r="M52" i="9"/>
  <c r="M54" i="9"/>
  <c r="N44" i="9"/>
  <c r="N61" i="9"/>
  <c r="N56" i="9"/>
  <c r="M51" i="9"/>
  <c r="N59" i="9"/>
  <c r="N58" i="9"/>
  <c r="L31" i="9"/>
  <c r="L48" i="9"/>
  <c r="M64" i="9"/>
  <c r="L54" i="9"/>
  <c r="O57" i="9"/>
  <c r="O52" i="9"/>
  <c r="O51" i="9"/>
  <c r="N67" i="9"/>
  <c r="O61" i="9"/>
  <c r="L51" i="9"/>
  <c r="L42" i="10"/>
  <c r="J11" i="4"/>
  <c r="M11" i="13"/>
  <c r="M11" i="33"/>
  <c r="M11" i="23"/>
  <c r="M11" i="29"/>
  <c r="M11" i="35"/>
  <c r="J10" i="4"/>
  <c r="M10" i="20"/>
  <c r="M10" i="23"/>
  <c r="M10" i="13"/>
  <c r="M10" i="24"/>
  <c r="M10" i="35"/>
  <c r="M10" i="51"/>
  <c r="M10" i="29"/>
  <c r="M10" i="33"/>
  <c r="M68" i="20"/>
  <c r="M68" i="13"/>
  <c r="M68" i="27"/>
  <c r="M68" i="23"/>
  <c r="M68" i="29"/>
  <c r="M68" i="35"/>
  <c r="M68" i="33"/>
  <c r="M136" i="26"/>
  <c r="M136" i="34"/>
  <c r="M119" i="23"/>
  <c r="M119" i="20"/>
  <c r="M119" i="27"/>
  <c r="M119" i="13"/>
  <c r="M119" i="35"/>
  <c r="M119" i="29"/>
  <c r="M119" i="33"/>
  <c r="M111" i="23"/>
  <c r="M111" i="20"/>
  <c r="M111" i="27"/>
  <c r="M111" i="35"/>
  <c r="M111" i="29"/>
  <c r="M111" i="13"/>
  <c r="M111" i="33"/>
  <c r="J7" i="4"/>
  <c r="M7" i="19"/>
  <c r="M7" i="13"/>
  <c r="M7" i="23"/>
  <c r="M7" i="22"/>
  <c r="M7" i="25"/>
  <c r="M7" i="20"/>
  <c r="M7" i="24"/>
  <c r="M7" i="29"/>
  <c r="M7" i="51"/>
  <c r="M7" i="35"/>
  <c r="M7" i="33"/>
  <c r="J22" i="4"/>
  <c r="M22" i="20"/>
  <c r="M22" i="13"/>
  <c r="M22" i="24"/>
  <c r="M22" i="51"/>
  <c r="M22" i="23"/>
  <c r="M22" i="29"/>
  <c r="M22" i="35"/>
  <c r="M22" i="33"/>
  <c r="M29" i="23"/>
  <c r="M29" i="13"/>
  <c r="M29" i="29"/>
  <c r="M29" i="51"/>
  <c r="M29" i="35"/>
  <c r="M29" i="24"/>
  <c r="M29" i="20"/>
  <c r="M29" i="33"/>
  <c r="M137" i="26"/>
  <c r="M87" i="13"/>
  <c r="M87" i="20"/>
  <c r="M87" i="23"/>
  <c r="M87" i="27"/>
  <c r="M87" i="33"/>
  <c r="M87" i="29"/>
  <c r="M87" i="35"/>
  <c r="J9" i="9"/>
  <c r="M35" i="13"/>
  <c r="M35" i="23"/>
  <c r="M35" i="29"/>
  <c r="M35" i="35"/>
  <c r="M35" i="33"/>
  <c r="M39" i="13"/>
  <c r="M34" i="13"/>
  <c r="M34" i="23"/>
  <c r="M34" i="29"/>
  <c r="M34" i="35"/>
  <c r="M34" i="33"/>
  <c r="M66" i="13"/>
  <c r="M66" i="20"/>
  <c r="M66" i="27"/>
  <c r="M66" i="35"/>
  <c r="M66" i="33"/>
  <c r="M66" i="23"/>
  <c r="M66" i="29"/>
  <c r="M89" i="20"/>
  <c r="M89" i="13"/>
  <c r="M89" i="23"/>
  <c r="M89" i="27"/>
  <c r="M89" i="29"/>
  <c r="M89" i="35"/>
  <c r="M89" i="33"/>
  <c r="M96" i="33"/>
  <c r="M75" i="33"/>
  <c r="J37" i="4"/>
  <c r="M37" i="13"/>
  <c r="I68" i="9"/>
  <c r="M134" i="26"/>
  <c r="M134" i="34"/>
  <c r="M12" i="13"/>
  <c r="M12" i="23"/>
  <c r="M12" i="29"/>
  <c r="M12" i="35"/>
  <c r="M12" i="33"/>
  <c r="J36" i="4"/>
  <c r="M36" i="13"/>
  <c r="L21" i="10"/>
  <c r="H53" i="10"/>
  <c r="M135" i="26"/>
  <c r="M135" i="34"/>
  <c r="M25" i="23"/>
  <c r="M25" i="13"/>
  <c r="M25" i="20"/>
  <c r="M25" i="29"/>
  <c r="M25" i="33"/>
  <c r="L31" i="10"/>
  <c r="L22" i="10"/>
  <c r="L12" i="10"/>
  <c r="L10" i="10"/>
  <c r="I66" i="9"/>
  <c r="I63" i="9"/>
  <c r="I59" i="9"/>
  <c r="I55" i="9"/>
  <c r="I52" i="9"/>
  <c r="I31" i="9"/>
  <c r="I49" i="9"/>
  <c r="D66" i="9"/>
  <c r="D44" i="9"/>
  <c r="D49" i="9"/>
  <c r="G17" i="10"/>
  <c r="E37" i="9"/>
  <c r="E41" i="9"/>
  <c r="E35" i="9"/>
  <c r="E36" i="9"/>
  <c r="E43" i="9"/>
  <c r="D31" i="9"/>
  <c r="E42" i="9"/>
  <c r="E40" i="9"/>
  <c r="F17" i="10"/>
  <c r="J17" i="10" s="1"/>
  <c r="E39" i="9"/>
  <c r="E38" i="9"/>
  <c r="B27" i="10"/>
  <c r="J27" i="10" s="1"/>
  <c r="J34" i="9"/>
  <c r="E20" i="9"/>
  <c r="C71" i="9"/>
  <c r="E11" i="9"/>
  <c r="J40" i="9"/>
  <c r="E23" i="9"/>
  <c r="J12" i="9"/>
  <c r="E15" i="9"/>
  <c r="G27" i="10"/>
  <c r="H27" i="10" s="1"/>
  <c r="J26" i="9"/>
  <c r="E19" i="9"/>
  <c r="E13" i="9"/>
  <c r="J20" i="9"/>
  <c r="J14" i="9"/>
  <c r="H71" i="9"/>
  <c r="E29" i="9"/>
  <c r="E22" i="9"/>
  <c r="E17" i="9"/>
  <c r="E18" i="9"/>
  <c r="J10" i="9"/>
  <c r="J18" i="9"/>
  <c r="J30" i="9"/>
  <c r="J13" i="9"/>
  <c r="J11" i="9"/>
  <c r="J15" i="9"/>
  <c r="B71" i="9"/>
  <c r="E25" i="9"/>
  <c r="E9" i="9"/>
  <c r="E14" i="9"/>
  <c r="E10" i="9"/>
  <c r="C17" i="10"/>
  <c r="D17" i="10" s="1"/>
  <c r="J27" i="9"/>
  <c r="C27" i="10"/>
  <c r="J22" i="9"/>
  <c r="J16" i="9"/>
  <c r="J19" i="9"/>
  <c r="J17" i="9"/>
  <c r="J25" i="9"/>
  <c r="E30" i="9"/>
  <c r="E12" i="9"/>
  <c r="E21" i="9"/>
  <c r="E24" i="9"/>
  <c r="E26" i="9"/>
  <c r="E27" i="9"/>
  <c r="E28" i="9"/>
  <c r="J23" i="9"/>
  <c r="J28" i="9"/>
  <c r="J29" i="9"/>
  <c r="J21" i="9"/>
  <c r="J41" i="9"/>
  <c r="J42" i="9"/>
  <c r="G71" i="9"/>
  <c r="J35" i="9"/>
  <c r="J36" i="9"/>
  <c r="J39" i="9"/>
  <c r="I44" i="9"/>
  <c r="J37" i="9"/>
  <c r="J43" i="9"/>
  <c r="J119" i="4"/>
  <c r="J137" i="4"/>
  <c r="J135" i="4"/>
  <c r="J111" i="4"/>
  <c r="J12" i="4"/>
  <c r="J66" i="4"/>
  <c r="J35" i="4"/>
  <c r="J134" i="4"/>
  <c r="J34" i="4"/>
  <c r="J136" i="4"/>
  <c r="J68" i="4"/>
  <c r="J89" i="4"/>
  <c r="J87" i="4"/>
  <c r="J29" i="4"/>
  <c r="K53" i="10"/>
  <c r="K55" i="10"/>
  <c r="L44" i="10"/>
  <c r="L23" i="10"/>
  <c r="H55" i="10"/>
  <c r="L30" i="10"/>
  <c r="G57" i="10"/>
  <c r="L32" i="10"/>
  <c r="H5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J70" i="9" l="1"/>
  <c r="J65" i="9"/>
  <c r="E69" i="9"/>
  <c r="D69" i="9" s="1"/>
  <c r="E65" i="9"/>
  <c r="L55" i="10"/>
  <c r="M71" i="9"/>
  <c r="O71" i="9"/>
  <c r="L71" i="9"/>
  <c r="N71" i="9"/>
  <c r="L53" i="10"/>
  <c r="J44" i="9"/>
  <c r="J31" i="9"/>
  <c r="I71" i="9"/>
  <c r="E44" i="9"/>
  <c r="D71" i="9"/>
  <c r="H17" i="10"/>
  <c r="E54" i="9"/>
  <c r="D54" i="9" s="1"/>
  <c r="E60" i="9"/>
  <c r="D60" i="9" s="1"/>
  <c r="E53" i="9"/>
  <c r="D53" i="9" s="1"/>
  <c r="E52" i="9"/>
  <c r="D52" i="9" s="1"/>
  <c r="J55" i="9"/>
  <c r="J54" i="9"/>
  <c r="D27" i="10"/>
  <c r="E56" i="9"/>
  <c r="D56" i="9" s="1"/>
  <c r="E62" i="9"/>
  <c r="D62" i="9" s="1"/>
  <c r="E57" i="9"/>
  <c r="D57" i="9" s="1"/>
  <c r="E63" i="9"/>
  <c r="D63" i="9" s="1"/>
  <c r="K27" i="10"/>
  <c r="L27" i="10" s="1"/>
  <c r="J66" i="9"/>
  <c r="J62" i="9"/>
  <c r="J51" i="9"/>
  <c r="J58" i="9"/>
  <c r="I58" i="9" s="1"/>
  <c r="E58" i="9"/>
  <c r="D58" i="9" s="1"/>
  <c r="E50" i="9"/>
  <c r="D50" i="9" s="1"/>
  <c r="E49" i="9"/>
  <c r="E48" i="9"/>
  <c r="E66" i="9"/>
  <c r="E70" i="9"/>
  <c r="D70" i="9" s="1"/>
  <c r="E67" i="9"/>
  <c r="D67" i="9" s="1"/>
  <c r="E61" i="9"/>
  <c r="D61" i="9" s="1"/>
  <c r="K17" i="10"/>
  <c r="L17" i="10" s="1"/>
  <c r="J61" i="9"/>
  <c r="J50" i="9"/>
  <c r="I50" i="9" s="1"/>
  <c r="J56" i="9"/>
  <c r="I56" i="9" s="1"/>
  <c r="J63" i="9"/>
  <c r="J57" i="9"/>
  <c r="J64" i="9"/>
  <c r="I64" i="9" s="1"/>
  <c r="J52" i="9"/>
  <c r="J59" i="9"/>
  <c r="J69" i="9"/>
  <c r="J49" i="9"/>
  <c r="J60" i="9"/>
  <c r="I60" i="9" s="1"/>
  <c r="J53" i="9"/>
  <c r="J67" i="9"/>
  <c r="I67" i="9" s="1"/>
  <c r="J68" i="9"/>
  <c r="J48" i="9"/>
  <c r="E59" i="9"/>
  <c r="D59" i="9" s="1"/>
  <c r="E64" i="9"/>
  <c r="D64" i="9" s="1"/>
  <c r="E51" i="9"/>
  <c r="D51" i="9" s="1"/>
  <c r="E55" i="9"/>
  <c r="D55" i="9" s="1"/>
  <c r="E68" i="9"/>
  <c r="D68" i="9" s="1"/>
  <c r="E31" i="9"/>
  <c r="K57" i="10"/>
  <c r="H57" i="10"/>
  <c r="L46" i="10"/>
  <c r="L35" i="10"/>
  <c r="L54" i="10"/>
  <c r="J57" i="10"/>
  <c r="D57" i="10"/>
  <c r="L52" i="10"/>
  <c r="J71" i="9" l="1"/>
  <c r="E71" i="9"/>
  <c r="L57" i="1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<sst xmlns="http://schemas.openxmlformats.org/spreadsheetml/2006/main" count="5567" uniqueCount="429">
  <si>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</si>
  <si>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</si>
  <si>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</si>
  <si>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</si>
  <si>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</si>
  <si>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</si>
  <si>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</si>
  <si>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</si>
  <si>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</si>
  <si>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</si>
  <si>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</si>
  <si>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</si>
  <si>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</si>
  <si>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</si>
  <si>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</si>
  <si>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</si>
  <si>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</si>
  <si>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</si>
  <si>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</si>
  <si>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</si>
  <si>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</si>
  <si>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</si>
  <si>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</si>
  <si>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</si>
  <si>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</si>
  <si>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</si>
  <si>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</si>
  <si>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</si>
  <si>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</si>
  <si>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</si>
  <si>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</si>
  <si>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</si>
  <si>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</si>
  <si>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</si>
  <si>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</si>
  <si>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</si>
  <si>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</si>
  <si>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</si>
  <si>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</si>
  <si>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</si>
  <si>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</si>
  <si>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</si>
  <si>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</si>
  <si>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</si>
  <si>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</si>
  <si>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</si>
  <si>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</si>
  <si>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</si>
  <si>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</si>
  <si>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</si>
  <si>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</si>
  <si>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</si>
  <si>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</si>
  <si>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</si>
  <si>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ACE</t>
  </si>
  <si>
    <t>Danica Pensjon</t>
  </si>
  <si>
    <t>DNB Liv</t>
  </si>
  <si>
    <t>Eika Forsikring</t>
  </si>
  <si>
    <t>Frende Livsfors</t>
  </si>
  <si>
    <t>Frende Skade</t>
  </si>
  <si>
    <t>Gjensidige Fors</t>
  </si>
  <si>
    <t>Gjensidige Pensj</t>
  </si>
  <si>
    <t>Handelsb Liv</t>
  </si>
  <si>
    <t>If Skadefors</t>
  </si>
  <si>
    <t>KLP</t>
  </si>
  <si>
    <t>KLP Bedriftsp</t>
  </si>
  <si>
    <t>KLP Skadef</t>
  </si>
  <si>
    <t>Landbruksfors.</t>
  </si>
  <si>
    <t>NEMI</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</si>
  <si>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</si>
  <si>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</si>
  <si>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</si>
  <si>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</si>
  <si>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</si>
  <si>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</si>
  <si>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</si>
  <si>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</si>
  <si>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</si>
  <si>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</si>
  <si>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</si>
  <si>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</si>
  <si>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</si>
  <si>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</si>
  <si>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</si>
  <si>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</si>
  <si>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</si>
  <si>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</si>
  <si>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ACE European Group</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</si>
  <si>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</si>
  <si>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</si>
  <si>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</si>
  <si>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</si>
  <si>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</si>
  <si>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</si>
  <si>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</si>
  <si>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</si>
  <si>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</si>
  <si>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</si>
  <si>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</si>
  <si>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Landbruksforsikring AS</t>
  </si>
  <si>
    <t>NEMI Forsikring</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</si>
  <si>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</si>
  <si>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</si>
  <si>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</si>
  <si>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</si>
  <si>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</si>
  <si>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</si>
  <si>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</si>
  <si>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</si>
  <si>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</si>
  <si>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</si>
  <si>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</si>
  <si>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</si>
  <si>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</si>
  <si>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</si>
  <si>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</si>
  <si>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</si>
  <si>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</si>
  <si>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</si>
  <si>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</si>
  <si>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</si>
  <si>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</si>
  <si>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</si>
  <si>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</si>
  <si>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</si>
  <si>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</si>
  <si>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</si>
  <si>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</si>
  <si>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</si>
  <si>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</si>
  <si>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</si>
  <si>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ACE European Group Ltd</t>
  </si>
  <si>
    <t>DNB Livsforsikring ASA</t>
  </si>
  <si>
    <t>Eika Gruppen AS</t>
  </si>
  <si>
    <t>Frende Livsforsikring AS</t>
  </si>
  <si>
    <t>Frende Skadeforsikring AS</t>
  </si>
  <si>
    <t>Gjensidige Forsikring ASA</t>
  </si>
  <si>
    <t>Gjensidige Pensjon og Sparing</t>
  </si>
  <si>
    <t>If Skadeforsikring nuf</t>
  </si>
  <si>
    <t>NEMI Forsikring AS</t>
  </si>
  <si>
    <t>Livsforsikringsselskapet Nordea Liv Norge AS</t>
  </si>
  <si>
    <t>Telenor Forsikring AS</t>
  </si>
  <si>
    <t>SpareBank 1 Forsikring AS</t>
  </si>
  <si>
    <t>Storebrand ASA</t>
  </si>
  <si>
    <t>KLP Skadeforsikring</t>
  </si>
  <si>
    <t>Selskap</t>
  </si>
  <si>
    <t>Flytting fra andre</t>
  </si>
  <si>
    <t>Flytting til andre</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</si>
  <si>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</si>
  <si>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</si>
  <si>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</si>
  <si>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</si>
  <si>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</si>
  <si>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</si>
  <si>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</si>
  <si>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</si>
  <si>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</si>
  <si>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</si>
  <si>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</si>
  <si>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</si>
  <si>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</si>
  <si>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</si>
  <si>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</si>
  <si>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</si>
  <si>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</si>
  <si>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</si>
  <si>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</si>
  <si>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</si>
  <si>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</si>
  <si>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</si>
  <si>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</si>
  <si>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</si>
  <si>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</si>
  <si>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</si>
  <si>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</si>
  <si>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</si>
  <si>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</si>
  <si>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</si>
  <si>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</si>
  <si>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</si>
  <si>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</si>
  <si>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</si>
  <si>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</si>
  <si>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</si>
  <si>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</si>
  <si>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</si>
  <si>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</si>
  <si>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</si>
  <si>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</si>
  <si>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</si>
  <si>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</si>
  <si>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</si>
  <si>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</si>
  <si>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</si>
  <si>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</si>
  <si>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</si>
  <si>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</si>
  <si>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</si>
  <si>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</si>
  <si>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</si>
  <si>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</si>
  <si>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</si>
  <si>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</si>
  <si>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</si>
  <si>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</si>
  <si>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</si>
  <si>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</si>
  <si>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</si>
  <si>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</si>
  <si>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</si>
  <si>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</si>
  <si>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</si>
  <si>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</si>
  <si>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</si>
  <si>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</si>
  <si>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</si>
  <si>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</si>
  <si>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</si>
  <si>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</si>
  <si>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</si>
  <si>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</si>
  <si>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</si>
  <si>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</si>
  <si>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</si>
  <si>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</si>
  <si>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</si>
  <si>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</si>
  <si>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</si>
  <si>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</si>
  <si>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</si>
  <si>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</si>
  <si>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</si>
  <si>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</si>
  <si>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</si>
  <si>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</si>
  <si>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</si>
  <si>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</si>
  <si>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</si>
  <si>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</si>
  <si>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</si>
  <si>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</si>
  <si>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</si>
  <si>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</si>
  <si>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</si>
  <si>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</si>
  <si>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</si>
  <si>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</si>
  <si>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</si>
  <si>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</si>
  <si>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</si>
  <si>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</si>
  <si>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</si>
  <si>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</si>
  <si>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</si>
  <si>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</si>
  <si>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</si>
  <si>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</si>
  <si>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</si>
  <si>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</si>
  <si>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</si>
  <si>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</si>
  <si>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</si>
  <si>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</si>
  <si>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</si>
  <si>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</si>
  <si>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</si>
  <si>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</si>
  <si>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</si>
  <si>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</si>
  <si>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</si>
  <si>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</si>
  <si>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</si>
  <si>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</si>
  <si>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</si>
  <si>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</si>
  <si>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</si>
  <si>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</si>
  <si>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</si>
  <si>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</si>
  <si>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</si>
  <si>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</si>
  <si>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</si>
  <si>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</si>
  <si>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</si>
  <si>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</si>
  <si>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</si>
  <si>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</si>
  <si>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</si>
  <si>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</si>
  <si>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</si>
  <si>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</si>
  <si>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</si>
  <si>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</si>
  <si>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</si>
  <si>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</si>
  <si>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</si>
  <si>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</si>
  <si>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</si>
  <si>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</si>
  <si>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</si>
  <si>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</si>
  <si>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</si>
  <si>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</si>
  <si>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</si>
  <si>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</si>
  <si>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</si>
  <si>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</si>
  <si>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</si>
  <si>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</si>
  <si>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</si>
  <si>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</si>
  <si>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</si>
  <si>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</si>
  <si>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</si>
  <si>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</si>
  <si>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</si>
  <si>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</si>
  <si>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</si>
  <si>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</si>
  <si>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</si>
  <si>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</si>
  <si>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</si>
  <si>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</si>
  <si>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</si>
  <si>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</si>
  <si>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</si>
  <si>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</si>
  <si>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</si>
  <si>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</si>
  <si>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</si>
  <si>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</si>
  <si>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</si>
  <si>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</si>
  <si>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</si>
  <si>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</si>
  <si>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</si>
  <si>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</si>
  <si>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</si>
  <si>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</si>
  <si>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</si>
  <si>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</si>
  <si>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</si>
  <si>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</si>
  <si>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</si>
  <si>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</si>
  <si>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</si>
  <si>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</si>
  <si>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</si>
  <si>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</si>
  <si>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</si>
  <si>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</si>
  <si>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</si>
  <si>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</si>
  <si>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</si>
  <si>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</si>
  <si>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</si>
  <si>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</si>
  <si>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</si>
  <si>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</si>
  <si>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</si>
  <si>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</si>
  <si>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</si>
  <si>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</si>
  <si>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</si>
  <si>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</si>
  <si>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</si>
  <si>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</si>
  <si>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</si>
  <si>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</si>
  <si>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</si>
  <si>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</si>
  <si>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</si>
  <si>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</si>
  <si>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 xml:space="preserve">    13.5 Andre tekniske avsetninger for skadeforsikringsvirksomheten</t>
  </si>
  <si>
    <t xml:space="preserve">    5.2 Overføring av premieres., tilleggsavsetn. til andre selskap/kasser</t>
  </si>
  <si>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</si>
  <si>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</si>
  <si>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</si>
  <si>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</si>
  <si>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</si>
  <si>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</si>
  <si>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</si>
  <si>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</si>
  <si>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</si>
  <si>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</si>
  <si>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</si>
  <si>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</si>
  <si>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</si>
  <si>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</si>
  <si>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</si>
  <si>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</si>
  <si>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</si>
  <si>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</si>
  <si>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</si>
  <si>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</si>
  <si>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</si>
  <si>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</si>
  <si>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</si>
  <si>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</si>
  <si>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</si>
  <si>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</si>
  <si>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</si>
  <si>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</si>
  <si>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</si>
  <si>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</si>
  <si>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</si>
  <si>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</si>
  <si>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</si>
  <si>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</si>
  <si>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13.4 Premiefond, innskuddsfond og fond for regulering av pensjoner mv.</t>
  </si>
  <si>
    <t xml:space="preserve">    14.1 Premiekapital mv.</t>
  </si>
  <si>
    <t xml:space="preserve">    14.2 Tilleggsavsetninger</t>
  </si>
  <si>
    <t xml:space="preserve">    14.3 Premiefond, innskuddsfond og fond for regulering av pensjoner mv.</t>
  </si>
  <si>
    <t>30.9.2017</t>
  </si>
  <si>
    <t>30.9.2018</t>
  </si>
  <si>
    <t>Figur 1  Brutto forfalt premie livprodukter  -  produkter uten investeringsvalg pr. 30.09.</t>
  </si>
  <si>
    <t>Figur 2  Brutto forfalt premie livprodukter  -  produkter med investeringsvalg pr. 30.09.</t>
  </si>
  <si>
    <t>Figur 3  Forsikringsforpliktelser i livsforsikring  -  produkter uten investeringsvalg pr. 30.09.</t>
  </si>
  <si>
    <t>Figur 4  Forsikringsforpliktelser i livsforsikring -  produkter med investeringsvalg pr. 30.09.</t>
  </si>
  <si>
    <t>Figur 5  Netto tilflytting livprodukter  -  produkter uten investeringsvalg pr. 30.09.</t>
  </si>
  <si>
    <t>Figur 6  Netto tilflytting livprodukter  -  produkter med investeringsvalg pr. 30.09.</t>
  </si>
  <si>
    <t>30.09.</t>
  </si>
  <si>
    <t/>
  </si>
  <si>
    <t>Avkastningstall (%)</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</si>
  <si>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</si>
  <si>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</si>
  <si>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</si>
  <si>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Mer/mindre-verdier</t>
  </si>
  <si>
    <t xml:space="preserve">     - herav ap etter tjenestepensjonsloven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</si>
</sst>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sz val="10"/>
      <color rgb="FFFF0000"/>
      <name val="Arial"/>
      <family val="2"/>
    </font>
    <font>
      <u/>
      <sz val="12"/>
      <name val="Times New Roman"/>
      <family val="1"/>
    </font>
    <font>
      <b/>
      <sz val="12"/>
      <color rgb="FFFF0000"/>
      <name val="Times New Roman"/>
      <family val="1"/>
    </font>
    <font>
      <sz val="10"/>
      <color theme="0"/>
      <name val="Times New Roman"/>
      <family val="1"/>
    </font>
    <font>
      <sz val="1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0">
    <xf numFmtId="0" fontId="0" fillId="0" borderId="0"/>
    <xf numFmtId="0" fontId="19" fillId="0" borderId="0"/>
    <xf numFmtId="164" fontId="25" fillId="0" borderId="0" applyFont="0" applyFill="0" applyBorder="0" applyAlignment="0" applyProtection="0"/>
    <xf numFmtId="0" fontId="43" fillId="0" borderId="0" applyNumberFormat="0" applyFill="0" applyBorder="0" applyAlignment="0" applyProtection="0">
      <alignment vertical="top"/>
      <protection locked="0"/>
    </xf>
    <xf numFmtId="0" fontId="12" fillId="0" borderId="0"/>
    <xf numFmtId="0" fontId="19" fillId="0" borderId="0"/>
    <xf numFmtId="0" fontId="11" fillId="0" borderId="0"/>
    <xf numFmtId="0" fontId="19" fillId="0" borderId="0"/>
    <xf numFmtId="0" fontId="10" fillId="0" borderId="0"/>
    <xf numFmtId="0" fontId="19" fillId="0" borderId="0"/>
    <xf numFmtId="0" fontId="25" fillId="0" borderId="0"/>
    <xf numFmtId="0" fontId="10" fillId="0" borderId="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0" fillId="0" borderId="0" applyFont="0" applyFill="0" applyBorder="0" applyAlignment="0" applyProtection="0"/>
    <xf numFmtId="164" fontId="19" fillId="0" borderId="0" applyFont="0" applyFill="0" applyBorder="0" applyAlignment="0" applyProtection="0"/>
    <xf numFmtId="0" fontId="10" fillId="0" borderId="0"/>
    <xf numFmtId="0" fontId="19" fillId="0" borderId="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5" borderId="16" applyNumberFormat="0" applyFont="0" applyAlignment="0" applyProtection="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164" fontId="25" fillId="0" borderId="0" applyFont="0" applyFill="0" applyBorder="0" applyAlignment="0" applyProtection="0"/>
    <xf numFmtId="0" fontId="10"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0" borderId="0"/>
    <xf numFmtId="0" fontId="2"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0" fontId="2" fillId="0" borderId="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6" borderId="0" applyNumberFormat="0" applyBorder="0" applyAlignment="0" applyProtection="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6"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7" borderId="0" applyNumberFormat="0" applyBorder="0" applyAlignment="0" applyProtection="0"/>
    <xf numFmtId="0" fontId="14" fillId="0" borderId="0"/>
    <xf numFmtId="171" fontId="15" fillId="0" borderId="7" applyFont="0" applyFill="0" applyBorder="0" applyAlignment="0" applyProtection="0">
      <alignment horizontal="right"/>
    </xf>
    <xf numFmtId="164" fontId="19" fillId="0" borderId="0" applyFont="0" applyFill="0" applyBorder="0" applyAlignment="0" applyProtection="0"/>
    <xf numFmtId="9" fontId="74" fillId="0" borderId="0" applyFont="0" applyFill="0" applyBorder="0" applyAlignment="0" applyProtection="0"/>
    <xf numFmtId="0" fontId="19" fillId="0" borderId="0"/>
  </cellStyleXfs>
  <cellXfs count="759">
    <xf numFmtId="0" fontId="0" fillId="0" borderId="0" xfId="0"/>
    <xf numFmtId="0" fontId="17" fillId="0" borderId="0" xfId="1" applyFont="1"/>
    <xf numFmtId="0" fontId="23" fillId="0" borderId="0" xfId="1" applyFont="1"/>
    <xf numFmtId="0" fontId="17" fillId="0" borderId="0" xfId="1" applyFont="1" applyFill="1"/>
    <xf numFmtId="0" fontId="17" fillId="0" borderId="0" xfId="1" applyFont="1" applyBorder="1"/>
    <xf numFmtId="49" fontId="17" fillId="0" borderId="0" xfId="1" applyNumberFormat="1" applyFont="1" applyFill="1" applyBorder="1" applyAlignment="1">
      <alignment horizontal="center"/>
    </xf>
    <xf numFmtId="165" fontId="17" fillId="0" borderId="0" xfId="1" applyNumberFormat="1" applyFont="1" applyFill="1" applyBorder="1"/>
    <xf numFmtId="0" fontId="17" fillId="0" borderId="0" xfId="1" applyFont="1" applyFill="1" applyBorder="1"/>
    <xf numFmtId="0" fontId="17" fillId="0" borderId="0" xfId="1" applyFont="1" applyFill="1" applyAlignment="1">
      <alignment horizontal="left"/>
    </xf>
    <xf numFmtId="165" fontId="15" fillId="3" borderId="5" xfId="1" applyNumberFormat="1" applyFont="1" applyFill="1" applyBorder="1" applyAlignment="1">
      <alignment horizontal="right"/>
    </xf>
    <xf numFmtId="0" fontId="17" fillId="0" borderId="6" xfId="1" applyFont="1" applyBorder="1"/>
    <xf numFmtId="165" fontId="15" fillId="3" borderId="2" xfId="1" applyNumberFormat="1" applyFont="1" applyFill="1" applyBorder="1" applyAlignment="1">
      <alignment horizontal="right"/>
    </xf>
    <xf numFmtId="0" fontId="15" fillId="0" borderId="4" xfId="1" applyFont="1" applyBorder="1"/>
    <xf numFmtId="0" fontId="15" fillId="0" borderId="3" xfId="1" applyFont="1" applyBorder="1"/>
    <xf numFmtId="0" fontId="15" fillId="0" borderId="7" xfId="1" applyFont="1" applyBorder="1"/>
    <xf numFmtId="0" fontId="15" fillId="0" borderId="6" xfId="1" applyFont="1" applyBorder="1" applyAlignment="1">
      <alignment horizontal="center"/>
    </xf>
    <xf numFmtId="0" fontId="15" fillId="0" borderId="11" xfId="1" applyFont="1" applyBorder="1" applyAlignment="1">
      <alignment horizontal="center"/>
    </xf>
    <xf numFmtId="0" fontId="15" fillId="0" borderId="5" xfId="1" applyFont="1" applyBorder="1" applyAlignment="1">
      <alignment horizontal="center"/>
    </xf>
    <xf numFmtId="0" fontId="15" fillId="0" borderId="11" xfId="1" applyFont="1" applyBorder="1"/>
    <xf numFmtId="0" fontId="15" fillId="0" borderId="7" xfId="1" applyFont="1" applyBorder="1" applyAlignment="1">
      <alignment horizontal="center"/>
    </xf>
    <xf numFmtId="14" fontId="16" fillId="0" borderId="4" xfId="1" applyNumberFormat="1" applyFont="1" applyBorder="1" applyAlignment="1">
      <alignment horizontal="center"/>
    </xf>
    <xf numFmtId="0" fontId="17" fillId="0" borderId="3" xfId="1" applyFont="1" applyBorder="1"/>
    <xf numFmtId="165" fontId="17" fillId="3" borderId="6" xfId="1" applyNumberFormat="1" applyFont="1" applyFill="1" applyBorder="1" applyAlignment="1">
      <alignment horizontal="right"/>
    </xf>
    <xf numFmtId="165" fontId="17" fillId="3" borderId="3" xfId="1" applyNumberFormat="1" applyFont="1" applyFill="1" applyBorder="1" applyAlignment="1">
      <alignment horizontal="right"/>
    </xf>
    <xf numFmtId="165" fontId="15" fillId="3" borderId="3" xfId="1" applyNumberFormat="1" applyFont="1" applyFill="1" applyBorder="1" applyAlignment="1">
      <alignment horizontal="right"/>
    </xf>
    <xf numFmtId="165" fontId="17" fillId="0" borderId="0" xfId="1" applyNumberFormat="1" applyFont="1" applyBorder="1"/>
    <xf numFmtId="3" fontId="17" fillId="0" borderId="0" xfId="1" applyNumberFormat="1" applyFont="1" applyBorder="1"/>
    <xf numFmtId="165" fontId="17" fillId="3" borderId="2" xfId="1" applyNumberFormat="1" applyFont="1" applyFill="1" applyBorder="1" applyAlignment="1">
      <alignment horizontal="right"/>
    </xf>
    <xf numFmtId="0" fontId="14" fillId="0" borderId="0" xfId="1" applyFont="1"/>
    <xf numFmtId="0" fontId="21" fillId="0" borderId="0" xfId="1" applyFont="1"/>
    <xf numFmtId="0" fontId="14" fillId="0" borderId="0" xfId="1" applyFont="1" applyFill="1"/>
    <xf numFmtId="0" fontId="14" fillId="0" borderId="0" xfId="1" applyFont="1" applyFill="1" applyBorder="1"/>
    <xf numFmtId="165" fontId="15" fillId="0" borderId="0" xfId="1" applyNumberFormat="1" applyFont="1" applyFill="1" applyBorder="1" applyAlignment="1">
      <alignment horizontal="right"/>
    </xf>
    <xf numFmtId="3" fontId="17" fillId="0" borderId="0" xfId="1" applyNumberFormat="1" applyFont="1" applyFill="1" applyBorder="1" applyAlignment="1">
      <alignment horizontal="center"/>
    </xf>
    <xf numFmtId="165" fontId="17" fillId="0" borderId="0" xfId="1" applyNumberFormat="1" applyFont="1" applyFill="1" applyBorder="1" applyAlignment="1">
      <alignment horizontal="right"/>
    </xf>
    <xf numFmtId="49" fontId="17" fillId="0" borderId="0" xfId="1" applyNumberFormat="1" applyFont="1" applyFill="1" applyBorder="1" applyAlignment="1">
      <alignment horizontal="right"/>
    </xf>
    <xf numFmtId="165" fontId="15" fillId="3" borderId="6" xfId="1" applyNumberFormat="1" applyFont="1" applyFill="1" applyBorder="1" applyAlignment="1">
      <alignment horizontal="right"/>
    </xf>
    <xf numFmtId="3" fontId="17" fillId="0" borderId="0" xfId="1" quotePrefix="1" applyNumberFormat="1" applyFont="1" applyFill="1" applyBorder="1" applyAlignment="1">
      <alignment horizontal="center"/>
    </xf>
    <xf numFmtId="0" fontId="17" fillId="0" borderId="3" xfId="1" applyFont="1" applyFill="1" applyBorder="1"/>
    <xf numFmtId="0" fontId="15" fillId="0" borderId="3" xfId="1" applyFont="1" applyFill="1" applyBorder="1"/>
    <xf numFmtId="0" fontId="15" fillId="0" borderId="0" xfId="1" applyFont="1" applyFill="1" applyBorder="1" applyAlignment="1">
      <alignment horizontal="center"/>
    </xf>
    <xf numFmtId="0" fontId="15" fillId="0" borderId="6" xfId="1" applyFont="1" applyBorder="1"/>
    <xf numFmtId="14" fontId="16" fillId="0" borderId="0" xfId="1" applyNumberFormat="1" applyFont="1" applyFill="1" applyBorder="1" applyAlignment="1">
      <alignment horizontal="center"/>
    </xf>
    <xf numFmtId="0" fontId="15" fillId="0" borderId="0" xfId="1" applyFont="1"/>
    <xf numFmtId="3" fontId="17" fillId="0" borderId="3" xfId="1" applyNumberFormat="1" applyFont="1" applyFill="1" applyBorder="1" applyAlignment="1">
      <alignment horizontal="right"/>
    </xf>
    <xf numFmtId="3" fontId="17" fillId="0" borderId="6" xfId="1" applyNumberFormat="1" applyFont="1" applyFill="1" applyBorder="1" applyAlignment="1">
      <alignment horizontal="right"/>
    </xf>
    <xf numFmtId="0" fontId="17" fillId="0" borderId="6" xfId="1" applyFont="1" applyFill="1" applyBorder="1"/>
    <xf numFmtId="0" fontId="15" fillId="0" borderId="0" xfId="1" applyFont="1" applyBorder="1"/>
    <xf numFmtId="3" fontId="18" fillId="0" borderId="0" xfId="1" applyNumberFormat="1" applyFont="1" applyFill="1" applyBorder="1" applyAlignment="1">
      <alignment horizontal="right"/>
    </xf>
    <xf numFmtId="0" fontId="17" fillId="0" borderId="4" xfId="1" applyFont="1" applyFill="1" applyBorder="1"/>
    <xf numFmtId="0" fontId="17" fillId="0" borderId="0" xfId="1" applyFont="1" applyFill="1" applyAlignment="1">
      <alignment horizontal="right"/>
    </xf>
    <xf numFmtId="0" fontId="19" fillId="0" borderId="0" xfId="1"/>
    <xf numFmtId="0" fontId="26" fillId="0" borderId="0" xfId="1" applyFont="1"/>
    <xf numFmtId="0" fontId="0" fillId="0" borderId="0" xfId="1" applyFont="1"/>
    <xf numFmtId="0" fontId="27" fillId="0" borderId="0" xfId="1" applyFont="1" applyAlignment="1">
      <alignment horizontal="right"/>
    </xf>
    <xf numFmtId="0" fontId="28" fillId="0" borderId="0" xfId="1" applyFont="1" applyAlignment="1">
      <alignment horizontal="lef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right"/>
    </xf>
    <xf numFmtId="0" fontId="19" fillId="0" borderId="0" xfId="1" applyAlignment="1">
      <alignment horizontal="right"/>
    </xf>
    <xf numFmtId="0" fontId="32" fillId="0" borderId="0" xfId="1" applyFont="1" applyAlignment="1">
      <alignment horizontal="left"/>
    </xf>
    <xf numFmtId="14" fontId="33" fillId="0" borderId="0" xfId="1" applyNumberFormat="1" applyFont="1" applyAlignment="1">
      <alignment horizontal="left"/>
    </xf>
    <xf numFmtId="0" fontId="33" fillId="0" borderId="0" xfId="1" applyFont="1" applyAlignment="1">
      <alignment horizontal="left"/>
    </xf>
    <xf numFmtId="0" fontId="34" fillId="0" borderId="0" xfId="1" applyFont="1" applyAlignment="1">
      <alignment vertical="center"/>
    </xf>
    <xf numFmtId="0" fontId="35" fillId="0" borderId="0" xfId="1" applyFont="1" applyAlignment="1">
      <alignment vertical="center"/>
    </xf>
    <xf numFmtId="0" fontId="36" fillId="0" borderId="0" xfId="1" applyFont="1"/>
    <xf numFmtId="14" fontId="37" fillId="0" borderId="0" xfId="1" applyNumberFormat="1" applyFont="1"/>
    <xf numFmtId="0" fontId="38" fillId="0" borderId="0" xfId="0" applyFont="1"/>
    <xf numFmtId="0" fontId="39" fillId="0" borderId="0" xfId="0" applyFont="1"/>
    <xf numFmtId="0" fontId="40" fillId="0" borderId="0" xfId="0" applyFont="1"/>
    <xf numFmtId="0" fontId="42" fillId="0" borderId="0" xfId="0" applyFont="1"/>
    <xf numFmtId="0" fontId="42" fillId="0" borderId="0" xfId="3" applyFont="1" applyAlignment="1" applyProtection="1"/>
    <xf numFmtId="0" fontId="44" fillId="0" borderId="0" xfId="0" applyFont="1"/>
    <xf numFmtId="0" fontId="17" fillId="0" borderId="0" xfId="3" applyFont="1" applyFill="1" applyAlignment="1" applyProtection="1"/>
    <xf numFmtId="0" fontId="30" fillId="0" borderId="0" xfId="0" applyFont="1"/>
    <xf numFmtId="0" fontId="45" fillId="0" borderId="0" xfId="0" applyFont="1"/>
    <xf numFmtId="0" fontId="46" fillId="0" borderId="0" xfId="0" applyFont="1"/>
    <xf numFmtId="3" fontId="30" fillId="0" borderId="0" xfId="0" applyNumberFormat="1" applyFont="1"/>
    <xf numFmtId="3" fontId="30" fillId="0" borderId="0" xfId="0" applyNumberFormat="1" applyFont="1" applyFill="1"/>
    <xf numFmtId="0" fontId="30" fillId="0" borderId="0" xfId="0" applyFont="1" applyFill="1"/>
    <xf numFmtId="0" fontId="41" fillId="0" borderId="0" xfId="0" applyFont="1"/>
    <xf numFmtId="0" fontId="36" fillId="0" borderId="0" xfId="0" applyFont="1"/>
    <xf numFmtId="14" fontId="13" fillId="0" borderId="13" xfId="0" applyNumberFormat="1" applyFont="1" applyFill="1" applyBorder="1" applyAlignment="1">
      <alignment horizontal="left"/>
    </xf>
    <xf numFmtId="0" fontId="30" fillId="0" borderId="10" xfId="0" applyFont="1" applyBorder="1"/>
    <xf numFmtId="0" fontId="30" fillId="0" borderId="8" xfId="0" applyFont="1" applyBorder="1"/>
    <xf numFmtId="0" fontId="30" fillId="0" borderId="9" xfId="0" applyFont="1" applyBorder="1"/>
    <xf numFmtId="0" fontId="30" fillId="0" borderId="3" xfId="0" applyFont="1" applyBorder="1"/>
    <xf numFmtId="0" fontId="17" fillId="0" borderId="0" xfId="0" applyFont="1"/>
    <xf numFmtId="3" fontId="45" fillId="0" borderId="7" xfId="0" applyNumberFormat="1" applyFont="1" applyFill="1" applyBorder="1"/>
    <xf numFmtId="0" fontId="45" fillId="0" borderId="0" xfId="0" applyFont="1" applyBorder="1" applyAlignment="1">
      <alignment horizontal="center"/>
    </xf>
    <xf numFmtId="0" fontId="45" fillId="0" borderId="3" xfId="0" applyFont="1" applyBorder="1" applyAlignment="1">
      <alignment horizontal="center"/>
    </xf>
    <xf numFmtId="3" fontId="45" fillId="0" borderId="3" xfId="0" applyNumberFormat="1" applyFont="1" applyFill="1" applyBorder="1"/>
    <xf numFmtId="0" fontId="15" fillId="0" borderId="4" xfId="0" applyFont="1" applyBorder="1" applyAlignment="1">
      <alignment horizontal="center"/>
    </xf>
    <xf numFmtId="0" fontId="15" fillId="0" borderId="1" xfId="0" applyFont="1" applyBorder="1" applyAlignment="1">
      <alignment horizontal="center"/>
    </xf>
    <xf numFmtId="0" fontId="15" fillId="0" borderId="7" xfId="0" applyFont="1" applyBorder="1" applyAlignment="1">
      <alignment horizontal="center"/>
    </xf>
    <xf numFmtId="0" fontId="15" fillId="0" borderId="3" xfId="0" applyFont="1" applyBorder="1" applyAlignment="1">
      <alignment horizontal="center"/>
    </xf>
    <xf numFmtId="3" fontId="48" fillId="4" borderId="6" xfId="0" applyNumberFormat="1" applyFont="1" applyFill="1" applyBorder="1"/>
    <xf numFmtId="0" fontId="13" fillId="0" borderId="11" xfId="0" applyFont="1" applyBorder="1" applyAlignment="1">
      <alignment horizontal="center"/>
    </xf>
    <xf numFmtId="0" fontId="15" fillId="0" borderId="11"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45" fillId="0" borderId="3" xfId="0" applyFont="1" applyBorder="1"/>
    <xf numFmtId="0" fontId="30" fillId="0" borderId="1" xfId="0" applyFont="1" applyBorder="1"/>
    <xf numFmtId="3" fontId="30" fillId="0" borderId="4" xfId="0" applyNumberFormat="1" applyFont="1" applyBorder="1"/>
    <xf numFmtId="3" fontId="30" fillId="0" borderId="4" xfId="0" applyNumberFormat="1" applyFont="1" applyBorder="1" applyAlignment="1">
      <alignment horizontal="right"/>
    </xf>
    <xf numFmtId="3" fontId="30" fillId="0" borderId="4" xfId="0" applyNumberFormat="1" applyFont="1" applyFill="1" applyBorder="1"/>
    <xf numFmtId="3" fontId="30" fillId="0" borderId="4" xfId="0" applyNumberFormat="1" applyFont="1" applyFill="1" applyBorder="1" applyAlignment="1">
      <alignment horizontal="right"/>
    </xf>
    <xf numFmtId="0" fontId="30" fillId="0" borderId="3" xfId="0" applyFont="1" applyFill="1" applyBorder="1"/>
    <xf numFmtId="0" fontId="30" fillId="0" borderId="4" xfId="0" applyFont="1" applyFill="1" applyBorder="1"/>
    <xf numFmtId="3" fontId="45" fillId="0" borderId="4" xfId="0" applyNumberFormat="1" applyFont="1" applyBorder="1"/>
    <xf numFmtId="3" fontId="45" fillId="0" borderId="4" xfId="0" applyNumberFormat="1" applyFont="1" applyBorder="1" applyAlignment="1">
      <alignment horizontal="right"/>
    </xf>
    <xf numFmtId="0" fontId="15" fillId="0" borderId="0" xfId="0" applyFont="1"/>
    <xf numFmtId="0" fontId="30" fillId="0" borderId="0" xfId="0" applyFont="1" applyBorder="1"/>
    <xf numFmtId="0" fontId="45" fillId="0" borderId="6" xfId="0" applyFont="1" applyBorder="1"/>
    <xf numFmtId="3" fontId="45" fillId="0" borderId="11" xfId="0" applyNumberFormat="1" applyFont="1" applyBorder="1"/>
    <xf numFmtId="3" fontId="45" fillId="0" borderId="11" xfId="0" applyNumberFormat="1" applyFont="1" applyBorder="1" applyAlignment="1">
      <alignment horizontal="right"/>
    </xf>
    <xf numFmtId="0" fontId="30" fillId="0" borderId="0" xfId="0" applyFont="1" applyAlignment="1">
      <alignment horizontal="left"/>
    </xf>
    <xf numFmtId="0" fontId="45" fillId="0" borderId="0" xfId="0" applyFont="1" applyAlignment="1">
      <alignment horizontal="left"/>
    </xf>
    <xf numFmtId="0" fontId="30" fillId="0" borderId="14" xfId="0" applyFont="1" applyBorder="1"/>
    <xf numFmtId="0" fontId="30" fillId="0" borderId="15" xfId="0" applyFont="1" applyBorder="1"/>
    <xf numFmtId="167" fontId="45" fillId="0" borderId="7" xfId="0" applyNumberFormat="1" applyFont="1" applyBorder="1" applyAlignment="1">
      <alignment horizontal="left"/>
    </xf>
    <xf numFmtId="0" fontId="45" fillId="0" borderId="2" xfId="0" applyFont="1" applyBorder="1" applyAlignment="1">
      <alignment horizontal="center"/>
    </xf>
    <xf numFmtId="167" fontId="45" fillId="0" borderId="3" xfId="0" applyNumberFormat="1" applyFont="1" applyBorder="1" applyAlignment="1">
      <alignment horizontal="left"/>
    </xf>
    <xf numFmtId="0" fontId="45" fillId="0" borderId="4" xfId="0" applyFont="1" applyBorder="1" applyAlignment="1">
      <alignment horizontal="center"/>
    </xf>
    <xf numFmtId="0" fontId="45" fillId="0" borderId="1" xfId="0" applyFont="1" applyBorder="1" applyAlignment="1">
      <alignment horizontal="center"/>
    </xf>
    <xf numFmtId="0" fontId="15" fillId="0" borderId="2" xfId="0" applyFont="1" applyBorder="1" applyAlignment="1">
      <alignment horizontal="center"/>
    </xf>
    <xf numFmtId="167" fontId="50" fillId="0" borderId="6" xfId="0" applyNumberFormat="1" applyFont="1" applyBorder="1" applyAlignment="1">
      <alignment horizontal="left"/>
    </xf>
    <xf numFmtId="0" fontId="13" fillId="0" borderId="6" xfId="0" applyFont="1" applyBorder="1" applyAlignment="1">
      <alignment horizontal="center"/>
    </xf>
    <xf numFmtId="0" fontId="15" fillId="0" borderId="12" xfId="0" applyFont="1" applyBorder="1" applyAlignment="1">
      <alignment horizontal="center"/>
    </xf>
    <xf numFmtId="3" fontId="30" fillId="0" borderId="1" xfId="0" applyNumberFormat="1" applyFont="1" applyBorder="1"/>
    <xf numFmtId="3" fontId="30" fillId="0" borderId="2" xfId="0" applyNumberFormat="1" applyFont="1" applyBorder="1"/>
    <xf numFmtId="3" fontId="51" fillId="0" borderId="4" xfId="0" applyNumberFormat="1" applyFont="1" applyFill="1" applyBorder="1" applyAlignment="1">
      <alignment horizontal="right"/>
    </xf>
    <xf numFmtId="0" fontId="46" fillId="0" borderId="0" xfId="0" applyFont="1" applyFill="1"/>
    <xf numFmtId="0" fontId="52" fillId="0" borderId="0" xfId="0" applyFont="1" applyFill="1"/>
    <xf numFmtId="3" fontId="53" fillId="0" borderId="0" xfId="0" applyNumberFormat="1" applyFont="1"/>
    <xf numFmtId="0" fontId="53" fillId="0" borderId="0" xfId="0" applyFont="1"/>
    <xf numFmtId="0" fontId="53" fillId="0" borderId="0" xfId="0" applyFont="1" applyFill="1"/>
    <xf numFmtId="0" fontId="45" fillId="0" borderId="4" xfId="0" applyFont="1" applyBorder="1"/>
    <xf numFmtId="3" fontId="45" fillId="0" borderId="0" xfId="0" applyNumberFormat="1" applyFont="1" applyBorder="1" applyAlignment="1">
      <alignment horizontal="right"/>
    </xf>
    <xf numFmtId="3" fontId="30" fillId="0" borderId="0" xfId="0" applyNumberFormat="1" applyFont="1" applyBorder="1"/>
    <xf numFmtId="3" fontId="15" fillId="0" borderId="4" xfId="1" applyNumberFormat="1" applyFont="1" applyBorder="1"/>
    <xf numFmtId="0" fontId="0" fillId="0" borderId="0" xfId="0"/>
    <xf numFmtId="3" fontId="14" fillId="0" borderId="0" xfId="1" applyNumberFormat="1" applyFont="1" applyFill="1" applyBorder="1"/>
    <xf numFmtId="3" fontId="15" fillId="0" borderId="0" xfId="1" applyNumberFormat="1" applyFont="1"/>
    <xf numFmtId="3" fontId="15" fillId="0" borderId="1" xfId="1" applyNumberFormat="1" applyFont="1" applyBorder="1"/>
    <xf numFmtId="3" fontId="17" fillId="0" borderId="0" xfId="1" applyNumberFormat="1" applyFont="1" applyFill="1" applyBorder="1" applyAlignment="1">
      <alignment horizontal="right"/>
    </xf>
    <xf numFmtId="3" fontId="17" fillId="0" borderId="0" xfId="1" applyNumberFormat="1" applyFont="1" applyFill="1" applyBorder="1"/>
    <xf numFmtId="3" fontId="13" fillId="0" borderId="0" xfId="1" applyNumberFormat="1" applyFont="1"/>
    <xf numFmtId="3" fontId="17" fillId="0" borderId="0" xfId="1" applyNumberFormat="1" applyFont="1" applyFill="1"/>
    <xf numFmtId="3" fontId="17" fillId="0" borderId="0" xfId="1" applyNumberFormat="1" applyFont="1"/>
    <xf numFmtId="3" fontId="15" fillId="0" borderId="5" xfId="1" applyNumberFormat="1" applyFont="1" applyBorder="1" applyAlignment="1">
      <alignment horizontal="center"/>
    </xf>
    <xf numFmtId="3" fontId="21" fillId="0" borderId="0" xfId="1" applyNumberFormat="1" applyFont="1"/>
    <xf numFmtId="3" fontId="16" fillId="0" borderId="4" xfId="1" applyNumberFormat="1" applyFont="1" applyBorder="1" applyAlignment="1">
      <alignment horizontal="center"/>
    </xf>
    <xf numFmtId="3" fontId="17" fillId="0" borderId="4" xfId="1" applyNumberFormat="1" applyFont="1" applyFill="1" applyBorder="1"/>
    <xf numFmtId="3" fontId="14" fillId="0" borderId="0" xfId="1" applyNumberFormat="1" applyFont="1" applyFill="1"/>
    <xf numFmtId="3" fontId="17" fillId="0" borderId="0" xfId="1" applyNumberFormat="1" applyFont="1" applyAlignment="1">
      <alignment horizontal="left"/>
    </xf>
    <xf numFmtId="3" fontId="15" fillId="0" borderId="6" xfId="1" applyNumberFormat="1" applyFont="1" applyBorder="1" applyAlignment="1">
      <alignment horizontal="center"/>
    </xf>
    <xf numFmtId="3" fontId="14" fillId="0" borderId="0" xfId="1" applyNumberFormat="1" applyFont="1"/>
    <xf numFmtId="3" fontId="15" fillId="0" borderId="3" xfId="1" applyNumberFormat="1" applyFont="1" applyBorder="1"/>
    <xf numFmtId="3" fontId="15" fillId="0" borderId="0" xfId="1" applyNumberFormat="1" applyFont="1" applyFill="1" applyBorder="1" applyAlignment="1">
      <alignment horizontal="right"/>
    </xf>
    <xf numFmtId="3" fontId="15" fillId="3" borderId="2" xfId="1" applyNumberFormat="1" applyFont="1" applyFill="1" applyBorder="1" applyAlignment="1">
      <alignment horizontal="right"/>
    </xf>
    <xf numFmtId="3" fontId="15" fillId="0" borderId="11" xfId="1" applyNumberFormat="1" applyFont="1" applyBorder="1" applyAlignment="1">
      <alignment horizontal="center"/>
    </xf>
    <xf numFmtId="3" fontId="15" fillId="0" borderId="7" xfId="1" applyNumberFormat="1" applyFont="1" applyBorder="1" applyAlignment="1">
      <alignment horizontal="center"/>
    </xf>
    <xf numFmtId="3" fontId="13" fillId="0" borderId="12" xfId="1" applyNumberFormat="1" applyFont="1" applyBorder="1"/>
    <xf numFmtId="3" fontId="17" fillId="0" borderId="0" xfId="1" applyNumberFormat="1" applyFont="1" applyFill="1" applyAlignment="1">
      <alignment horizontal="left"/>
    </xf>
    <xf numFmtId="3" fontId="13" fillId="0" borderId="0" xfId="1" applyNumberFormat="1" applyFont="1" applyBorder="1"/>
    <xf numFmtId="3" fontId="17" fillId="3" borderId="3" xfId="1" applyNumberFormat="1" applyFont="1" applyFill="1" applyBorder="1" applyAlignment="1">
      <alignment horizontal="right"/>
    </xf>
    <xf numFmtId="3" fontId="17" fillId="3" borderId="6" xfId="1" applyNumberFormat="1" applyFont="1" applyFill="1" applyBorder="1" applyAlignment="1">
      <alignment horizontal="right"/>
    </xf>
    <xf numFmtId="3" fontId="15" fillId="0" borderId="0" xfId="1" applyNumberFormat="1" applyFont="1" applyBorder="1"/>
    <xf numFmtId="3" fontId="15" fillId="3" borderId="6" xfId="1" applyNumberFormat="1" applyFont="1" applyFill="1" applyBorder="1" applyAlignment="1">
      <alignment horizontal="right"/>
    </xf>
    <xf numFmtId="3" fontId="15" fillId="3" borderId="5" xfId="1" applyNumberFormat="1" applyFont="1" applyFill="1" applyBorder="1" applyAlignment="1">
      <alignment horizontal="right"/>
    </xf>
    <xf numFmtId="3" fontId="15" fillId="3" borderId="3" xfId="1" applyNumberFormat="1" applyFont="1" applyFill="1" applyBorder="1" applyAlignment="1">
      <alignment horizontal="right"/>
    </xf>
    <xf numFmtId="3" fontId="17" fillId="0" borderId="10" xfId="1" applyNumberFormat="1" applyFont="1" applyBorder="1" applyAlignment="1">
      <alignment horizontal="left"/>
    </xf>
    <xf numFmtId="3" fontId="16" fillId="0" borderId="7" xfId="1" applyNumberFormat="1" applyFont="1" applyBorder="1" applyAlignment="1">
      <alignment horizontal="center"/>
    </xf>
    <xf numFmtId="3" fontId="15" fillId="0" borderId="0" xfId="1" applyNumberFormat="1" applyFont="1" applyFill="1" applyBorder="1" applyAlignment="1">
      <alignment horizontal="center"/>
    </xf>
    <xf numFmtId="3" fontId="16" fillId="0" borderId="0" xfId="1" applyNumberFormat="1" applyFont="1" applyFill="1" applyBorder="1" applyAlignment="1">
      <alignment horizontal="center"/>
    </xf>
    <xf numFmtId="3" fontId="17" fillId="3" borderId="2" xfId="1" applyNumberFormat="1" applyFont="1" applyFill="1" applyBorder="1" applyAlignment="1">
      <alignment horizontal="right"/>
    </xf>
    <xf numFmtId="3" fontId="30" fillId="0" borderId="3" xfId="0" applyNumberFormat="1" applyFont="1" applyBorder="1"/>
    <xf numFmtId="3" fontId="30" fillId="0" borderId="3" xfId="0" applyNumberFormat="1" applyFont="1" applyFill="1" applyBorder="1"/>
    <xf numFmtId="3" fontId="45" fillId="0" borderId="3" xfId="0" applyNumberFormat="1" applyFont="1" applyBorder="1"/>
    <xf numFmtId="3" fontId="45" fillId="0" borderId="0" xfId="0" applyNumberFormat="1" applyFont="1" applyBorder="1"/>
    <xf numFmtId="3" fontId="30" fillId="0" borderId="4" xfId="2" applyNumberFormat="1" applyFont="1" applyBorder="1"/>
    <xf numFmtId="3" fontId="45" fillId="0" borderId="6" xfId="0" applyNumberFormat="1" applyFont="1" applyBorder="1"/>
    <xf numFmtId="3" fontId="30" fillId="0" borderId="0" xfId="0" applyNumberFormat="1" applyFont="1" applyBorder="1" applyAlignment="1">
      <alignment horizontal="right"/>
    </xf>
    <xf numFmtId="3" fontId="51" fillId="0" borderId="0" xfId="0" applyNumberFormat="1" applyFont="1" applyFill="1" applyBorder="1" applyAlignment="1">
      <alignment horizontal="right"/>
    </xf>
    <xf numFmtId="0" fontId="13" fillId="0" borderId="4" xfId="0" applyFont="1" applyBorder="1" applyAlignment="1">
      <alignment horizontal="center"/>
    </xf>
    <xf numFmtId="0" fontId="13" fillId="0" borderId="3" xfId="0" applyFont="1" applyBorder="1" applyAlignment="1">
      <alignment horizontal="center"/>
    </xf>
    <xf numFmtId="0" fontId="30" fillId="0" borderId="0" xfId="0" applyFont="1" applyFill="1" applyBorder="1"/>
    <xf numFmtId="3" fontId="17" fillId="2" borderId="3" xfId="1" applyNumberFormat="1" applyFont="1" applyFill="1" applyBorder="1" applyAlignment="1">
      <alignment horizontal="right"/>
    </xf>
    <xf numFmtId="0" fontId="17" fillId="0" borderId="0" xfId="0" applyFont="1" applyFill="1" applyBorder="1"/>
    <xf numFmtId="3" fontId="22" fillId="0" borderId="4" xfId="1" applyNumberFormat="1" applyFont="1" applyFill="1" applyBorder="1" applyAlignment="1">
      <alignment horizontal="right"/>
    </xf>
    <xf numFmtId="3" fontId="22" fillId="0" borderId="3" xfId="1" applyNumberFormat="1" applyFont="1" applyFill="1" applyBorder="1" applyAlignment="1">
      <alignment horizontal="right"/>
    </xf>
    <xf numFmtId="3" fontId="17" fillId="0" borderId="4" xfId="1" quotePrefix="1" applyNumberFormat="1" applyFont="1" applyFill="1" applyBorder="1" applyAlignment="1">
      <alignment horizontal="right"/>
    </xf>
    <xf numFmtId="167" fontId="45" fillId="0" borderId="4" xfId="0" applyNumberFormat="1" applyFont="1" applyBorder="1" applyAlignment="1">
      <alignment horizontal="left"/>
    </xf>
    <xf numFmtId="0" fontId="30" fillId="0" borderId="4" xfId="0" applyFont="1" applyBorder="1"/>
    <xf numFmtId="0" fontId="51" fillId="0" borderId="4" xfId="0" applyFont="1" applyFill="1" applyBorder="1"/>
    <xf numFmtId="0" fontId="45" fillId="0" borderId="11" xfId="0" applyFont="1" applyBorder="1"/>
    <xf numFmtId="3" fontId="30" fillId="0" borderId="3" xfId="0" applyNumberFormat="1" applyFont="1" applyBorder="1" applyAlignment="1">
      <alignment horizontal="right"/>
    </xf>
    <xf numFmtId="3" fontId="51" fillId="0" borderId="3" xfId="0" applyNumberFormat="1" applyFont="1" applyFill="1" applyBorder="1" applyAlignment="1">
      <alignment horizontal="right"/>
    </xf>
    <xf numFmtId="3" fontId="45" fillId="0" borderId="3" xfId="0" applyNumberFormat="1" applyFont="1" applyBorder="1" applyAlignment="1">
      <alignment horizontal="right"/>
    </xf>
    <xf numFmtId="3" fontId="45" fillId="0" borderId="6" xfId="0" applyNumberFormat="1" applyFont="1" applyBorder="1" applyAlignment="1">
      <alignment horizontal="right"/>
    </xf>
    <xf numFmtId="0" fontId="36" fillId="0" borderId="4" xfId="0" applyFont="1" applyBorder="1" applyAlignment="1">
      <alignment horizontal="right"/>
    </xf>
    <xf numFmtId="3" fontId="30" fillId="0" borderId="7" xfId="0" applyNumberFormat="1" applyFont="1" applyBorder="1" applyAlignment="1">
      <alignment horizontal="right"/>
    </xf>
    <xf numFmtId="3" fontId="30" fillId="0" borderId="14" xfId="0" applyNumberFormat="1" applyFont="1" applyBorder="1" applyAlignment="1">
      <alignment horizontal="right"/>
    </xf>
    <xf numFmtId="0" fontId="36" fillId="0" borderId="3" xfId="0" applyFont="1" applyBorder="1" applyAlignment="1">
      <alignment horizontal="right"/>
    </xf>
    <xf numFmtId="3" fontId="30" fillId="0" borderId="6" xfId="0" applyNumberFormat="1" applyFont="1" applyBorder="1" applyAlignment="1">
      <alignment horizontal="right"/>
    </xf>
    <xf numFmtId="3" fontId="15" fillId="0" borderId="0" xfId="0" applyNumberFormat="1" applyFont="1"/>
    <xf numFmtId="3" fontId="15" fillId="0" borderId="4" xfId="1" applyNumberFormat="1" applyFont="1" applyBorder="1" applyAlignment="1">
      <alignment horizontal="center"/>
    </xf>
    <xf numFmtId="3" fontId="17" fillId="0" borderId="0" xfId="0" applyNumberFormat="1" applyFont="1" applyBorder="1"/>
    <xf numFmtId="3" fontId="17" fillId="0" borderId="0" xfId="0" applyNumberFormat="1" applyFont="1"/>
    <xf numFmtId="3" fontId="15" fillId="0" borderId="0" xfId="0" applyNumberFormat="1" applyFont="1" applyBorder="1"/>
    <xf numFmtId="3" fontId="17" fillId="0" borderId="0" xfId="0" applyNumberFormat="1" applyFont="1" applyFill="1" applyBorder="1"/>
    <xf numFmtId="0" fontId="17" fillId="8" borderId="1" xfId="0" applyFont="1" applyFill="1" applyBorder="1"/>
    <xf numFmtId="0" fontId="17" fillId="8" borderId="15" xfId="0" applyFont="1" applyFill="1" applyBorder="1"/>
    <xf numFmtId="0" fontId="17" fillId="8" borderId="14" xfId="0" applyFont="1" applyFill="1" applyBorder="1"/>
    <xf numFmtId="0" fontId="15" fillId="8" borderId="1" xfId="0" applyFont="1" applyFill="1" applyBorder="1" applyAlignment="1">
      <alignment horizontal="center"/>
    </xf>
    <xf numFmtId="0" fontId="15" fillId="8" borderId="15" xfId="0" applyFont="1" applyFill="1" applyBorder="1" applyAlignment="1">
      <alignment horizontal="center"/>
    </xf>
    <xf numFmtId="0" fontId="15" fillId="8" borderId="14" xfId="0" applyFont="1" applyFill="1" applyBorder="1" applyAlignment="1">
      <alignment horizontal="center"/>
    </xf>
    <xf numFmtId="0" fontId="15" fillId="8" borderId="11" xfId="0" applyFont="1" applyFill="1" applyBorder="1" applyAlignment="1">
      <alignment horizontal="center"/>
    </xf>
    <xf numFmtId="0" fontId="15" fillId="8" borderId="5" xfId="0" applyFont="1" applyFill="1" applyBorder="1" applyAlignment="1">
      <alignment horizontal="center"/>
    </xf>
    <xf numFmtId="0" fontId="15" fillId="8" borderId="12" xfId="0" applyFont="1" applyFill="1" applyBorder="1" applyAlignment="1">
      <alignment horizontal="center"/>
    </xf>
    <xf numFmtId="0" fontId="15" fillId="8" borderId="3" xfId="0" applyFont="1" applyFill="1" applyBorder="1"/>
    <xf numFmtId="3" fontId="17" fillId="8" borderId="2" xfId="0" applyNumberFormat="1" applyFont="1" applyFill="1" applyBorder="1"/>
    <xf numFmtId="3" fontId="17" fillId="8" borderId="7" xfId="0" applyNumberFormat="1" applyFont="1" applyFill="1" applyBorder="1"/>
    <xf numFmtId="3" fontId="17" fillId="8" borderId="3" xfId="0" applyNumberFormat="1" applyFont="1" applyFill="1" applyBorder="1"/>
    <xf numFmtId="0" fontId="15" fillId="8" borderId="3" xfId="0" applyFont="1" applyFill="1" applyBorder="1" applyAlignment="1">
      <alignment horizontal="center"/>
    </xf>
    <xf numFmtId="0" fontId="15" fillId="8" borderId="2" xfId="0" applyFont="1" applyFill="1" applyBorder="1" applyAlignment="1">
      <alignment horizontal="center"/>
    </xf>
    <xf numFmtId="0" fontId="17" fillId="8" borderId="2" xfId="0" applyFont="1" applyFill="1" applyBorder="1"/>
    <xf numFmtId="0" fontId="17" fillId="8" borderId="3" xfId="0" applyFont="1" applyFill="1" applyBorder="1"/>
    <xf numFmtId="3" fontId="17" fillId="8" borderId="2" xfId="2" applyNumberFormat="1" applyFont="1" applyFill="1" applyBorder="1"/>
    <xf numFmtId="3" fontId="15" fillId="8" borderId="6" xfId="0" applyNumberFormat="1" applyFont="1" applyFill="1" applyBorder="1"/>
    <xf numFmtId="3" fontId="15" fillId="8" borderId="5" xfId="0" applyNumberFormat="1" applyFont="1" applyFill="1" applyBorder="1"/>
    <xf numFmtId="3" fontId="30" fillId="0" borderId="2" xfId="0" quotePrefix="1" applyNumberFormat="1" applyFont="1" applyBorder="1" applyAlignment="1">
      <alignment horizontal="right"/>
    </xf>
    <xf numFmtId="0" fontId="36" fillId="0" borderId="1" xfId="0" applyFont="1" applyBorder="1" applyAlignment="1">
      <alignment horizontal="right"/>
    </xf>
    <xf numFmtId="3" fontId="30" fillId="0" borderId="3" xfId="0" quotePrefix="1" applyNumberFormat="1" applyFont="1" applyBorder="1" applyAlignment="1">
      <alignment horizontal="right"/>
    </xf>
    <xf numFmtId="3" fontId="17" fillId="0" borderId="2" xfId="1" applyNumberFormat="1" applyFont="1" applyFill="1" applyBorder="1" applyAlignment="1">
      <alignment horizontal="right"/>
    </xf>
    <xf numFmtId="3" fontId="17" fillId="2" borderId="2" xfId="1" applyNumberFormat="1" applyFont="1" applyFill="1" applyBorder="1" applyAlignment="1">
      <alignment horizontal="right"/>
    </xf>
    <xf numFmtId="3" fontId="15" fillId="0" borderId="3" xfId="1" applyNumberFormat="1" applyFont="1" applyFill="1" applyBorder="1" applyAlignment="1">
      <alignment horizontal="right"/>
    </xf>
    <xf numFmtId="3" fontId="17" fillId="0" borderId="2" xfId="1" quotePrefix="1" applyNumberFormat="1" applyFont="1" applyFill="1" applyBorder="1" applyAlignment="1">
      <alignment horizontal="right"/>
    </xf>
    <xf numFmtId="3" fontId="17" fillId="0" borderId="6" xfId="1" quotePrefix="1" applyNumberFormat="1" applyFont="1" applyFill="1" applyBorder="1" applyAlignment="1">
      <alignment horizontal="right"/>
    </xf>
    <xf numFmtId="3" fontId="17" fillId="0" borderId="5" xfId="1" quotePrefix="1" applyNumberFormat="1" applyFont="1" applyFill="1" applyBorder="1" applyAlignment="1">
      <alignment horizontal="right"/>
    </xf>
    <xf numFmtId="3" fontId="17" fillId="3" borderId="0" xfId="1" applyNumberFormat="1" applyFont="1" applyFill="1" applyBorder="1" applyAlignment="1">
      <alignment horizontal="right"/>
    </xf>
    <xf numFmtId="165" fontId="55" fillId="7" borderId="3" xfId="844" applyNumberFormat="1" applyFont="1" applyBorder="1" applyAlignment="1">
      <alignment horizontal="right"/>
    </xf>
    <xf numFmtId="3" fontId="45" fillId="0" borderId="2" xfId="0" applyNumberFormat="1" applyFont="1" applyBorder="1"/>
    <xf numFmtId="3" fontId="16" fillId="0" borderId="1" xfId="1" applyNumberFormat="1" applyFont="1" applyBorder="1" applyAlignment="1">
      <alignment horizontal="center"/>
    </xf>
    <xf numFmtId="3" fontId="13" fillId="0" borderId="9" xfId="1" applyNumberFormat="1" applyFont="1" applyBorder="1" applyAlignment="1">
      <alignment horizontal="center"/>
    </xf>
    <xf numFmtId="3" fontId="16" fillId="0" borderId="6" xfId="1" applyNumberFormat="1" applyFont="1" applyBorder="1" applyAlignment="1">
      <alignment horizontal="center"/>
    </xf>
    <xf numFmtId="3" fontId="15" fillId="0" borderId="3" xfId="1" applyNumberFormat="1" applyFont="1" applyBorder="1" applyAlignment="1">
      <alignment horizontal="center"/>
    </xf>
    <xf numFmtId="3" fontId="16" fillId="0" borderId="3" xfId="1" applyNumberFormat="1" applyFont="1" applyBorder="1" applyAlignment="1">
      <alignment horizontal="center"/>
    </xf>
    <xf numFmtId="3" fontId="15" fillId="0" borderId="2" xfId="1" applyNumberFormat="1" applyFont="1" applyBorder="1" applyAlignment="1">
      <alignment horizontal="center"/>
    </xf>
    <xf numFmtId="3" fontId="13" fillId="0" borderId="1" xfId="1" applyNumberFormat="1" applyFont="1" applyBorder="1"/>
    <xf numFmtId="0" fontId="17" fillId="0" borderId="6" xfId="0" applyFont="1" applyBorder="1"/>
    <xf numFmtId="0" fontId="15" fillId="0" borderId="3" xfId="1" applyFont="1" applyBorder="1" applyAlignment="1">
      <alignment horizontal="center"/>
    </xf>
    <xf numFmtId="0" fontId="15" fillId="0" borderId="15" xfId="1" applyFont="1" applyBorder="1" applyAlignment="1">
      <alignment horizontal="center"/>
    </xf>
    <xf numFmtId="0" fontId="17" fillId="0" borderId="5" xfId="1" applyFont="1" applyFill="1" applyBorder="1"/>
    <xf numFmtId="0" fontId="17" fillId="0" borderId="9" xfId="1" applyFont="1" applyFill="1" applyBorder="1"/>
    <xf numFmtId="168" fontId="17" fillId="0" borderId="0" xfId="1" applyNumberFormat="1" applyFont="1" applyFill="1" applyBorder="1" applyAlignment="1">
      <alignment horizontal="center"/>
    </xf>
    <xf numFmtId="168" fontId="17" fillId="3" borderId="3" xfId="1" applyNumberFormat="1" applyFont="1" applyFill="1" applyBorder="1" applyAlignment="1">
      <alignment horizontal="right"/>
    </xf>
    <xf numFmtId="168" fontId="17" fillId="3" borderId="6" xfId="1" applyNumberFormat="1" applyFont="1" applyFill="1" applyBorder="1" applyAlignment="1">
      <alignment horizontal="right"/>
    </xf>
    <xf numFmtId="0" fontId="45" fillId="0" borderId="0" xfId="0" applyFont="1" applyBorder="1"/>
    <xf numFmtId="0" fontId="45" fillId="0" borderId="7" xfId="0" applyFont="1" applyBorder="1"/>
    <xf numFmtId="14" fontId="13" fillId="0" borderId="6" xfId="0" applyNumberFormat="1" applyFont="1" applyFill="1" applyBorder="1" applyAlignment="1">
      <alignment horizontal="left"/>
    </xf>
    <xf numFmtId="14" fontId="13" fillId="0" borderId="3" xfId="0" applyNumberFormat="1" applyFont="1" applyFill="1" applyBorder="1" applyAlignment="1">
      <alignment horizontal="center"/>
    </xf>
    <xf numFmtId="167" fontId="15" fillId="0" borderId="4" xfId="0" applyNumberFormat="1" applyFont="1" applyBorder="1" applyAlignment="1">
      <alignment horizontal="center"/>
    </xf>
    <xf numFmtId="167" fontId="15" fillId="0" borderId="11" xfId="0" applyNumberFormat="1" applyFont="1" applyBorder="1" applyAlignment="1">
      <alignment horizontal="center"/>
    </xf>
    <xf numFmtId="0" fontId="15" fillId="0" borderId="5" xfId="0" applyFont="1" applyBorder="1" applyAlignment="1">
      <alignment horizontal="center"/>
    </xf>
    <xf numFmtId="165" fontId="45" fillId="0" borderId="4" xfId="0" applyNumberFormat="1" applyFont="1" applyBorder="1" applyAlignment="1">
      <alignment horizontal="right"/>
    </xf>
    <xf numFmtId="165" fontId="45" fillId="0" borderId="3" xfId="0" applyNumberFormat="1" applyFont="1" applyBorder="1" applyAlignment="1">
      <alignment horizontal="right"/>
    </xf>
    <xf numFmtId="165" fontId="30" fillId="0" borderId="4" xfId="0" applyNumberFormat="1" applyFont="1" applyBorder="1" applyAlignment="1">
      <alignment horizontal="right"/>
    </xf>
    <xf numFmtId="165" fontId="30" fillId="0" borderId="3" xfId="0" applyNumberFormat="1" applyFont="1" applyBorder="1" applyAlignment="1">
      <alignment horizontal="right"/>
    </xf>
    <xf numFmtId="165" fontId="30" fillId="0" borderId="4" xfId="0" applyNumberFormat="1" applyFont="1" applyFill="1" applyBorder="1" applyAlignment="1">
      <alignment horizontal="right"/>
    </xf>
    <xf numFmtId="0" fontId="30" fillId="0" borderId="11" xfId="0" applyFont="1" applyBorder="1"/>
    <xf numFmtId="3" fontId="30" fillId="0" borderId="11" xfId="0" applyNumberFormat="1" applyFont="1" applyBorder="1"/>
    <xf numFmtId="165" fontId="30" fillId="0" borderId="11" xfId="0" applyNumberFormat="1" applyFont="1" applyBorder="1" applyAlignment="1">
      <alignment horizontal="right"/>
    </xf>
    <xf numFmtId="165" fontId="30" fillId="0" borderId="6" xfId="0" applyNumberFormat="1" applyFont="1" applyBorder="1" applyAlignment="1">
      <alignment horizontal="right"/>
    </xf>
    <xf numFmtId="3" fontId="45" fillId="0" borderId="3" xfId="0" applyNumberFormat="1" applyFont="1" applyFill="1" applyBorder="1" applyAlignment="1">
      <alignment horizontal="right"/>
    </xf>
    <xf numFmtId="0" fontId="42" fillId="9" borderId="0" xfId="0" applyFont="1" applyFill="1"/>
    <xf numFmtId="0" fontId="66" fillId="0" borderId="0" xfId="3" applyFont="1" applyAlignment="1" applyProtection="1"/>
    <xf numFmtId="0" fontId="41" fillId="0" borderId="0" xfId="0" applyFont="1" applyFill="1" applyAlignment="1">
      <alignment horizontal="center"/>
    </xf>
    <xf numFmtId="3" fontId="15" fillId="0" borderId="6" xfId="1" applyNumberFormat="1" applyFont="1" applyFill="1" applyBorder="1" applyAlignment="1">
      <alignment horizontal="right"/>
    </xf>
    <xf numFmtId="3" fontId="67" fillId="0" borderId="4" xfId="1" applyNumberFormat="1" applyFont="1" applyFill="1" applyBorder="1" applyAlignment="1">
      <alignment horizontal="right"/>
    </xf>
    <xf numFmtId="3" fontId="67" fillId="0" borderId="3" xfId="1" applyNumberFormat="1" applyFont="1" applyFill="1" applyBorder="1" applyAlignment="1">
      <alignment horizontal="right"/>
    </xf>
    <xf numFmtId="3" fontId="67" fillId="0" borderId="11" xfId="1" applyNumberFormat="1" applyFont="1" applyFill="1" applyBorder="1" applyAlignment="1">
      <alignment horizontal="right"/>
    </xf>
    <xf numFmtId="3" fontId="67" fillId="0" borderId="6" xfId="1" applyNumberFormat="1" applyFont="1" applyFill="1" applyBorder="1" applyAlignment="1">
      <alignment horizontal="right"/>
    </xf>
    <xf numFmtId="3" fontId="17" fillId="0" borderId="3" xfId="2" applyNumberFormat="1" applyFont="1" applyFill="1" applyBorder="1" applyAlignment="1">
      <alignment horizontal="right"/>
    </xf>
    <xf numFmtId="3" fontId="17" fillId="0" borderId="4" xfId="2" applyNumberFormat="1" applyFont="1" applyFill="1" applyBorder="1" applyAlignment="1">
      <alignment horizontal="right"/>
    </xf>
    <xf numFmtId="3" fontId="17" fillId="0" borderId="6" xfId="2" applyNumberFormat="1" applyFont="1" applyFill="1" applyBorder="1" applyAlignment="1">
      <alignment horizontal="right"/>
    </xf>
    <xf numFmtId="3" fontId="17" fillId="0" borderId="11" xfId="2" applyNumberFormat="1" applyFont="1" applyFill="1" applyBorder="1" applyAlignment="1">
      <alignment horizontal="right"/>
    </xf>
    <xf numFmtId="3" fontId="17" fillId="2" borderId="3" xfId="2" applyNumberFormat="1" applyFont="1" applyFill="1" applyBorder="1" applyAlignment="1">
      <alignment horizontal="right"/>
    </xf>
    <xf numFmtId="3" fontId="17" fillId="2" borderId="4" xfId="2" applyNumberFormat="1" applyFont="1" applyFill="1" applyBorder="1" applyAlignment="1">
      <alignment horizontal="right"/>
    </xf>
    <xf numFmtId="3" fontId="17" fillId="0" borderId="4" xfId="1" applyNumberFormat="1" applyFont="1" applyFill="1" applyBorder="1" applyAlignment="1">
      <alignment horizontal="right"/>
    </xf>
    <xf numFmtId="3" fontId="17" fillId="0" borderId="11" xfId="1" applyNumberFormat="1" applyFont="1" applyFill="1" applyBorder="1" applyAlignment="1">
      <alignment horizontal="right"/>
    </xf>
    <xf numFmtId="3" fontId="17" fillId="2" borderId="0" xfId="1" applyNumberFormat="1" applyFont="1" applyFill="1" applyBorder="1" applyAlignment="1">
      <alignment horizontal="right"/>
    </xf>
    <xf numFmtId="3" fontId="17" fillId="0" borderId="3" xfId="2" applyNumberFormat="1" applyFont="1" applyBorder="1" applyAlignment="1">
      <alignment horizontal="right"/>
    </xf>
    <xf numFmtId="3" fontId="17" fillId="0" borderId="4" xfId="2" applyNumberFormat="1" applyFont="1" applyBorder="1" applyAlignment="1">
      <alignment horizontal="right"/>
    </xf>
    <xf numFmtId="3" fontId="22" fillId="0" borderId="2" xfId="1" applyNumberFormat="1" applyFont="1" applyFill="1" applyBorder="1" applyAlignment="1">
      <alignment horizontal="right"/>
    </xf>
    <xf numFmtId="3" fontId="22" fillId="0" borderId="0" xfId="1" applyNumberFormat="1" applyFont="1" applyFill="1" applyBorder="1" applyAlignment="1">
      <alignment horizontal="right"/>
    </xf>
    <xf numFmtId="3" fontId="18" fillId="2" borderId="2" xfId="1" applyNumberFormat="1" applyFont="1" applyFill="1" applyBorder="1" applyAlignment="1">
      <alignment horizontal="right"/>
    </xf>
    <xf numFmtId="3" fontId="18" fillId="2" borderId="0" xfId="1" applyNumberFormat="1" applyFont="1" applyFill="1" applyBorder="1" applyAlignment="1">
      <alignment horizontal="right"/>
    </xf>
    <xf numFmtId="3" fontId="17" fillId="0" borderId="3" xfId="2" applyNumberFormat="1" applyFont="1" applyBorder="1" applyAlignment="1">
      <alignment horizontal="left"/>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2" xfId="1" applyNumberFormat="1" applyFont="1" applyBorder="1" applyAlignment="1">
      <alignment horizontal="center"/>
    </xf>
    <xf numFmtId="3" fontId="15" fillId="0" borderId="9" xfId="1" applyNumberFormat="1" applyFont="1" applyBorder="1" applyAlignment="1">
      <alignment horizontal="center"/>
    </xf>
    <xf numFmtId="3" fontId="15" fillId="0" borderId="1" xfId="1" applyNumberFormat="1" applyFont="1" applyBorder="1" applyAlignment="1">
      <alignment horizontal="center"/>
    </xf>
    <xf numFmtId="3" fontId="15" fillId="0" borderId="7" xfId="2" applyNumberFormat="1" applyFont="1" applyFill="1" applyBorder="1" applyAlignment="1">
      <alignment horizontal="right"/>
    </xf>
    <xf numFmtId="3" fontId="15" fillId="0" borderId="1" xfId="2" applyNumberFormat="1" applyFont="1" applyFill="1" applyBorder="1" applyAlignment="1">
      <alignment horizontal="right"/>
    </xf>
    <xf numFmtId="3" fontId="15" fillId="0" borderId="2" xfId="1" applyNumberFormat="1" applyFont="1" applyFill="1" applyBorder="1" applyAlignment="1">
      <alignment horizontal="right"/>
    </xf>
    <xf numFmtId="3" fontId="15" fillId="0" borderId="4" xfId="1" applyNumberFormat="1" applyFont="1" applyFill="1" applyBorder="1" applyAlignment="1">
      <alignment horizontal="right"/>
    </xf>
    <xf numFmtId="3" fontId="15" fillId="0" borderId="3" xfId="2" applyNumberFormat="1" applyFont="1" applyFill="1" applyBorder="1" applyAlignment="1">
      <alignment horizontal="right"/>
    </xf>
    <xf numFmtId="3" fontId="15" fillId="0" borderId="4" xfId="2" applyNumberFormat="1" applyFont="1" applyFill="1" applyBorder="1" applyAlignment="1">
      <alignment horizontal="right"/>
    </xf>
    <xf numFmtId="3" fontId="15" fillId="0" borderId="6" xfId="2" applyNumberFormat="1" applyFont="1" applyFill="1" applyBorder="1" applyAlignment="1">
      <alignment horizontal="right"/>
    </xf>
    <xf numFmtId="3" fontId="15" fillId="0" borderId="11" xfId="2" applyNumberFormat="1" applyFont="1" applyFill="1" applyBorder="1" applyAlignment="1">
      <alignment horizontal="right"/>
    </xf>
    <xf numFmtId="3" fontId="15" fillId="0" borderId="5" xfId="1" applyNumberFormat="1" applyFont="1" applyFill="1" applyBorder="1" applyAlignment="1">
      <alignment horizontal="right"/>
    </xf>
    <xf numFmtId="3" fontId="15" fillId="0" borderId="11" xfId="1" applyNumberFormat="1" applyFont="1" applyFill="1" applyBorder="1" applyAlignment="1">
      <alignment horizontal="right"/>
    </xf>
    <xf numFmtId="3" fontId="15" fillId="0" borderId="7" xfId="1" applyNumberFormat="1" applyFont="1" applyFill="1" applyBorder="1" applyAlignment="1">
      <alignment horizontal="right"/>
    </xf>
    <xf numFmtId="3" fontId="15" fillId="0" borderId="1" xfId="1" applyNumberFormat="1" applyFont="1" applyFill="1" applyBorder="1" applyAlignment="1">
      <alignment horizontal="right"/>
    </xf>
    <xf numFmtId="3" fontId="15" fillId="0" borderId="15" xfId="1" applyNumberFormat="1" applyFont="1" applyFill="1" applyBorder="1" applyAlignment="1">
      <alignment horizontal="right"/>
    </xf>
    <xf numFmtId="3" fontId="15" fillId="2" borderId="2" xfId="1" applyNumberFormat="1" applyFont="1" applyFill="1" applyBorder="1" applyAlignment="1">
      <alignment horizontal="right"/>
    </xf>
    <xf numFmtId="3" fontId="15" fillId="2" borderId="0" xfId="1" applyNumberFormat="1" applyFont="1" applyFill="1" applyBorder="1" applyAlignment="1">
      <alignment horizontal="right"/>
    </xf>
    <xf numFmtId="3" fontId="15" fillId="2" borderId="4" xfId="1" applyNumberFormat="1" applyFont="1" applyFill="1" applyBorder="1" applyAlignment="1">
      <alignment horizontal="right"/>
    </xf>
    <xf numFmtId="3" fontId="15" fillId="2" borderId="5" xfId="1" applyNumberFormat="1" applyFont="1" applyFill="1" applyBorder="1" applyAlignment="1">
      <alignment horizontal="right"/>
    </xf>
    <xf numFmtId="3" fontId="15" fillId="2" borderId="11" xfId="1" applyNumberFormat="1" applyFont="1" applyFill="1" applyBorder="1" applyAlignment="1">
      <alignment horizontal="right"/>
    </xf>
    <xf numFmtId="3" fontId="15" fillId="2" borderId="3" xfId="1" applyNumberFormat="1" applyFont="1" applyFill="1" applyBorder="1" applyAlignment="1">
      <alignment horizontal="right"/>
    </xf>
    <xf numFmtId="3" fontId="15" fillId="2" borderId="2" xfId="1" quotePrefix="1" applyNumberFormat="1" applyFont="1" applyFill="1" applyBorder="1" applyAlignment="1">
      <alignment horizontal="right"/>
    </xf>
    <xf numFmtId="3" fontId="15" fillId="2" borderId="6" xfId="1" applyNumberFormat="1" applyFont="1" applyFill="1" applyBorder="1" applyAlignment="1">
      <alignment horizontal="right"/>
    </xf>
    <xf numFmtId="14" fontId="16" fillId="0" borderId="10" xfId="1" applyNumberFormat="1" applyFont="1" applyBorder="1" applyAlignment="1"/>
    <xf numFmtId="0" fontId="0" fillId="0" borderId="8" xfId="0" applyBorder="1" applyAlignment="1"/>
    <xf numFmtId="3" fontId="15" fillId="0" borderId="4" xfId="1" quotePrefix="1" applyNumberFormat="1" applyFont="1" applyFill="1" applyBorder="1" applyAlignment="1">
      <alignment horizontal="right"/>
    </xf>
    <xf numFmtId="3" fontId="15" fillId="0" borderId="2" xfId="1" quotePrefix="1" applyNumberFormat="1" applyFont="1" applyFill="1" applyBorder="1" applyAlignment="1">
      <alignment horizontal="right"/>
    </xf>
    <xf numFmtId="0" fontId="56" fillId="0" borderId="0" xfId="1" applyFont="1" applyFill="1"/>
    <xf numFmtId="0" fontId="14" fillId="0" borderId="0" xfId="1" applyFont="1" applyFill="1" applyAlignment="1">
      <alignment horizontal="right" vertical="top"/>
    </xf>
    <xf numFmtId="0" fontId="14" fillId="0" borderId="0" xfId="1" applyFont="1" applyAlignment="1">
      <alignment vertical="top" wrapText="1"/>
    </xf>
    <xf numFmtId="0" fontId="14" fillId="0" borderId="0" xfId="1" applyFont="1" applyFill="1" applyAlignment="1">
      <alignment horizontal="right"/>
    </xf>
    <xf numFmtId="0" fontId="14" fillId="0" borderId="0" xfId="1" applyFont="1" applyFill="1" applyAlignment="1">
      <alignment vertical="top" wrapText="1"/>
    </xf>
    <xf numFmtId="0" fontId="23" fillId="0" borderId="0" xfId="1" applyFont="1" applyFill="1"/>
    <xf numFmtId="0" fontId="14" fillId="0" borderId="0" xfId="1" applyFont="1" applyFill="1" applyAlignment="1">
      <alignment wrapText="1"/>
    </xf>
    <xf numFmtId="0" fontId="13" fillId="0" borderId="0" xfId="1" applyFont="1" applyFill="1" applyAlignment="1">
      <alignment horizontal="left"/>
    </xf>
    <xf numFmtId="3" fontId="30" fillId="4" borderId="3" xfId="0" applyNumberFormat="1" applyFont="1" applyFill="1" applyBorder="1" applyAlignment="1" applyProtection="1">
      <alignment horizontal="right"/>
      <protection locked="0"/>
    </xf>
    <xf numFmtId="0" fontId="68" fillId="0" borderId="0" xfId="0" applyFont="1" applyAlignment="1">
      <alignment horizontal="left" vertical="center" readingOrder="1"/>
    </xf>
    <xf numFmtId="0" fontId="17" fillId="0" borderId="0" xfId="1" applyFont="1" applyFill="1" applyBorder="1" applyAlignment="1">
      <alignment horizontal="left"/>
    </xf>
    <xf numFmtId="0" fontId="71" fillId="0" borderId="0" xfId="1" applyFont="1" applyFill="1" applyAlignment="1">
      <alignment horizontal="left"/>
    </xf>
    <xf numFmtId="0" fontId="18" fillId="0" borderId="0" xfId="1" applyFont="1" applyFill="1"/>
    <xf numFmtId="0" fontId="42" fillId="9" borderId="0" xfId="3" applyFont="1" applyFill="1" applyAlignment="1" applyProtection="1"/>
    <xf numFmtId="0" fontId="64" fillId="0" borderId="0" xfId="0" applyFont="1" applyFill="1"/>
    <xf numFmtId="0" fontId="65" fillId="0" borderId="0" xfId="0" applyFont="1" applyFill="1"/>
    <xf numFmtId="0" fontId="42" fillId="0" borderId="0" xfId="0" applyFont="1" applyFill="1"/>
    <xf numFmtId="0" fontId="40" fillId="0" borderId="0" xfId="0" applyFont="1" applyFill="1"/>
    <xf numFmtId="0" fontId="38" fillId="0" borderId="0" xfId="0" applyFont="1" applyFill="1"/>
    <xf numFmtId="0" fontId="42" fillId="0" borderId="0" xfId="3" applyFont="1" applyFill="1" applyAlignment="1" applyProtection="1"/>
    <xf numFmtId="3" fontId="15" fillId="3" borderId="7" xfId="1" applyNumberFormat="1" applyFont="1" applyFill="1" applyBorder="1" applyAlignment="1">
      <alignment horizontal="right"/>
    </xf>
    <xf numFmtId="0" fontId="73" fillId="0" borderId="0" xfId="1" applyFont="1" applyBorder="1" applyAlignment="1">
      <alignment horizontal="left"/>
    </xf>
    <xf numFmtId="3" fontId="67" fillId="0" borderId="2" xfId="1" applyNumberFormat="1" applyFont="1" applyFill="1" applyBorder="1" applyAlignment="1">
      <alignment horizontal="right"/>
    </xf>
    <xf numFmtId="3" fontId="59" fillId="0" borderId="2" xfId="1" applyNumberFormat="1" applyFont="1" applyFill="1" applyBorder="1" applyAlignment="1">
      <alignment horizontal="right"/>
    </xf>
    <xf numFmtId="0" fontId="72" fillId="0" borderId="0" xfId="0" applyFont="1" applyFill="1" applyAlignment="1">
      <alignment horizontal="left" vertical="center" readingOrder="1"/>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4" xfId="1" applyNumberFormat="1" applyFont="1" applyFill="1" applyBorder="1" applyAlignment="1">
      <alignment horizontal="center"/>
    </xf>
    <xf numFmtId="171" fontId="15" fillId="0" borderId="7" xfId="846" applyFont="1" applyFill="1" applyBorder="1" applyAlignment="1">
      <alignment horizontal="right"/>
    </xf>
    <xf numFmtId="171" fontId="15" fillId="0" borderId="1" xfId="846" applyFont="1" applyFill="1" applyBorder="1" applyAlignment="1">
      <alignment horizontal="right"/>
    </xf>
    <xf numFmtId="171" fontId="17" fillId="0" borderId="3" xfId="846" applyFont="1" applyBorder="1" applyAlignment="1">
      <alignment horizontal="right"/>
    </xf>
    <xf numFmtId="171" fontId="17" fillId="0" borderId="3" xfId="846" applyFont="1" applyFill="1" applyBorder="1" applyAlignment="1">
      <alignment horizontal="right"/>
    </xf>
    <xf numFmtId="171" fontId="17" fillId="0" borderId="4" xfId="846" applyFont="1" applyFill="1" applyBorder="1" applyAlignment="1">
      <alignment horizontal="right"/>
    </xf>
    <xf numFmtId="171" fontId="15" fillId="0" borderId="3" xfId="846" applyFont="1" applyFill="1" applyBorder="1" applyAlignment="1">
      <alignment horizontal="right"/>
    </xf>
    <xf numFmtId="171" fontId="15" fillId="0" borderId="4" xfId="846" applyFont="1" applyFill="1" applyBorder="1" applyAlignment="1">
      <alignment horizontal="right"/>
    </xf>
    <xf numFmtId="171" fontId="15" fillId="0" borderId="6" xfId="846" applyFont="1" applyFill="1" applyBorder="1" applyAlignment="1">
      <alignment horizontal="right"/>
    </xf>
    <xf numFmtId="171" fontId="15" fillId="0" borderId="11" xfId="846" applyFont="1" applyFill="1" applyBorder="1" applyAlignment="1">
      <alignment horizontal="right"/>
    </xf>
    <xf numFmtId="171" fontId="17" fillId="3" borderId="7" xfId="846" applyFont="1" applyFill="1" applyBorder="1" applyAlignment="1">
      <alignment horizontal="right"/>
    </xf>
    <xf numFmtId="171" fontId="17" fillId="3" borderId="2" xfId="846" applyFont="1" applyFill="1" applyBorder="1" applyAlignment="1">
      <alignment horizontal="right"/>
    </xf>
    <xf numFmtId="171" fontId="15" fillId="0" borderId="2" xfId="846" applyFont="1" applyFill="1" applyBorder="1" applyAlignment="1">
      <alignment horizontal="right"/>
    </xf>
    <xf numFmtId="171" fontId="17" fillId="3" borderId="3" xfId="846" applyFont="1" applyFill="1" applyBorder="1" applyAlignment="1">
      <alignment horizontal="right"/>
    </xf>
    <xf numFmtId="171" fontId="17" fillId="2" borderId="3" xfId="846" applyFont="1" applyFill="1" applyBorder="1" applyAlignment="1">
      <alignment horizontal="right"/>
    </xf>
    <xf numFmtId="171" fontId="17" fillId="2" borderId="4" xfId="846" applyFont="1" applyFill="1" applyBorder="1" applyAlignment="1">
      <alignment horizontal="right"/>
    </xf>
    <xf numFmtId="171" fontId="17" fillId="0" borderId="2" xfId="846" applyFont="1" applyFill="1" applyBorder="1" applyAlignment="1">
      <alignment horizontal="right"/>
    </xf>
    <xf numFmtId="171" fontId="17" fillId="3" borderId="6" xfId="846" applyFont="1" applyFill="1" applyBorder="1" applyAlignment="1">
      <alignment horizontal="right"/>
    </xf>
    <xf numFmtId="171" fontId="15" fillId="0" borderId="5" xfId="846" applyFont="1" applyFill="1" applyBorder="1" applyAlignment="1">
      <alignment horizontal="right"/>
    </xf>
    <xf numFmtId="171" fontId="15" fillId="0" borderId="15" xfId="846" applyFont="1" applyFill="1" applyBorder="1" applyAlignment="1">
      <alignment horizontal="right"/>
    </xf>
    <xf numFmtId="171" fontId="15" fillId="2" borderId="2" xfId="846" applyFont="1" applyFill="1" applyBorder="1" applyAlignment="1">
      <alignment horizontal="right"/>
    </xf>
    <xf numFmtId="171" fontId="15" fillId="2" borderId="0" xfId="846" applyFont="1" applyFill="1" applyBorder="1" applyAlignment="1">
      <alignment horizontal="right"/>
    </xf>
    <xf numFmtId="171" fontId="15" fillId="2" borderId="4" xfId="846" applyFont="1" applyFill="1" applyBorder="1" applyAlignment="1">
      <alignment horizontal="right"/>
    </xf>
    <xf numFmtId="171" fontId="15" fillId="2" borderId="5" xfId="846" applyFont="1" applyFill="1" applyBorder="1" applyAlignment="1">
      <alignment horizontal="right"/>
    </xf>
    <xf numFmtId="171" fontId="15" fillId="2" borderId="11" xfId="846" applyFont="1" applyFill="1" applyBorder="1" applyAlignment="1">
      <alignment horizontal="right"/>
    </xf>
    <xf numFmtId="171" fontId="17" fillId="0" borderId="4" xfId="846" applyFont="1" applyBorder="1" applyAlignment="1">
      <alignment horizontal="right"/>
    </xf>
    <xf numFmtId="171" fontId="17" fillId="0" borderId="6" xfId="846" applyFont="1" applyFill="1" applyBorder="1" applyAlignment="1">
      <alignment horizontal="right"/>
    </xf>
    <xf numFmtId="171" fontId="17" fillId="0" borderId="11" xfId="846" applyFont="1" applyFill="1" applyBorder="1" applyAlignment="1">
      <alignment horizontal="right"/>
    </xf>
    <xf numFmtId="171" fontId="67" fillId="0" borderId="2" xfId="846" applyFont="1" applyFill="1" applyBorder="1" applyAlignment="1">
      <alignment horizontal="right"/>
    </xf>
    <xf numFmtId="171" fontId="17" fillId="0" borderId="0" xfId="846" applyFont="1" applyFill="1" applyBorder="1" applyAlignment="1">
      <alignment horizontal="right"/>
    </xf>
    <xf numFmtId="171" fontId="22" fillId="0" borderId="2" xfId="846" applyFont="1" applyFill="1" applyBorder="1" applyAlignment="1">
      <alignment horizontal="right"/>
    </xf>
    <xf numFmtId="171" fontId="22" fillId="0" borderId="0" xfId="846" applyFont="1" applyFill="1" applyBorder="1" applyAlignment="1">
      <alignment horizontal="right"/>
    </xf>
    <xf numFmtId="171" fontId="18" fillId="2" borderId="2" xfId="846" applyFont="1" applyFill="1" applyBorder="1" applyAlignment="1">
      <alignment horizontal="right"/>
    </xf>
    <xf numFmtId="171" fontId="18" fillId="2" borderId="0" xfId="846" applyFont="1" applyFill="1" applyBorder="1" applyAlignment="1">
      <alignment horizontal="right"/>
    </xf>
    <xf numFmtId="171" fontId="17" fillId="2" borderId="2" xfId="846" applyFont="1" applyFill="1" applyBorder="1" applyAlignment="1">
      <alignment horizontal="right"/>
    </xf>
    <xf numFmtId="171" fontId="17" fillId="2" borderId="0" xfId="846" applyFont="1" applyFill="1" applyBorder="1" applyAlignment="1">
      <alignment horizontal="right"/>
    </xf>
    <xf numFmtId="171" fontId="15" fillId="0" borderId="0" xfId="846" applyFont="1" applyFill="1" applyBorder="1" applyAlignment="1">
      <alignment horizontal="right"/>
    </xf>
    <xf numFmtId="171" fontId="17" fillId="3" borderId="5" xfId="846" applyFont="1" applyFill="1" applyBorder="1" applyAlignment="1">
      <alignment horizontal="right"/>
    </xf>
    <xf numFmtId="171" fontId="17" fillId="3" borderId="0" xfId="846" applyFont="1" applyFill="1" applyBorder="1" applyAlignment="1">
      <alignment horizontal="right"/>
    </xf>
    <xf numFmtId="171" fontId="17" fillId="3" borderId="1" xfId="846" applyFont="1" applyFill="1" applyBorder="1" applyAlignment="1">
      <alignment horizontal="right"/>
    </xf>
    <xf numFmtId="171" fontId="17" fillId="3" borderId="4" xfId="846" applyFont="1" applyFill="1" applyBorder="1" applyAlignment="1">
      <alignment horizontal="right"/>
    </xf>
    <xf numFmtId="171" fontId="17" fillId="3" borderId="11" xfId="846" applyFont="1" applyFill="1" applyBorder="1" applyAlignment="1">
      <alignment horizontal="right"/>
    </xf>
    <xf numFmtId="3" fontId="13" fillId="0" borderId="12"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165" fontId="30" fillId="0" borderId="3" xfId="0" applyNumberFormat="1" applyFont="1" applyBorder="1"/>
    <xf numFmtId="165" fontId="45" fillId="0" borderId="3" xfId="0" applyNumberFormat="1" applyFont="1" applyBorder="1"/>
    <xf numFmtId="165" fontId="30" fillId="0" borderId="3" xfId="0" applyNumberFormat="1" applyFont="1" applyFill="1" applyBorder="1"/>
    <xf numFmtId="165" fontId="45" fillId="0" borderId="6" xfId="0" applyNumberFormat="1" applyFont="1" applyBorder="1"/>
    <xf numFmtId="172" fontId="17" fillId="3" borderId="2" xfId="846" applyNumberFormat="1" applyFont="1" applyFill="1" applyBorder="1" applyAlignment="1">
      <alignment horizontal="right"/>
    </xf>
    <xf numFmtId="172" fontId="17" fillId="3" borderId="3" xfId="846" applyNumberFormat="1" applyFont="1" applyFill="1" applyBorder="1" applyAlignment="1">
      <alignment horizontal="right"/>
    </xf>
    <xf numFmtId="172" fontId="17" fillId="3" borderId="6" xfId="846" applyNumberFormat="1" applyFont="1" applyFill="1" applyBorder="1" applyAlignment="1">
      <alignment horizontal="right"/>
    </xf>
    <xf numFmtId="165" fontId="15" fillId="0" borderId="6" xfId="1" applyNumberFormat="1" applyFont="1" applyBorder="1" applyAlignment="1">
      <alignment horizontal="center"/>
    </xf>
    <xf numFmtId="165" fontId="17" fillId="3" borderId="0" xfId="1" applyNumberFormat="1" applyFont="1" applyFill="1" applyBorder="1" applyAlignment="1">
      <alignment horizontal="right"/>
    </xf>
    <xf numFmtId="165" fontId="17" fillId="3" borderId="5" xfId="1" applyNumberFormat="1" applyFont="1" applyFill="1" applyBorder="1" applyAlignment="1">
      <alignment horizontal="right"/>
    </xf>
    <xf numFmtId="0" fontId="17" fillId="0" borderId="4" xfId="1" applyFont="1" applyBorder="1"/>
    <xf numFmtId="0" fontId="15" fillId="0" borderId="0" xfId="1" applyFont="1" applyFill="1"/>
    <xf numFmtId="49" fontId="15" fillId="0" borderId="0" xfId="1" applyNumberFormat="1" applyFont="1" applyFill="1" applyBorder="1" applyAlignment="1">
      <alignment horizontal="right"/>
    </xf>
    <xf numFmtId="49" fontId="15" fillId="0" borderId="0" xfId="1" applyNumberFormat="1" applyFont="1" applyFill="1" applyBorder="1" applyAlignment="1">
      <alignment horizontal="center"/>
    </xf>
    <xf numFmtId="3" fontId="15" fillId="0" borderId="0" xfId="1" quotePrefix="1" applyNumberFormat="1" applyFont="1" applyFill="1" applyBorder="1" applyAlignment="1">
      <alignment horizontal="center"/>
    </xf>
    <xf numFmtId="171" fontId="15" fillId="3" borderId="7" xfId="846" applyFont="1" applyFill="1" applyBorder="1" applyAlignment="1">
      <alignment horizontal="right"/>
    </xf>
    <xf numFmtId="172" fontId="15" fillId="3" borderId="2" xfId="846" applyNumberFormat="1" applyFont="1" applyFill="1" applyBorder="1" applyAlignment="1">
      <alignment horizontal="right"/>
    </xf>
    <xf numFmtId="3" fontId="15" fillId="0" borderId="0" xfId="1" applyNumberFormat="1" applyFont="1" applyFill="1"/>
    <xf numFmtId="168" fontId="15" fillId="3" borderId="7" xfId="1" applyNumberFormat="1" applyFont="1" applyFill="1" applyBorder="1" applyAlignment="1">
      <alignment horizontal="right"/>
    </xf>
    <xf numFmtId="168" fontId="15" fillId="3" borderId="3" xfId="1" applyNumberFormat="1" applyFont="1" applyFill="1" applyBorder="1" applyAlignment="1">
      <alignment horizontal="right"/>
    </xf>
    <xf numFmtId="168" fontId="15" fillId="3" borderId="6" xfId="1" applyNumberFormat="1" applyFont="1" applyFill="1" applyBorder="1" applyAlignment="1">
      <alignment horizontal="right"/>
    </xf>
    <xf numFmtId="3" fontId="15" fillId="3" borderId="0" xfId="1" applyNumberFormat="1" applyFont="1" applyFill="1" applyBorder="1" applyAlignment="1">
      <alignment horizontal="right"/>
    </xf>
    <xf numFmtId="3" fontId="15" fillId="3" borderId="1" xfId="1" applyNumberFormat="1" applyFont="1" applyFill="1" applyBorder="1" applyAlignment="1">
      <alignment horizontal="right"/>
    </xf>
    <xf numFmtId="3" fontId="15" fillId="3" borderId="4" xfId="1" applyNumberFormat="1" applyFont="1" applyFill="1" applyBorder="1" applyAlignment="1">
      <alignment horizontal="right"/>
    </xf>
    <xf numFmtId="3" fontId="15" fillId="3" borderId="11" xfId="1" applyNumberFormat="1" applyFont="1" applyFill="1" applyBorder="1" applyAlignment="1">
      <alignment horizontal="right"/>
    </xf>
    <xf numFmtId="165" fontId="15" fillId="3" borderId="0" xfId="1" applyNumberFormat="1" applyFont="1" applyFill="1" applyBorder="1" applyAlignment="1">
      <alignment horizontal="right"/>
    </xf>
    <xf numFmtId="0" fontId="13" fillId="0" borderId="0" xfId="1" applyFont="1" applyBorder="1" applyAlignment="1">
      <alignment horizontal="center"/>
    </xf>
    <xf numFmtId="3" fontId="60" fillId="4" borderId="3" xfId="0" applyNumberFormat="1" applyFont="1" applyFill="1" applyBorder="1" applyAlignment="1" applyProtection="1">
      <alignment horizontal="right"/>
    </xf>
    <xf numFmtId="3" fontId="60" fillId="4" borderId="3" xfId="0"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protection locked="0"/>
    </xf>
    <xf numFmtId="3" fontId="30" fillId="4" borderId="4" xfId="847" applyNumberFormat="1" applyFont="1" applyFill="1" applyBorder="1" applyAlignment="1" applyProtection="1">
      <alignment horizontal="right"/>
    </xf>
    <xf numFmtId="3" fontId="30" fillId="4" borderId="4" xfId="847"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xf>
    <xf numFmtId="3" fontId="45" fillId="4" borderId="3" xfId="0" applyNumberFormat="1" applyFont="1" applyFill="1" applyBorder="1" applyAlignment="1" applyProtection="1">
      <alignment horizontal="right"/>
    </xf>
    <xf numFmtId="3" fontId="45" fillId="4" borderId="3" xfId="0" applyNumberFormat="1" applyFont="1" applyFill="1" applyBorder="1" applyAlignment="1" applyProtection="1">
      <alignment horizontal="right"/>
      <protection locked="0"/>
    </xf>
    <xf numFmtId="3" fontId="45" fillId="0" borderId="3" xfId="0" applyNumberFormat="1" applyFont="1" applyBorder="1" applyAlignment="1" applyProtection="1">
      <alignment horizontal="right"/>
    </xf>
    <xf numFmtId="3" fontId="45" fillId="0" borderId="3" xfId="0" applyNumberFormat="1" applyFont="1" applyBorder="1" applyAlignment="1" applyProtection="1">
      <alignment horizontal="right"/>
      <protection locked="0"/>
    </xf>
    <xf numFmtId="3" fontId="45" fillId="0" borderId="3" xfId="0" applyNumberFormat="1" applyFont="1" applyFill="1" applyBorder="1" applyAlignment="1" applyProtection="1">
      <alignment horizontal="right"/>
    </xf>
    <xf numFmtId="3" fontId="45" fillId="0" borderId="3" xfId="0" applyNumberFormat="1" applyFont="1" applyFill="1" applyBorder="1" applyAlignment="1" applyProtection="1">
      <alignment horizontal="right"/>
      <protection locked="0"/>
    </xf>
    <xf numFmtId="3" fontId="30" fillId="0" borderId="4" xfId="0" applyNumberFormat="1" applyFont="1" applyFill="1" applyBorder="1" applyAlignment="1" applyProtection="1">
      <alignment horizontal="right"/>
      <protection locked="0"/>
    </xf>
    <xf numFmtId="3" fontId="30" fillId="0" borderId="4" xfId="847" applyNumberFormat="1" applyFont="1" applyFill="1" applyBorder="1" applyAlignment="1" applyProtection="1">
      <alignment horizontal="right"/>
    </xf>
    <xf numFmtId="3" fontId="30" fillId="0" borderId="4" xfId="847" applyNumberFormat="1" applyFont="1" applyFill="1" applyBorder="1" applyAlignment="1" applyProtection="1">
      <alignment horizontal="right"/>
      <protection locked="0"/>
    </xf>
    <xf numFmtId="3" fontId="30" fillId="0" borderId="3" xfId="0" applyNumberFormat="1" applyFont="1" applyFill="1" applyBorder="1" applyAlignment="1" applyProtection="1">
      <alignment horizontal="right"/>
      <protection locked="0"/>
    </xf>
    <xf numFmtId="3" fontId="30" fillId="0" borderId="4" xfId="0" applyNumberFormat="1" applyFont="1" applyFill="1" applyBorder="1" applyAlignment="1" applyProtection="1">
      <alignment horizontal="right"/>
    </xf>
    <xf numFmtId="3" fontId="30" fillId="0" borderId="3" xfId="0" applyNumberFormat="1" applyFont="1" applyFill="1" applyBorder="1" applyAlignment="1" applyProtection="1">
      <alignment horizontal="right"/>
    </xf>
    <xf numFmtId="3" fontId="30" fillId="0" borderId="3" xfId="845" applyNumberFormat="1" applyFont="1" applyFill="1" applyBorder="1" applyAlignment="1" applyProtection="1">
      <alignment horizontal="right"/>
      <protection locked="0"/>
    </xf>
    <xf numFmtId="3" fontId="30" fillId="0" borderId="3" xfId="0" applyNumberFormat="1" applyFont="1" applyBorder="1" applyAlignment="1" applyProtection="1">
      <alignment horizontal="right"/>
      <protection locked="0"/>
    </xf>
    <xf numFmtId="3" fontId="30" fillId="4" borderId="3" xfId="845" applyNumberFormat="1" applyFont="1" applyFill="1" applyBorder="1" applyAlignment="1" applyProtection="1">
      <alignment horizontal="right"/>
      <protection locked="0"/>
    </xf>
    <xf numFmtId="3" fontId="30" fillId="0" borderId="3" xfId="0" applyNumberFormat="1" applyFont="1" applyBorder="1" applyAlignment="1" applyProtection="1">
      <alignment horizontal="right"/>
    </xf>
    <xf numFmtId="3" fontId="45" fillId="4" borderId="4" xfId="0" applyNumberFormat="1" applyFont="1" applyFill="1" applyBorder="1" applyAlignment="1" applyProtection="1">
      <alignment horizontal="right"/>
      <protection locked="0"/>
    </xf>
    <xf numFmtId="3" fontId="45" fillId="4" borderId="4" xfId="0" applyNumberFormat="1" applyFont="1" applyFill="1" applyBorder="1" applyAlignment="1" applyProtection="1">
      <alignment horizontal="right"/>
    </xf>
    <xf numFmtId="3" fontId="45" fillId="4" borderId="3" xfId="845" applyNumberFormat="1" applyFont="1" applyFill="1" applyBorder="1" applyAlignment="1" applyProtection="1">
      <alignment horizontal="right"/>
      <protection locked="0"/>
    </xf>
    <xf numFmtId="3" fontId="45" fillId="0" borderId="4" xfId="0" applyNumberFormat="1" applyFont="1" applyFill="1" applyBorder="1" applyAlignment="1" applyProtection="1">
      <alignment horizontal="right"/>
    </xf>
    <xf numFmtId="3" fontId="30" fillId="4" borderId="3" xfId="0" applyNumberFormat="1" applyFont="1" applyFill="1" applyBorder="1" applyAlignment="1" applyProtection="1">
      <alignment horizontal="right"/>
    </xf>
    <xf numFmtId="3" fontId="45" fillId="0" borderId="6" xfId="0" applyNumberFormat="1" applyFont="1" applyBorder="1" applyAlignment="1" applyProtection="1">
      <alignment horizontal="right"/>
      <protection locked="0"/>
    </xf>
    <xf numFmtId="3" fontId="45" fillId="4" borderId="6" xfId="0" applyNumberFormat="1" applyFont="1" applyFill="1" applyBorder="1" applyAlignment="1" applyProtection="1">
      <alignment horizontal="right"/>
      <protection locked="0"/>
    </xf>
    <xf numFmtId="3" fontId="45" fillId="0" borderId="6" xfId="0" applyNumberFormat="1" applyFont="1" applyBorder="1" applyAlignment="1" applyProtection="1">
      <alignment horizontal="right"/>
    </xf>
    <xf numFmtId="3" fontId="45" fillId="4" borderId="11" xfId="0" applyNumberFormat="1" applyFont="1" applyFill="1" applyBorder="1" applyAlignment="1" applyProtection="1">
      <alignment horizontal="right"/>
    </xf>
    <xf numFmtId="3" fontId="45" fillId="0" borderId="11" xfId="0" applyNumberFormat="1" applyFont="1" applyFill="1" applyBorder="1" applyAlignment="1" applyProtection="1">
      <alignment horizontal="right"/>
    </xf>
    <xf numFmtId="3" fontId="45" fillId="4" borderId="6" xfId="845" applyNumberFormat="1" applyFont="1" applyFill="1" applyBorder="1" applyAlignment="1" applyProtection="1">
      <alignment horizontal="right"/>
      <protection locked="0"/>
    </xf>
    <xf numFmtId="3" fontId="50" fillId="4" borderId="11" xfId="0" applyNumberFormat="1" applyFont="1" applyFill="1" applyBorder="1" applyProtection="1">
      <protection locked="0"/>
    </xf>
    <xf numFmtId="169" fontId="15" fillId="0" borderId="6" xfId="0" applyNumberFormat="1" applyFont="1" applyFill="1" applyBorder="1" applyAlignment="1" applyProtection="1">
      <alignment horizontal="center"/>
      <protection locked="0"/>
    </xf>
    <xf numFmtId="3" fontId="60" fillId="4" borderId="4" xfId="0" applyNumberFormat="1" applyFont="1" applyFill="1" applyBorder="1" applyProtection="1">
      <protection locked="0"/>
    </xf>
    <xf numFmtId="0" fontId="45" fillId="0" borderId="4" xfId="0" applyFont="1" applyFill="1" applyBorder="1" applyProtection="1">
      <protection locked="0"/>
    </xf>
    <xf numFmtId="3" fontId="45" fillId="4" borderId="4" xfId="0" applyNumberFormat="1" applyFont="1" applyFill="1" applyBorder="1" applyProtection="1">
      <protection locked="0"/>
    </xf>
    <xf numFmtId="0" fontId="30" fillId="0" borderId="4" xfId="0" applyFont="1" applyFill="1" applyBorder="1" applyProtection="1">
      <protection locked="0"/>
    </xf>
    <xf numFmtId="0" fontId="30" fillId="0" borderId="3" xfId="0" applyFont="1" applyFill="1" applyBorder="1" applyProtection="1">
      <protection locked="0"/>
    </xf>
    <xf numFmtId="0" fontId="19" fillId="0" borderId="3" xfId="0" applyFont="1" applyFill="1" applyBorder="1" applyProtection="1">
      <protection locked="0"/>
    </xf>
    <xf numFmtId="0" fontId="45" fillId="0" borderId="11" xfId="0" applyFont="1" applyFill="1" applyBorder="1" applyProtection="1">
      <protection locked="0"/>
    </xf>
    <xf numFmtId="0" fontId="30" fillId="0" borderId="0" xfId="0" applyFont="1" applyProtection="1">
      <protection locked="0"/>
    </xf>
    <xf numFmtId="0" fontId="0" fillId="0" borderId="0" xfId="0" applyProtection="1">
      <protection locked="0"/>
    </xf>
    <xf numFmtId="0" fontId="19" fillId="0" borderId="0" xfId="0" applyFont="1" applyProtection="1">
      <protection locked="0"/>
    </xf>
    <xf numFmtId="3" fontId="30" fillId="0" borderId="0" xfId="0" applyNumberFormat="1" applyFont="1" applyBorder="1" applyProtection="1">
      <protection locked="0"/>
    </xf>
    <xf numFmtId="0" fontId="61" fillId="0" borderId="0" xfId="0" applyFont="1" applyProtection="1">
      <protection locked="0"/>
    </xf>
    <xf numFmtId="3" fontId="62" fillId="0" borderId="0" xfId="0" applyNumberFormat="1" applyFont="1" applyBorder="1" applyProtection="1">
      <protection locked="0"/>
    </xf>
    <xf numFmtId="0" fontId="41" fillId="0" borderId="0" xfId="0" applyFont="1" applyProtection="1">
      <protection locked="0"/>
    </xf>
    <xf numFmtId="0" fontId="17" fillId="0" borderId="0" xfId="3" applyFont="1" applyFill="1" applyAlignment="1" applyProtection="1">
      <protection locked="0"/>
    </xf>
    <xf numFmtId="0" fontId="57" fillId="0" borderId="0" xfId="0" applyFont="1" applyProtection="1">
      <protection locked="0"/>
    </xf>
    <xf numFmtId="165" fontId="0" fillId="0" borderId="0" xfId="0" applyNumberFormat="1" applyProtection="1">
      <protection locked="0"/>
    </xf>
    <xf numFmtId="3" fontId="58" fillId="4" borderId="12" xfId="0" applyNumberFormat="1" applyFont="1" applyFill="1" applyBorder="1" applyProtection="1">
      <protection locked="0"/>
    </xf>
    <xf numFmtId="3" fontId="59" fillId="4" borderId="0" xfId="0" applyNumberFormat="1" applyFont="1" applyFill="1" applyBorder="1" applyProtection="1">
      <protection locked="0"/>
    </xf>
    <xf numFmtId="165" fontId="0" fillId="0" borderId="0" xfId="0" applyNumberFormat="1" applyBorder="1" applyProtection="1">
      <protection locked="0"/>
    </xf>
    <xf numFmtId="14" fontId="13" fillId="0" borderId="7" xfId="0" applyNumberFormat="1" applyFont="1" applyFill="1" applyBorder="1" applyAlignment="1" applyProtection="1">
      <alignment horizontal="left"/>
      <protection locked="0"/>
    </xf>
    <xf numFmtId="3" fontId="13" fillId="0" borderId="8" xfId="0" quotePrefix="1" applyNumberFormat="1" applyFont="1" applyFill="1" applyBorder="1" applyProtection="1">
      <protection locked="0"/>
    </xf>
    <xf numFmtId="3" fontId="13" fillId="0" borderId="9" xfId="0" quotePrefix="1" applyNumberFormat="1" applyFont="1" applyFill="1" applyBorder="1" applyProtection="1">
      <protection locked="0"/>
    </xf>
    <xf numFmtId="3" fontId="13" fillId="0" borderId="10" xfId="0" quotePrefix="1" applyNumberFormat="1" applyFont="1" applyFill="1" applyBorder="1" applyProtection="1">
      <protection locked="0"/>
    </xf>
    <xf numFmtId="0" fontId="17" fillId="0" borderId="8" xfId="0" applyFont="1" applyBorder="1" applyProtection="1">
      <protection locked="0"/>
    </xf>
    <xf numFmtId="0" fontId="17" fillId="0" borderId="10" xfId="0" applyFont="1" applyBorder="1" applyProtection="1">
      <protection locked="0"/>
    </xf>
    <xf numFmtId="0" fontId="17" fillId="0" borderId="9" xfId="0" applyFont="1" applyBorder="1" applyProtection="1">
      <protection locked="0"/>
    </xf>
    <xf numFmtId="165" fontId="17" fillId="4" borderId="0" xfId="0" applyNumberFormat="1" applyFont="1" applyFill="1" applyBorder="1" applyProtection="1">
      <protection locked="0"/>
    </xf>
    <xf numFmtId="0" fontId="17" fillId="4" borderId="0" xfId="0" applyFont="1" applyFill="1" applyBorder="1" applyProtection="1">
      <protection locked="0"/>
    </xf>
    <xf numFmtId="3" fontId="45" fillId="0" borderId="1" xfId="0" applyNumberFormat="1" applyFont="1" applyFill="1" applyBorder="1" applyProtection="1">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0" fillId="0" borderId="0" xfId="0" applyBorder="1" applyProtection="1">
      <protection locked="0"/>
    </xf>
    <xf numFmtId="0" fontId="45" fillId="4" borderId="0" xfId="0" applyNumberFormat="1" applyFont="1" applyFill="1" applyBorder="1" applyAlignment="1" applyProtection="1">
      <alignment horizontal="center"/>
      <protection locked="0"/>
    </xf>
    <xf numFmtId="3" fontId="45" fillId="0" borderId="4" xfId="0" applyNumberFormat="1" applyFont="1" applyFill="1" applyBorder="1" applyProtection="1">
      <protection locked="0"/>
    </xf>
    <xf numFmtId="0" fontId="15" fillId="0" borderId="7" xfId="0" applyNumberFormat="1" applyFont="1" applyFill="1" applyBorder="1" applyAlignment="1" applyProtection="1">
      <alignment horizontal="center"/>
      <protection locked="0"/>
    </xf>
    <xf numFmtId="169" fontId="13" fillId="4" borderId="0" xfId="0" applyNumberFormat="1" applyFont="1" applyFill="1" applyBorder="1" applyAlignment="1" applyProtection="1">
      <alignment horizontal="center"/>
      <protection locked="0"/>
    </xf>
    <xf numFmtId="0" fontId="13" fillId="4" borderId="0" xfId="0" applyNumberFormat="1" applyFont="1" applyFill="1" applyBorder="1" applyAlignment="1" applyProtection="1">
      <alignment horizontal="center"/>
      <protection locked="0"/>
    </xf>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Protection="1">
      <protection locked="0"/>
    </xf>
    <xf numFmtId="3" fontId="19" fillId="0" borderId="0" xfId="0" applyNumberFormat="1" applyFont="1" applyFill="1" applyProtection="1">
      <protection locked="0"/>
    </xf>
    <xf numFmtId="3" fontId="19" fillId="0" borderId="0" xfId="0" applyNumberFormat="1" applyFont="1" applyProtection="1">
      <protection locked="0"/>
    </xf>
    <xf numFmtId="3" fontId="19" fillId="0" borderId="0" xfId="0" applyNumberFormat="1" applyFont="1" applyBorder="1" applyProtection="1">
      <protection locked="0"/>
    </xf>
    <xf numFmtId="0" fontId="49" fillId="0" borderId="0" xfId="0" applyFont="1" applyBorder="1" applyProtection="1">
      <protection locked="0"/>
    </xf>
    <xf numFmtId="3" fontId="49" fillId="0" borderId="0" xfId="0" applyNumberFormat="1" applyFont="1" applyProtection="1">
      <protection locked="0"/>
    </xf>
    <xf numFmtId="0" fontId="49" fillId="0" borderId="0" xfId="0" applyFont="1" applyProtection="1">
      <protection locked="0"/>
    </xf>
    <xf numFmtId="0" fontId="61" fillId="0" borderId="0" xfId="0" applyFont="1" applyBorder="1" applyProtection="1">
      <protection locked="0"/>
    </xf>
    <xf numFmtId="0" fontId="14" fillId="0" borderId="0" xfId="0" applyFont="1" applyProtection="1">
      <protection locked="0"/>
    </xf>
    <xf numFmtId="0" fontId="63" fillId="0" borderId="0" xfId="0" applyFont="1" applyProtection="1">
      <protection locked="0"/>
    </xf>
    <xf numFmtId="0" fontId="41" fillId="0" borderId="0" xfId="1" applyFont="1" applyProtection="1">
      <protection locked="0"/>
    </xf>
    <xf numFmtId="0" fontId="57" fillId="0" borderId="0" xfId="1" applyFont="1" applyProtection="1">
      <protection locked="0"/>
    </xf>
    <xf numFmtId="0" fontId="19" fillId="0" borderId="0" xfId="1" applyProtection="1">
      <protection locked="0"/>
    </xf>
    <xf numFmtId="0" fontId="19" fillId="0" borderId="0" xfId="1" applyFont="1" applyProtection="1">
      <protection locked="0"/>
    </xf>
    <xf numFmtId="3" fontId="45" fillId="4" borderId="0" xfId="1" applyNumberFormat="1" applyFont="1" applyFill="1" applyProtection="1">
      <protection locked="0"/>
    </xf>
    <xf numFmtId="3" fontId="15" fillId="4" borderId="0" xfId="1" applyNumberFormat="1" applyFont="1" applyFill="1" applyProtection="1">
      <protection locked="0"/>
    </xf>
    <xf numFmtId="3" fontId="13" fillId="0" borderId="8" xfId="1" quotePrefix="1" applyNumberFormat="1" applyFont="1" applyFill="1" applyBorder="1" applyAlignment="1" applyProtection="1">
      <alignment horizontal="center"/>
      <protection locked="0"/>
    </xf>
    <xf numFmtId="3" fontId="13" fillId="0" borderId="9" xfId="1" quotePrefix="1" applyNumberFormat="1" applyFont="1" applyFill="1" applyBorder="1" applyAlignment="1" applyProtection="1">
      <alignment horizontal="center"/>
      <protection locked="0"/>
    </xf>
    <xf numFmtId="3" fontId="13" fillId="0" borderId="10" xfId="1" quotePrefix="1" applyNumberFormat="1" applyFont="1" applyFill="1" applyBorder="1" applyAlignment="1" applyProtection="1">
      <alignment horizontal="center"/>
      <protection locked="0"/>
    </xf>
    <xf numFmtId="0" fontId="17" fillId="0" borderId="8" xfId="1" applyFont="1" applyBorder="1" applyProtection="1">
      <protection locked="0"/>
    </xf>
    <xf numFmtId="0" fontId="17" fillId="0" borderId="10" xfId="1" applyFont="1" applyBorder="1" applyProtection="1">
      <protection locked="0"/>
    </xf>
    <xf numFmtId="0" fontId="17" fillId="0" borderId="9" xfId="1" applyFont="1" applyBorder="1" applyProtection="1">
      <protection locked="0"/>
    </xf>
    <xf numFmtId="0" fontId="17" fillId="4" borderId="10" xfId="1" applyFont="1" applyFill="1" applyBorder="1" applyProtection="1">
      <protection locked="0"/>
    </xf>
    <xf numFmtId="0" fontId="17" fillId="4" borderId="8" xfId="1" applyFont="1" applyFill="1" applyBorder="1" applyProtection="1">
      <protection locked="0"/>
    </xf>
    <xf numFmtId="0" fontId="17" fillId="4" borderId="9" xfId="1" applyFont="1" applyFill="1" applyBorder="1" applyProtection="1">
      <protection locked="0"/>
    </xf>
    <xf numFmtId="0" fontId="19" fillId="0" borderId="9" xfId="1" applyFont="1" applyBorder="1" applyProtection="1">
      <protection locked="0"/>
    </xf>
    <xf numFmtId="3" fontId="45" fillId="0" borderId="1" xfId="1" applyNumberFormat="1" applyFont="1" applyFill="1" applyBorder="1" applyProtection="1">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3" fontId="45" fillId="0" borderId="4" xfId="1" applyNumberFormat="1" applyFont="1" applyFill="1" applyBorder="1" applyProtection="1">
      <protection locked="0"/>
    </xf>
    <xf numFmtId="0" fontId="15" fillId="0" borderId="7" xfId="1" applyNumberFormat="1" applyFont="1" applyFill="1" applyBorder="1" applyAlignment="1" applyProtection="1">
      <alignment horizontal="center"/>
      <protection locked="0"/>
    </xf>
    <xf numFmtId="3" fontId="50" fillId="4" borderId="6" xfId="1" applyNumberFormat="1" applyFont="1" applyFill="1" applyBorder="1" applyProtection="1">
      <protection locked="0"/>
    </xf>
    <xf numFmtId="169" fontId="15" fillId="0" borderId="6" xfId="1" applyNumberFormat="1" applyFont="1" applyFill="1" applyBorder="1" applyAlignment="1" applyProtection="1">
      <alignment horizontal="center"/>
      <protection locked="0"/>
    </xf>
    <xf numFmtId="3" fontId="30" fillId="4" borderId="1" xfId="1" applyNumberFormat="1" applyFont="1" applyFill="1" applyBorder="1" applyAlignment="1" applyProtection="1">
      <alignment horizontal="right"/>
      <protection locked="0"/>
    </xf>
    <xf numFmtId="3" fontId="30" fillId="4" borderId="7" xfId="1" applyNumberFormat="1" applyFont="1" applyFill="1" applyBorder="1" applyAlignment="1" applyProtection="1">
      <alignment horizontal="right"/>
      <protection locked="0"/>
    </xf>
    <xf numFmtId="3" fontId="30" fillId="4" borderId="1" xfId="15" applyNumberFormat="1" applyFont="1" applyFill="1" applyBorder="1" applyAlignment="1" applyProtection="1">
      <alignment horizontal="right"/>
    </xf>
    <xf numFmtId="3" fontId="30" fillId="4" borderId="1" xfId="15" applyNumberFormat="1" applyFont="1" applyFill="1" applyBorder="1" applyAlignment="1" applyProtection="1">
      <alignment horizontal="right"/>
      <protection locked="0"/>
    </xf>
    <xf numFmtId="0" fontId="30" fillId="4" borderId="7" xfId="1" applyFont="1" applyFill="1" applyBorder="1" applyAlignment="1" applyProtection="1">
      <alignment horizontal="right"/>
      <protection locked="0"/>
    </xf>
    <xf numFmtId="0" fontId="30" fillId="0" borderId="4" xfId="1" applyFont="1" applyFill="1" applyBorder="1" applyProtection="1">
      <protection locked="0"/>
    </xf>
    <xf numFmtId="3" fontId="30" fillId="4" borderId="4" xfId="1" applyNumberFormat="1" applyFont="1" applyFill="1" applyBorder="1" applyAlignment="1" applyProtection="1">
      <alignment horizontal="right"/>
      <protection locked="0"/>
    </xf>
    <xf numFmtId="3" fontId="30" fillId="4" borderId="3" xfId="1" applyNumberFormat="1" applyFont="1" applyFill="1" applyBorder="1" applyAlignment="1" applyProtection="1">
      <alignment horizontal="right"/>
      <protection locked="0"/>
    </xf>
    <xf numFmtId="3" fontId="30" fillId="4" borderId="4" xfId="15" applyNumberFormat="1" applyFont="1" applyFill="1" applyBorder="1" applyAlignment="1" applyProtection="1">
      <alignment horizontal="right"/>
    </xf>
    <xf numFmtId="3" fontId="30" fillId="4" borderId="4" xfId="15" applyNumberFormat="1" applyFont="1" applyFill="1" applyBorder="1" applyAlignment="1" applyProtection="1">
      <alignment horizontal="right"/>
      <protection locked="0"/>
    </xf>
    <xf numFmtId="0" fontId="30" fillId="4" borderId="3" xfId="1" applyFont="1" applyFill="1" applyBorder="1" applyAlignment="1" applyProtection="1">
      <alignment horizontal="right"/>
      <protection locked="0"/>
    </xf>
    <xf numFmtId="3" fontId="30" fillId="0" borderId="3" xfId="1" applyNumberFormat="1" applyFont="1" applyFill="1" applyBorder="1" applyAlignment="1" applyProtection="1">
      <alignment horizontal="right"/>
      <protection locked="0"/>
    </xf>
    <xf numFmtId="0" fontId="30" fillId="0" borderId="3" xfId="1" applyFont="1" applyBorder="1" applyAlignment="1" applyProtection="1">
      <alignment horizontal="right"/>
      <protection locked="0"/>
    </xf>
    <xf numFmtId="166" fontId="30" fillId="0" borderId="3" xfId="847" applyNumberFormat="1" applyFont="1" applyBorder="1" applyAlignment="1" applyProtection="1">
      <alignment horizontal="right"/>
    </xf>
    <xf numFmtId="166" fontId="30" fillId="0" borderId="3" xfId="847" applyNumberFormat="1" applyFont="1" applyBorder="1" applyAlignment="1" applyProtection="1">
      <alignment horizontal="right"/>
      <protection locked="0"/>
    </xf>
    <xf numFmtId="3" fontId="30" fillId="10" borderId="3" xfId="1" applyNumberFormat="1" applyFont="1" applyFill="1" applyBorder="1" applyAlignment="1" applyProtection="1">
      <alignment horizontal="right"/>
      <protection locked="0"/>
    </xf>
    <xf numFmtId="170" fontId="30" fillId="0" borderId="3" xfId="847" applyNumberFormat="1" applyFont="1" applyBorder="1" applyAlignment="1" applyProtection="1">
      <alignment horizontal="right"/>
    </xf>
    <xf numFmtId="170" fontId="30" fillId="0" borderId="3" xfId="847" applyNumberFormat="1" applyFont="1" applyBorder="1" applyAlignment="1" applyProtection="1">
      <alignment horizontal="right"/>
      <protection locked="0"/>
    </xf>
    <xf numFmtId="0" fontId="30" fillId="0" borderId="3" xfId="1" applyFont="1" applyFill="1" applyBorder="1" applyAlignment="1" applyProtection="1">
      <alignment horizontal="right"/>
      <protection locked="0"/>
    </xf>
    <xf numFmtId="166" fontId="30" fillId="4" borderId="4" xfId="847" applyNumberFormat="1" applyFont="1" applyFill="1" applyBorder="1" applyAlignment="1" applyProtection="1">
      <alignment horizontal="right"/>
    </xf>
    <xf numFmtId="166" fontId="30" fillId="4" borderId="4" xfId="847" applyNumberFormat="1" applyFont="1" applyFill="1" applyBorder="1" applyAlignment="1" applyProtection="1">
      <alignment horizontal="right"/>
      <protection locked="0"/>
    </xf>
    <xf numFmtId="166" fontId="30" fillId="4" borderId="3" xfId="847" applyNumberFormat="1" applyFont="1" applyFill="1" applyBorder="1" applyAlignment="1" applyProtection="1">
      <alignment horizontal="right"/>
    </xf>
    <xf numFmtId="166" fontId="30" fillId="4" borderId="3" xfId="847" applyNumberFormat="1" applyFont="1" applyFill="1" applyBorder="1" applyAlignment="1" applyProtection="1">
      <alignment horizontal="right"/>
      <protection locked="0"/>
    </xf>
    <xf numFmtId="0" fontId="19" fillId="0" borderId="0" xfId="1" applyFont="1" applyFill="1" applyProtection="1">
      <protection locked="0"/>
    </xf>
    <xf numFmtId="0" fontId="45" fillId="0" borderId="11" xfId="1" applyFont="1" applyFill="1" applyBorder="1" applyProtection="1">
      <protection locked="0"/>
    </xf>
    <xf numFmtId="3" fontId="45" fillId="4" borderId="6" xfId="1" applyNumberFormat="1" applyFont="1" applyFill="1" applyBorder="1" applyAlignment="1" applyProtection="1">
      <alignment horizontal="right"/>
      <protection locked="0"/>
    </xf>
    <xf numFmtId="0" fontId="49" fillId="0" borderId="0" xfId="1" applyFont="1" applyProtection="1">
      <protection locked="0"/>
    </xf>
    <xf numFmtId="0" fontId="45" fillId="0" borderId="4" xfId="1" applyFont="1" applyFill="1" applyBorder="1" applyProtection="1">
      <protection locked="0"/>
    </xf>
    <xf numFmtId="3" fontId="45" fillId="4" borderId="4" xfId="15" applyNumberFormat="1" applyFont="1" applyFill="1" applyBorder="1" applyAlignment="1" applyProtection="1">
      <alignment horizontal="right"/>
    </xf>
    <xf numFmtId="3" fontId="45" fillId="4" borderId="4" xfId="15" applyNumberFormat="1" applyFont="1" applyFill="1" applyBorder="1" applyAlignment="1" applyProtection="1">
      <alignment horizontal="right"/>
      <protection locked="0"/>
    </xf>
    <xf numFmtId="3" fontId="45" fillId="4" borderId="3" xfId="1" applyNumberFormat="1" applyFont="1" applyFill="1" applyBorder="1" applyAlignment="1" applyProtection="1">
      <alignment horizontal="right"/>
      <protection locked="0"/>
    </xf>
    <xf numFmtId="3" fontId="45" fillId="4" borderId="7" xfId="1" applyNumberFormat="1" applyFont="1" applyFill="1" applyBorder="1" applyAlignment="1" applyProtection="1">
      <alignment horizontal="right"/>
      <protection locked="0"/>
    </xf>
    <xf numFmtId="0" fontId="45" fillId="4" borderId="7" xfId="1" applyFont="1" applyFill="1" applyBorder="1" applyAlignment="1" applyProtection="1">
      <alignment horizontal="right"/>
      <protection locked="0"/>
    </xf>
    <xf numFmtId="0" fontId="45" fillId="4" borderId="15" xfId="1" applyFont="1" applyFill="1" applyBorder="1" applyAlignment="1" applyProtection="1">
      <alignment horizontal="right"/>
      <protection locked="0"/>
    </xf>
    <xf numFmtId="0" fontId="49" fillId="0" borderId="7" xfId="1" applyFont="1" applyBorder="1" applyAlignment="1" applyProtection="1">
      <alignment horizontal="right"/>
      <protection locked="0"/>
    </xf>
    <xf numFmtId="0" fontId="45" fillId="4" borderId="3" xfId="1" applyFont="1" applyFill="1" applyBorder="1" applyAlignment="1" applyProtection="1">
      <alignment horizontal="right"/>
      <protection locked="0"/>
    </xf>
    <xf numFmtId="0" fontId="45" fillId="4" borderId="2" xfId="1" applyFont="1" applyFill="1" applyBorder="1" applyAlignment="1" applyProtection="1">
      <alignment horizontal="right"/>
      <protection locked="0"/>
    </xf>
    <xf numFmtId="0" fontId="49" fillId="0" borderId="3" xfId="1" applyFont="1" applyBorder="1" applyAlignment="1" applyProtection="1">
      <alignment horizontal="right"/>
      <protection locked="0"/>
    </xf>
    <xf numFmtId="0" fontId="30" fillId="4" borderId="2" xfId="1" applyFont="1" applyFill="1" applyBorder="1" applyAlignment="1" applyProtection="1">
      <alignment horizontal="right"/>
      <protection locked="0"/>
    </xf>
    <xf numFmtId="0" fontId="30" fillId="0" borderId="0" xfId="1" applyFont="1" applyProtection="1">
      <protection locked="0"/>
    </xf>
    <xf numFmtId="3" fontId="30" fillId="4" borderId="2" xfId="1" applyNumberFormat="1" applyFont="1" applyFill="1" applyBorder="1" applyAlignment="1" applyProtection="1">
      <alignment horizontal="right"/>
      <protection locked="0"/>
    </xf>
    <xf numFmtId="3" fontId="45" fillId="4" borderId="2" xfId="1" applyNumberFormat="1" applyFont="1" applyFill="1" applyBorder="1" applyAlignment="1" applyProtection="1">
      <alignment horizontal="right"/>
      <protection locked="0"/>
    </xf>
    <xf numFmtId="0" fontId="45" fillId="0" borderId="0" xfId="1" applyFont="1" applyProtection="1">
      <protection locked="0"/>
    </xf>
    <xf numFmtId="3" fontId="45" fillId="4" borderId="11" xfId="15" applyNumberFormat="1" applyFont="1" applyFill="1" applyBorder="1" applyAlignment="1" applyProtection="1">
      <alignment horizontal="right"/>
    </xf>
    <xf numFmtId="3" fontId="45" fillId="4" borderId="11" xfId="15" applyNumberFormat="1" applyFont="1" applyFill="1" applyBorder="1" applyAlignment="1" applyProtection="1">
      <alignment horizontal="right"/>
      <protection locked="0"/>
    </xf>
    <xf numFmtId="0" fontId="45" fillId="4" borderId="6" xfId="1" applyFont="1" applyFill="1" applyBorder="1" applyAlignment="1" applyProtection="1">
      <alignment horizontal="right"/>
      <protection locked="0"/>
    </xf>
    <xf numFmtId="0" fontId="45" fillId="4" borderId="5" xfId="1" applyFont="1" applyFill="1" applyBorder="1" applyAlignment="1" applyProtection="1">
      <alignment horizontal="right"/>
      <protection locked="0"/>
    </xf>
    <xf numFmtId="0" fontId="45" fillId="0" borderId="6" xfId="1" applyFont="1" applyBorder="1" applyAlignment="1" applyProtection="1">
      <alignment horizontal="right"/>
      <protection locked="0"/>
    </xf>
    <xf numFmtId="0" fontId="45" fillId="0" borderId="7" xfId="1" applyFont="1" applyFill="1" applyBorder="1" applyProtection="1">
      <protection locked="0"/>
    </xf>
    <xf numFmtId="3" fontId="45" fillId="4" borderId="1" xfId="14" applyNumberFormat="1" applyFont="1" applyFill="1" applyBorder="1" applyAlignment="1" applyProtection="1">
      <alignment horizontal="right"/>
    </xf>
    <xf numFmtId="3" fontId="45" fillId="4" borderId="1" xfId="14" applyNumberFormat="1" applyFont="1" applyFill="1" applyBorder="1" applyAlignment="1" applyProtection="1">
      <alignment horizontal="right"/>
      <protection locked="0"/>
    </xf>
    <xf numFmtId="3" fontId="45" fillId="4" borderId="1" xfId="1" applyNumberFormat="1" applyFont="1" applyFill="1" applyBorder="1" applyAlignment="1" applyProtection="1">
      <alignment horizontal="right"/>
      <protection locked="0"/>
    </xf>
    <xf numFmtId="0" fontId="45" fillId="4" borderId="1" xfId="1" applyFont="1" applyFill="1" applyBorder="1" applyAlignment="1" applyProtection="1">
      <alignment horizontal="right"/>
      <protection locked="0"/>
    </xf>
    <xf numFmtId="0" fontId="45" fillId="0" borderId="7" xfId="1" applyFont="1" applyBorder="1" applyAlignment="1" applyProtection="1">
      <alignment horizontal="right"/>
      <protection locked="0"/>
    </xf>
    <xf numFmtId="0" fontId="45" fillId="0" borderId="0" xfId="1" applyFont="1" applyFill="1" applyProtection="1">
      <protection locked="0"/>
    </xf>
    <xf numFmtId="0" fontId="30" fillId="0" borderId="0" xfId="1" applyFont="1" applyFill="1" applyProtection="1">
      <protection locked="0"/>
    </xf>
    <xf numFmtId="0" fontId="61" fillId="0" borderId="0" xfId="1" applyFont="1" applyBorder="1" applyProtection="1">
      <protection locked="0"/>
    </xf>
    <xf numFmtId="0" fontId="61" fillId="0" borderId="0" xfId="1" applyFont="1" applyProtection="1">
      <protection locked="0"/>
    </xf>
    <xf numFmtId="0" fontId="70" fillId="0" borderId="0" xfId="1" applyFont="1" applyProtection="1">
      <protection locked="0"/>
    </xf>
    <xf numFmtId="0" fontId="70" fillId="0" borderId="0" xfId="1" applyFont="1" applyBorder="1" applyProtection="1">
      <protection locked="0"/>
    </xf>
    <xf numFmtId="4" fontId="70" fillId="0" borderId="0" xfId="1" applyNumberFormat="1" applyFont="1" applyProtection="1">
      <protection locked="0"/>
    </xf>
    <xf numFmtId="3" fontId="70" fillId="0" borderId="0" xfId="1" applyNumberFormat="1" applyFont="1" applyProtection="1">
      <protection locked="0"/>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0"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Fill="1" applyBorder="1" applyAlignment="1">
      <alignment horizontal="center"/>
    </xf>
    <xf numFmtId="0" fontId="17" fillId="0" borderId="6" xfId="0" applyFont="1" applyFill="1" applyBorder="1"/>
    <xf numFmtId="3" fontId="17" fillId="0" borderId="3" xfId="847" applyNumberFormat="1" applyFont="1" applyBorder="1" applyAlignment="1">
      <alignment horizontal="left"/>
    </xf>
    <xf numFmtId="0" fontId="15" fillId="0" borderId="6" xfId="1" applyFont="1" applyFill="1" applyBorder="1"/>
    <xf numFmtId="3" fontId="17" fillId="0" borderId="3" xfId="847" applyNumberFormat="1" applyFont="1" applyFill="1" applyBorder="1" applyAlignment="1">
      <alignment horizontal="left"/>
    </xf>
    <xf numFmtId="0" fontId="15" fillId="0" borderId="4" xfId="1" applyFont="1" applyFill="1" applyBorder="1"/>
    <xf numFmtId="0" fontId="15" fillId="0" borderId="11" xfId="1" applyFont="1" applyFill="1" applyBorder="1"/>
    <xf numFmtId="0" fontId="45" fillId="2" borderId="3" xfId="0" applyFont="1" applyFill="1" applyBorder="1" applyProtection="1">
      <protection locked="0"/>
    </xf>
    <xf numFmtId="0" fontId="45" fillId="2" borderId="6" xfId="0" applyFont="1" applyFill="1" applyBorder="1" applyProtection="1">
      <protection locked="0"/>
    </xf>
    <xf numFmtId="3" fontId="30" fillId="4" borderId="1" xfId="0" applyNumberFormat="1" applyFont="1" applyFill="1" applyBorder="1" applyAlignment="1" applyProtection="1">
      <alignment horizontal="right"/>
    </xf>
    <xf numFmtId="3" fontId="30" fillId="4" borderId="1" xfId="0" applyNumberFormat="1" applyFont="1" applyFill="1" applyBorder="1" applyAlignment="1" applyProtection="1">
      <alignment horizontal="right"/>
      <protection locked="0"/>
    </xf>
    <xf numFmtId="3" fontId="45" fillId="0" borderId="6" xfId="0" applyNumberFormat="1" applyFont="1" applyFill="1" applyBorder="1" applyAlignment="1" applyProtection="1">
      <alignment horizontal="right"/>
    </xf>
    <xf numFmtId="3" fontId="45" fillId="0" borderId="6" xfId="0" applyNumberFormat="1" applyFont="1" applyFill="1" applyBorder="1" applyAlignment="1" applyProtection="1">
      <alignment horizontal="right"/>
      <protection locked="0"/>
    </xf>
    <xf numFmtId="1" fontId="13" fillId="0" borderId="11" xfId="1" applyNumberFormat="1" applyFont="1" applyBorder="1" applyAlignment="1">
      <alignment horizontal="center"/>
    </xf>
    <xf numFmtId="0" fontId="30" fillId="0" borderId="3" xfId="0" applyFont="1" applyBorder="1" applyAlignment="1" applyProtection="1">
      <alignment horizontal="right"/>
    </xf>
    <xf numFmtId="0" fontId="30" fillId="0" borderId="3" xfId="0" applyFont="1" applyBorder="1" applyAlignment="1" applyProtection="1">
      <alignment horizontal="right"/>
      <protection locked="0"/>
    </xf>
    <xf numFmtId="3" fontId="30" fillId="4" borderId="7" xfId="0" applyNumberFormat="1" applyFont="1" applyFill="1" applyBorder="1" applyAlignment="1" applyProtection="1">
      <alignment horizontal="right"/>
    </xf>
    <xf numFmtId="3" fontId="30" fillId="4" borderId="7" xfId="0" applyNumberFormat="1" applyFont="1" applyFill="1" applyBorder="1" applyAlignment="1" applyProtection="1">
      <alignment horizontal="right"/>
      <protection locked="0"/>
    </xf>
    <xf numFmtId="1" fontId="30" fillId="0" borderId="3" xfId="0" applyNumberFormat="1" applyFont="1" applyBorder="1" applyAlignment="1" applyProtection="1">
      <alignment horizontal="right"/>
    </xf>
    <xf numFmtId="1" fontId="30" fillId="0" borderId="3" xfId="0" applyNumberFormat="1" applyFont="1" applyBorder="1" applyAlignment="1" applyProtection="1">
      <alignment horizontal="right"/>
      <protection locked="0"/>
    </xf>
    <xf numFmtId="3" fontId="30" fillId="4" borderId="0" xfId="0" applyNumberFormat="1" applyFont="1" applyFill="1" applyBorder="1" applyAlignment="1" applyProtection="1">
      <alignment horizontal="right"/>
    </xf>
    <xf numFmtId="3" fontId="30" fillId="4" borderId="0" xfId="0" applyNumberFormat="1" applyFont="1" applyFill="1" applyBorder="1" applyAlignment="1" applyProtection="1">
      <alignment horizontal="right"/>
      <protection locked="0"/>
    </xf>
    <xf numFmtId="3" fontId="36" fillId="0" borderId="0" xfId="0" applyNumberFormat="1" applyFont="1"/>
    <xf numFmtId="168" fontId="17" fillId="3" borderId="7" xfId="1" applyNumberFormat="1" applyFont="1" applyFill="1" applyBorder="1" applyAlignment="1">
      <alignment horizontal="right"/>
    </xf>
    <xf numFmtId="3" fontId="17" fillId="0" borderId="8" xfId="1" applyNumberFormat="1" applyFont="1" applyFill="1" applyBorder="1"/>
    <xf numFmtId="3" fontId="15" fillId="0" borderId="6" xfId="1" applyNumberFormat="1" applyFont="1" applyFill="1" applyBorder="1"/>
    <xf numFmtId="3" fontId="15" fillId="0" borderId="11" xfId="1" applyNumberFormat="1" applyFont="1" applyFill="1" applyBorder="1"/>
    <xf numFmtId="3" fontId="0" fillId="0" borderId="0" xfId="0" applyNumberFormat="1" applyFill="1"/>
    <xf numFmtId="0" fontId="41" fillId="0" borderId="0" xfId="7" applyFont="1" applyFill="1"/>
    <xf numFmtId="0" fontId="19" fillId="0" borderId="0" xfId="7"/>
    <xf numFmtId="165" fontId="19" fillId="0" borderId="0" xfId="7" applyNumberFormat="1"/>
    <xf numFmtId="3" fontId="58" fillId="0" borderId="0" xfId="7" applyNumberFormat="1" applyFont="1" applyFill="1"/>
    <xf numFmtId="165" fontId="19" fillId="0" borderId="0" xfId="7" applyNumberFormat="1" applyBorder="1"/>
    <xf numFmtId="14" fontId="13" fillId="0" borderId="7" xfId="7" applyNumberFormat="1" applyFont="1" applyFill="1" applyBorder="1" applyAlignment="1">
      <alignment horizontal="left"/>
    </xf>
    <xf numFmtId="0" fontId="17" fillId="0" borderId="10" xfId="7" applyFont="1" applyBorder="1"/>
    <xf numFmtId="0" fontId="17" fillId="0" borderId="8" xfId="7" applyFont="1" applyBorder="1"/>
    <xf numFmtId="0" fontId="17" fillId="0" borderId="9" xfId="7" applyFont="1" applyBorder="1"/>
    <xf numFmtId="0" fontId="69" fillId="0" borderId="8" xfId="7" applyFont="1" applyBorder="1" applyAlignment="1">
      <alignment horizontal="center"/>
    </xf>
    <xf numFmtId="165" fontId="17" fillId="4" borderId="0" xfId="7" applyNumberFormat="1" applyFont="1" applyFill="1" applyBorder="1"/>
    <xf numFmtId="0" fontId="17" fillId="4" borderId="0" xfId="7" applyFont="1" applyFill="1" applyBorder="1"/>
    <xf numFmtId="3" fontId="45" fillId="0" borderId="1" xfId="7" applyNumberFormat="1" applyFont="1" applyFill="1" applyBorder="1"/>
    <xf numFmtId="0" fontId="45" fillId="0" borderId="1" xfId="7" applyNumberFormat="1" applyFont="1" applyFill="1" applyBorder="1" applyAlignment="1">
      <alignment horizontal="center"/>
    </xf>
    <xf numFmtId="0" fontId="45" fillId="0" borderId="14" xfId="7" applyNumberFormat="1" applyFont="1" applyFill="1" applyBorder="1" applyAlignment="1">
      <alignment horizontal="center"/>
    </xf>
    <xf numFmtId="0" fontId="45" fillId="0" borderId="15" xfId="7" applyNumberFormat="1" applyFont="1" applyFill="1" applyBorder="1" applyAlignment="1">
      <alignment horizontal="center"/>
    </xf>
    <xf numFmtId="0" fontId="19" fillId="0" borderId="0" xfId="7" applyBorder="1"/>
    <xf numFmtId="0" fontId="45" fillId="4" borderId="0" xfId="7" applyNumberFormat="1" applyFont="1" applyFill="1" applyBorder="1" applyAlignment="1">
      <alignment horizontal="center"/>
    </xf>
    <xf numFmtId="3" fontId="45" fillId="0" borderId="4" xfId="7" applyNumberFormat="1" applyFont="1" applyFill="1" applyBorder="1"/>
    <xf numFmtId="0" fontId="15" fillId="0" borderId="1" xfId="7" applyNumberFormat="1" applyFont="1" applyFill="1" applyBorder="1" applyAlignment="1">
      <alignment horizontal="center"/>
    </xf>
    <xf numFmtId="0" fontId="15" fillId="0" borderId="7" xfId="7" applyNumberFormat="1" applyFont="1" applyFill="1" applyBorder="1" applyAlignment="1">
      <alignment horizontal="center"/>
    </xf>
    <xf numFmtId="3" fontId="50" fillId="4" borderId="11" xfId="7" applyNumberFormat="1" applyFont="1" applyFill="1" applyBorder="1"/>
    <xf numFmtId="0" fontId="13" fillId="0" borderId="6" xfId="7" applyFont="1" applyFill="1" applyBorder="1" applyAlignment="1">
      <alignment horizontal="center"/>
    </xf>
    <xf numFmtId="169" fontId="15" fillId="0" borderId="6" xfId="7" applyNumberFormat="1" applyFont="1" applyFill="1" applyBorder="1" applyAlignment="1">
      <alignment horizontal="center"/>
    </xf>
    <xf numFmtId="169" fontId="13" fillId="4" borderId="0" xfId="7" applyNumberFormat="1" applyFont="1" applyFill="1" applyBorder="1" applyAlignment="1">
      <alignment horizontal="center"/>
    </xf>
    <xf numFmtId="0" fontId="13" fillId="4" borderId="0" xfId="7" applyNumberFormat="1" applyFont="1" applyFill="1" applyBorder="1" applyAlignment="1">
      <alignment horizontal="center"/>
    </xf>
    <xf numFmtId="4" fontId="30" fillId="4" borderId="3" xfId="849" applyNumberFormat="1" applyFont="1" applyFill="1" applyBorder="1" applyAlignment="1" applyProtection="1">
      <alignment horizontal="right"/>
      <protection locked="0"/>
    </xf>
    <xf numFmtId="4" fontId="30" fillId="4" borderId="3" xfId="7" applyNumberFormat="1" applyFont="1" applyFill="1" applyBorder="1" applyAlignment="1">
      <alignment horizontal="right"/>
    </xf>
    <xf numFmtId="4" fontId="30" fillId="4" borderId="4" xfId="849" applyNumberFormat="1" applyFont="1" applyFill="1" applyBorder="1" applyAlignment="1" applyProtection="1">
      <alignment horizontal="right"/>
      <protection locked="0"/>
    </xf>
    <xf numFmtId="4" fontId="30" fillId="4" borderId="4" xfId="7" applyNumberFormat="1" applyFont="1" applyFill="1" applyBorder="1" applyAlignment="1">
      <alignment horizontal="right"/>
    </xf>
    <xf numFmtId="4" fontId="30" fillId="4" borderId="7" xfId="7" applyNumberFormat="1" applyFont="1" applyFill="1" applyBorder="1" applyAlignment="1">
      <alignment horizontal="right"/>
    </xf>
    <xf numFmtId="4" fontId="30" fillId="4" borderId="3" xfId="7" applyNumberFormat="1" applyFont="1" applyFill="1" applyBorder="1" applyAlignment="1" applyProtection="1">
      <alignment horizontal="right"/>
    </xf>
    <xf numFmtId="0" fontId="36" fillId="0" borderId="0" xfId="7" applyFont="1" applyBorder="1"/>
    <xf numFmtId="0" fontId="36" fillId="0" borderId="0" xfId="7" applyFont="1"/>
    <xf numFmtId="3" fontId="30" fillId="4" borderId="3" xfId="7" applyNumberFormat="1" applyFont="1" applyFill="1" applyBorder="1" applyAlignment="1">
      <alignment horizontal="right"/>
    </xf>
    <xf numFmtId="0" fontId="53" fillId="0" borderId="0" xfId="7" applyFont="1" applyBorder="1"/>
    <xf numFmtId="0" fontId="53" fillId="0" borderId="0" xfId="7" applyFont="1"/>
    <xf numFmtId="3" fontId="30" fillId="4" borderId="3" xfId="7" applyNumberFormat="1" applyFont="1" applyFill="1" applyBorder="1" applyAlignment="1" applyProtection="1">
      <alignment horizontal="right"/>
    </xf>
    <xf numFmtId="4" fontId="30" fillId="4" borderId="3" xfId="0" applyNumberFormat="1" applyFont="1" applyFill="1" applyBorder="1" applyAlignment="1" applyProtection="1">
      <alignment horizontal="right"/>
      <protection locked="0"/>
    </xf>
    <xf numFmtId="3" fontId="30" fillId="4" borderId="3" xfId="849" applyNumberFormat="1" applyFont="1" applyFill="1" applyBorder="1" applyAlignment="1" applyProtection="1">
      <alignment horizontal="right"/>
      <protection locked="0"/>
    </xf>
    <xf numFmtId="3" fontId="30" fillId="4" borderId="4" xfId="849" applyNumberFormat="1" applyFont="1" applyFill="1" applyBorder="1" applyAlignment="1" applyProtection="1">
      <alignment horizontal="right"/>
      <protection locked="0"/>
    </xf>
    <xf numFmtId="3" fontId="30" fillId="4" borderId="4" xfId="7" applyNumberFormat="1" applyFont="1" applyFill="1" applyBorder="1" applyAlignment="1">
      <alignment horizontal="right"/>
    </xf>
    <xf numFmtId="3" fontId="30" fillId="4" borderId="3" xfId="7" applyNumberFormat="1" applyFont="1" applyFill="1" applyBorder="1" applyAlignment="1" applyProtection="1">
      <alignment horizontal="right"/>
      <protection locked="0"/>
    </xf>
    <xf numFmtId="3" fontId="30" fillId="4" borderId="6" xfId="849" applyNumberFormat="1" applyFont="1" applyFill="1" applyBorder="1" applyAlignment="1" applyProtection="1">
      <alignment horizontal="right"/>
      <protection locked="0"/>
    </xf>
    <xf numFmtId="3" fontId="30" fillId="4" borderId="6" xfId="7" applyNumberFormat="1" applyFont="1" applyFill="1" applyBorder="1" applyAlignment="1">
      <alignment horizontal="right"/>
    </xf>
    <xf numFmtId="3" fontId="30" fillId="0" borderId="11" xfId="849" applyNumberFormat="1" applyFont="1" applyFill="1" applyBorder="1" applyAlignment="1" applyProtection="1">
      <alignment horizontal="right"/>
      <protection locked="0"/>
    </xf>
    <xf numFmtId="3" fontId="30" fillId="0" borderId="11" xfId="7" applyNumberFormat="1" applyFont="1" applyFill="1" applyBorder="1" applyAlignment="1">
      <alignment horizontal="right"/>
    </xf>
    <xf numFmtId="3" fontId="30" fillId="4" borderId="6" xfId="7" applyNumberFormat="1" applyFont="1" applyFill="1" applyBorder="1" applyAlignment="1" applyProtection="1">
      <alignment horizontal="right"/>
      <protection locked="0"/>
    </xf>
    <xf numFmtId="3" fontId="30" fillId="4" borderId="11" xfId="849" applyNumberFormat="1" applyFont="1" applyFill="1" applyBorder="1" applyAlignment="1" applyProtection="1">
      <alignment horizontal="right"/>
      <protection locked="0"/>
    </xf>
    <xf numFmtId="3" fontId="30" fillId="4" borderId="11" xfId="7" applyNumberFormat="1" applyFont="1" applyFill="1" applyBorder="1" applyAlignment="1">
      <alignment horizontal="right"/>
    </xf>
    <xf numFmtId="3" fontId="30" fillId="4" borderId="6" xfId="7" applyNumberFormat="1" applyFont="1" applyFill="1" applyBorder="1" applyAlignment="1" applyProtection="1">
      <alignment horizontal="right"/>
    </xf>
    <xf numFmtId="0" fontId="30" fillId="0" borderId="0" xfId="7" applyFont="1" applyFill="1"/>
    <xf numFmtId="0" fontId="30" fillId="0" borderId="0" xfId="7" applyFont="1"/>
    <xf numFmtId="0" fontId="45" fillId="0" borderId="7" xfId="7" applyFont="1" applyFill="1" applyBorder="1"/>
    <xf numFmtId="4" fontId="30" fillId="4" borderId="7" xfId="849" applyNumberFormat="1" applyFont="1" applyFill="1" applyBorder="1" applyAlignment="1" applyProtection="1">
      <alignment horizontal="right"/>
      <protection locked="0"/>
    </xf>
    <xf numFmtId="4" fontId="30" fillId="4" borderId="7" xfId="7" applyNumberFormat="1" applyFont="1" applyFill="1" applyBorder="1" applyAlignment="1" applyProtection="1">
      <alignment horizontal="right"/>
    </xf>
    <xf numFmtId="0" fontId="30" fillId="0" borderId="3" xfId="7" applyFont="1" applyFill="1" applyBorder="1"/>
    <xf numFmtId="0" fontId="30" fillId="0" borderId="6" xfId="7" applyFont="1" applyFill="1" applyBorder="1"/>
    <xf numFmtId="2" fontId="30" fillId="4" borderId="3" xfId="848" applyNumberFormat="1" applyFont="1" applyFill="1" applyBorder="1" applyAlignment="1">
      <alignment horizontal="right"/>
    </xf>
    <xf numFmtId="14" fontId="30" fillId="0" borderId="0" xfId="1" applyNumberFormat="1" applyFont="1" applyAlignment="1">
      <alignment horizontal="center"/>
    </xf>
    <xf numFmtId="0" fontId="15" fillId="8" borderId="0" xfId="0" applyFont="1" applyFill="1" applyBorder="1" applyAlignment="1">
      <alignment horizontal="center"/>
    </xf>
    <xf numFmtId="0" fontId="15" fillId="8" borderId="2" xfId="0" applyFont="1" applyFill="1" applyBorder="1" applyAlignment="1">
      <alignment horizontal="center"/>
    </xf>
    <xf numFmtId="0" fontId="45" fillId="0" borderId="12" xfId="0" applyFont="1" applyBorder="1" applyAlignment="1">
      <alignment horizontal="left"/>
    </xf>
    <xf numFmtId="0" fontId="45" fillId="0" borderId="10"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15" fillId="8" borderId="4" xfId="0" applyFont="1" applyFill="1" applyBorder="1" applyAlignment="1">
      <alignment horizontal="center"/>
    </xf>
    <xf numFmtId="0" fontId="45" fillId="0" borderId="14" xfId="0" applyFont="1" applyBorder="1" applyAlignment="1">
      <alignment horizontal="center"/>
    </xf>
    <xf numFmtId="0" fontId="45" fillId="0" borderId="15" xfId="0" applyFont="1" applyBorder="1" applyAlignment="1">
      <alignment horizontal="center"/>
    </xf>
    <xf numFmtId="0" fontId="45" fillId="0" borderId="1" xfId="0" applyFont="1" applyBorder="1" applyAlignment="1">
      <alignment horizontal="center"/>
    </xf>
    <xf numFmtId="14" fontId="13" fillId="0" borderId="11" xfId="0" applyNumberFormat="1" applyFont="1" applyFill="1" applyBorder="1" applyAlignment="1">
      <alignment horizontal="center"/>
    </xf>
    <xf numFmtId="14" fontId="13" fillId="0" borderId="12" xfId="0" applyNumberFormat="1" applyFont="1" applyFill="1" applyBorder="1" applyAlignment="1">
      <alignment horizontal="center"/>
    </xf>
    <xf numFmtId="14" fontId="13" fillId="0" borderId="5" xfId="0" applyNumberFormat="1" applyFont="1" applyFill="1" applyBorder="1" applyAlignment="1">
      <alignment horizontal="center"/>
    </xf>
    <xf numFmtId="3" fontId="45" fillId="0" borderId="11" xfId="0" applyNumberFormat="1" applyFont="1" applyBorder="1" applyAlignment="1">
      <alignment horizontal="center"/>
    </xf>
    <xf numFmtId="3" fontId="45" fillId="0" borderId="12" xfId="0" applyNumberFormat="1" applyFont="1" applyBorder="1" applyAlignment="1">
      <alignment horizontal="center"/>
    </xf>
    <xf numFmtId="3" fontId="45" fillId="0" borderId="5" xfId="0" applyNumberFormat="1" applyFont="1" applyBorder="1" applyAlignment="1">
      <alignment horizontal="center"/>
    </xf>
    <xf numFmtId="0" fontId="13" fillId="0" borderId="0" xfId="1" applyFont="1" applyBorder="1" applyAlignment="1">
      <alignment horizontal="center"/>
    </xf>
    <xf numFmtId="0" fontId="15" fillId="0" borderId="10" xfId="1" applyFont="1" applyBorder="1" applyAlignment="1">
      <alignment horizontal="center"/>
    </xf>
    <xf numFmtId="0" fontId="15" fillId="0" borderId="8" xfId="1" applyFont="1" applyBorder="1" applyAlignment="1">
      <alignment horizontal="center"/>
    </xf>
    <xf numFmtId="0" fontId="15" fillId="0" borderId="9" xfId="1" applyFont="1" applyBorder="1" applyAlignment="1">
      <alignment horizontal="center"/>
    </xf>
    <xf numFmtId="0" fontId="13" fillId="0" borderId="0" xfId="1" applyFont="1" applyFill="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12" xfId="1" applyNumberFormat="1" applyFont="1" applyBorder="1" applyAlignment="1">
      <alignment horizontal="center"/>
    </xf>
    <xf numFmtId="3" fontId="13" fillId="0" borderId="14" xfId="1" applyNumberFormat="1" applyFont="1" applyFill="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0" fontId="45" fillId="0" borderId="11" xfId="1" applyNumberFormat="1" applyFont="1" applyFill="1" applyBorder="1" applyAlignment="1" applyProtection="1">
      <alignment horizontal="center"/>
      <protection locked="0"/>
    </xf>
    <xf numFmtId="0" fontId="45" fillId="0" borderId="12" xfId="1" applyNumberFormat="1" applyFont="1" applyFill="1" applyBorder="1" applyAlignment="1" applyProtection="1">
      <alignment horizontal="center"/>
      <protection locked="0"/>
    </xf>
    <xf numFmtId="0" fontId="45" fillId="0" borderId="5" xfId="1" applyNumberFormat="1" applyFont="1" applyFill="1" applyBorder="1" applyAlignment="1" applyProtection="1">
      <alignment horizontal="center"/>
      <protection locked="0"/>
    </xf>
    <xf numFmtId="0" fontId="45" fillId="0" borderId="11" xfId="1" applyFont="1" applyBorder="1" applyAlignment="1" applyProtection="1">
      <alignment horizontal="center"/>
      <protection locked="0"/>
    </xf>
    <xf numFmtId="0" fontId="45" fillId="0" borderId="12" xfId="1" applyFont="1" applyBorder="1" applyAlignment="1" applyProtection="1">
      <alignment horizontal="center"/>
      <protection locked="0"/>
    </xf>
    <xf numFmtId="0" fontId="45" fillId="0" borderId="5" xfId="1" applyFont="1" applyBorder="1" applyAlignment="1" applyProtection="1">
      <alignment horizontal="center"/>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1" applyFont="1" applyBorder="1" applyAlignment="1" applyProtection="1">
      <alignment horizontal="center"/>
      <protection locked="0"/>
    </xf>
    <xf numFmtId="0" fontId="45" fillId="0" borderId="14" xfId="1" applyFont="1" applyBorder="1" applyAlignment="1" applyProtection="1">
      <alignment horizontal="center"/>
      <protection locked="0"/>
    </xf>
    <xf numFmtId="0" fontId="45" fillId="0" borderId="15" xfId="1" applyFont="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4" borderId="0" xfId="0" applyNumberFormat="1" applyFont="1" applyFill="1" applyBorder="1" applyAlignment="1" applyProtection="1">
      <alignment horizontal="center"/>
      <protection locked="0"/>
    </xf>
    <xf numFmtId="0" fontId="45" fillId="0" borderId="11" xfId="0" applyNumberFormat="1" applyFont="1" applyFill="1" applyBorder="1" applyAlignment="1" applyProtection="1">
      <alignment horizontal="center"/>
      <protection locked="0"/>
    </xf>
    <xf numFmtId="0" fontId="45" fillId="0" borderId="12" xfId="0" applyNumberFormat="1" applyFont="1" applyFill="1" applyBorder="1" applyAlignment="1" applyProtection="1">
      <alignment horizontal="center"/>
      <protection locked="0"/>
    </xf>
    <xf numFmtId="0" fontId="45" fillId="0" borderId="5" xfId="0" applyNumberFormat="1" applyFont="1" applyFill="1" applyBorder="1" applyAlignment="1" applyProtection="1">
      <alignment horizontal="center"/>
      <protection locked="0"/>
    </xf>
    <xf numFmtId="0" fontId="45" fillId="0" borderId="1" xfId="7" applyNumberFormat="1" applyFont="1" applyFill="1" applyBorder="1" applyAlignment="1">
      <alignment horizontal="center"/>
    </xf>
    <xf numFmtId="0" fontId="45" fillId="0" borderId="14" xfId="7" applyNumberFormat="1" applyFont="1" applyFill="1" applyBorder="1" applyAlignment="1">
      <alignment horizontal="center"/>
    </xf>
    <xf numFmtId="0" fontId="45" fillId="0" borderId="15" xfId="7" applyNumberFormat="1" applyFont="1" applyFill="1" applyBorder="1" applyAlignment="1">
      <alignment horizontal="center"/>
    </xf>
    <xf numFmtId="0" fontId="45" fillId="4" borderId="0" xfId="7" applyNumberFormat="1" applyFont="1" applyFill="1" applyBorder="1" applyAlignment="1">
      <alignment horizontal="center"/>
    </xf>
    <xf numFmtId="0" fontId="45" fillId="0" borderId="11" xfId="7" applyNumberFormat="1" applyFont="1" applyFill="1" applyBorder="1" applyAlignment="1">
      <alignment horizontal="center"/>
    </xf>
    <xf numFmtId="0" fontId="45" fillId="0" borderId="12" xfId="7" applyNumberFormat="1" applyFont="1" applyFill="1" applyBorder="1" applyAlignment="1">
      <alignment horizontal="center"/>
    </xf>
    <xf numFmtId="0" fontId="45" fillId="0" borderId="5" xfId="7" applyNumberFormat="1" applyFont="1" applyFill="1" applyBorder="1" applyAlignment="1">
      <alignment horizontal="center"/>
    </xf>
  </cellXfs>
  <cellStyles count="850">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8 2" xfId="849" xr:uid="{3145A3E3-4D8B-4683-9D6A-73982446C900}"/>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Prosent" xfId="848" builtinId="5"/>
    <cellStyle name="Tusenskille 2" xfId="14" xr:uid="{00000000-0005-0000-0000-00003C020000}"/>
    <cellStyle name="Tusenskille 2 2" xfId="15" xr:uid="{00000000-0005-0000-0000-00003D020000}"/>
    <cellStyle name="Tusenskille 2 2 2" xfId="751" xr:uid="{00000000-0005-0000-0000-00003E020000}"/>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160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onnections" Target="connections.xml"/><Relationship Id="rId46" Type="http://schemas.openxmlformats.org/officeDocument/2006/relationships/customXml" Target="../customXml/item5.xml"/><Relationship Id="rId20" Type="http://schemas.openxmlformats.org/officeDocument/2006/relationships/worksheet" Target="worksheets/sheet20.xml"/><Relationship Id="rId41"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Figurer!$M$8</c:f>
              <c:strCache>
                <c:ptCount val="1"/>
                <c:pt idx="0">
                  <c:v>2017</c:v>
                </c:pt>
              </c:strCache>
            </c:strRef>
          </c:tx>
          <c:invertIfNegative val="0"/>
          <c:cat>
            <c:strRef>
              <c:f>Figurer!$L$10:$L$30</c:f>
              <c:strCache>
                <c:ptCount val="21"/>
                <c:pt idx="0">
                  <c:v>Danica Pensjon</c:v>
                </c:pt>
                <c:pt idx="1">
                  <c:v>DNB Liv</c:v>
                </c:pt>
                <c:pt idx="2">
                  <c:v>Eika Forsikring</c:v>
                </c:pt>
                <c:pt idx="3">
                  <c:v>Frende Livsfors</c:v>
                </c:pt>
                <c:pt idx="4">
                  <c:v>Frende Skade</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OPF</c:v>
                </c:pt>
                <c:pt idx="16">
                  <c:v>Protector Fors</c:v>
                </c:pt>
                <c:pt idx="17">
                  <c:v>SpareBank 1</c:v>
                </c:pt>
                <c:pt idx="18">
                  <c:v>Storebrand </c:v>
                </c:pt>
                <c:pt idx="19">
                  <c:v>Telenor Fors</c:v>
                </c:pt>
                <c:pt idx="20">
                  <c:v>Tryg Fors</c:v>
                </c:pt>
              </c:strCache>
            </c:strRef>
          </c:cat>
          <c:val>
            <c:numRef>
              <c:f>Figurer!$M$10:$M$30</c:f>
              <c:numCache>
                <c:formatCode>#,##0</c:formatCode>
                <c:ptCount val="21"/>
                <c:pt idx="0">
                  <c:v>296945.32299999997</c:v>
                </c:pt>
                <c:pt idx="1">
                  <c:v>4014341.2930000001</c:v>
                </c:pt>
                <c:pt idx="2">
                  <c:v>210802</c:v>
                </c:pt>
                <c:pt idx="3">
                  <c:v>437712.8</c:v>
                </c:pt>
                <c:pt idx="4">
                  <c:v>5631</c:v>
                </c:pt>
                <c:pt idx="5">
                  <c:v>1345481</c:v>
                </c:pt>
                <c:pt idx="6">
                  <c:v>397649.359</c:v>
                </c:pt>
                <c:pt idx="7">
                  <c:v>28772</c:v>
                </c:pt>
                <c:pt idx="8">
                  <c:v>349378.46600000001</c:v>
                </c:pt>
                <c:pt idx="9">
                  <c:v>23695892.482170001</c:v>
                </c:pt>
                <c:pt idx="10">
                  <c:v>61324</c:v>
                </c:pt>
                <c:pt idx="11">
                  <c:v>138577.38699999999</c:v>
                </c:pt>
                <c:pt idx="12">
                  <c:v>24813</c:v>
                </c:pt>
                <c:pt idx="13">
                  <c:v>2011</c:v>
                </c:pt>
                <c:pt idx="14">
                  <c:v>1392867.1153005019</c:v>
                </c:pt>
                <c:pt idx="15">
                  <c:v>3152879</c:v>
                </c:pt>
                <c:pt idx="16">
                  <c:v>0</c:v>
                </c:pt>
                <c:pt idx="17">
                  <c:v>2146555.9024900002</c:v>
                </c:pt>
                <c:pt idx="18">
                  <c:v>4796050.1289999997</c:v>
                </c:pt>
                <c:pt idx="19">
                  <c:v>23751</c:v>
                </c:pt>
                <c:pt idx="20">
                  <c:v>487718.42099999997</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2018</c:v>
                </c:pt>
              </c:strCache>
            </c:strRef>
          </c:tx>
          <c:invertIfNegative val="0"/>
          <c:cat>
            <c:strRef>
              <c:f>Figurer!$L$10:$L$30</c:f>
              <c:strCache>
                <c:ptCount val="21"/>
                <c:pt idx="0">
                  <c:v>Danica Pensjon</c:v>
                </c:pt>
                <c:pt idx="1">
                  <c:v>DNB Liv</c:v>
                </c:pt>
                <c:pt idx="2">
                  <c:v>Eika Forsikring</c:v>
                </c:pt>
                <c:pt idx="3">
                  <c:v>Frende Livsfors</c:v>
                </c:pt>
                <c:pt idx="4">
                  <c:v>Frende Skade</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OPF</c:v>
                </c:pt>
                <c:pt idx="16">
                  <c:v>Protector Fors</c:v>
                </c:pt>
                <c:pt idx="17">
                  <c:v>SpareBank 1</c:v>
                </c:pt>
                <c:pt idx="18">
                  <c:v>Storebrand </c:v>
                </c:pt>
                <c:pt idx="19">
                  <c:v>Telenor Fors</c:v>
                </c:pt>
                <c:pt idx="20">
                  <c:v>Tryg Fors</c:v>
                </c:pt>
              </c:strCache>
            </c:strRef>
          </c:cat>
          <c:val>
            <c:numRef>
              <c:f>Figurer!$N$10:$N$30</c:f>
              <c:numCache>
                <c:formatCode>#,##0</c:formatCode>
                <c:ptCount val="21"/>
                <c:pt idx="0">
                  <c:v>311903.85599999997</c:v>
                </c:pt>
                <c:pt idx="1">
                  <c:v>3693482</c:v>
                </c:pt>
                <c:pt idx="2">
                  <c:v>228170</c:v>
                </c:pt>
                <c:pt idx="3">
                  <c:v>463177</c:v>
                </c:pt>
                <c:pt idx="4">
                  <c:v>6101</c:v>
                </c:pt>
                <c:pt idx="5">
                  <c:v>1376815</c:v>
                </c:pt>
                <c:pt idx="6">
                  <c:v>448350</c:v>
                </c:pt>
                <c:pt idx="7">
                  <c:v>27672</c:v>
                </c:pt>
                <c:pt idx="8">
                  <c:v>354933.20600000001</c:v>
                </c:pt>
                <c:pt idx="9">
                  <c:v>31138078.29101</c:v>
                </c:pt>
                <c:pt idx="10">
                  <c:v>66367</c:v>
                </c:pt>
                <c:pt idx="11">
                  <c:v>126445.98299999999</c:v>
                </c:pt>
                <c:pt idx="12">
                  <c:v>24377</c:v>
                </c:pt>
                <c:pt idx="13">
                  <c:v>1079</c:v>
                </c:pt>
                <c:pt idx="14">
                  <c:v>1223827.0734030721</c:v>
                </c:pt>
                <c:pt idx="15">
                  <c:v>4003368.5150000001</c:v>
                </c:pt>
                <c:pt idx="16">
                  <c:v>299297.71739252901</c:v>
                </c:pt>
                <c:pt idx="17">
                  <c:v>2103059.9592800001</c:v>
                </c:pt>
                <c:pt idx="18">
                  <c:v>4517436.4090000009</c:v>
                </c:pt>
                <c:pt idx="19">
                  <c:v>20446</c:v>
                </c:pt>
                <c:pt idx="20">
                  <c:v>494563</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Figurer!$M$36</c:f>
              <c:strCache>
                <c:ptCount val="1"/>
                <c:pt idx="0">
                  <c:v>2017</c:v>
                </c:pt>
              </c:strCache>
            </c:strRef>
          </c:tx>
          <c:invertIfNegative val="0"/>
          <c:cat>
            <c:strRef>
              <c:f>Figurer!$L$37:$L$46</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Figurer!$M$37:$M$46</c:f>
              <c:numCache>
                <c:formatCode>#,##0</c:formatCode>
                <c:ptCount val="10"/>
                <c:pt idx="0">
                  <c:v>1286598.7120000001</c:v>
                </c:pt>
                <c:pt idx="1">
                  <c:v>6258891</c:v>
                </c:pt>
                <c:pt idx="2">
                  <c:v>255316</c:v>
                </c:pt>
                <c:pt idx="3">
                  <c:v>1851333.284</c:v>
                </c:pt>
                <c:pt idx="4">
                  <c:v>84881.887000000002</c:v>
                </c:pt>
                <c:pt idx="5">
                  <c:v>262322</c:v>
                </c:pt>
                <c:pt idx="6">
                  <c:v>6592823.6751499996</c:v>
                </c:pt>
                <c:pt idx="7">
                  <c:v>84302</c:v>
                </c:pt>
                <c:pt idx="8">
                  <c:v>2157471.7934900001</c:v>
                </c:pt>
                <c:pt idx="9">
                  <c:v>7537662.6210000012</c:v>
                </c:pt>
              </c:numCache>
            </c:numRef>
          </c:val>
          <c:extLst>
            <c:ext xmlns:c16="http://schemas.microsoft.com/office/drawing/2014/chart" uri="{C3380CC4-5D6E-409C-BE32-E72D297353CC}">
              <c16:uniqueId val="{00000000-3971-4F9A-B5A3-CF52C774B823}"/>
            </c:ext>
          </c:extLst>
        </c:ser>
        <c:ser>
          <c:idx val="1"/>
          <c:order val="1"/>
          <c:tx>
            <c:strRef>
              <c:f>Figurer!$N$36</c:f>
              <c:strCache>
                <c:ptCount val="1"/>
                <c:pt idx="0">
                  <c:v>2018</c:v>
                </c:pt>
              </c:strCache>
            </c:strRef>
          </c:tx>
          <c:invertIfNegative val="0"/>
          <c:cat>
            <c:strRef>
              <c:f>Figurer!$L$37:$L$46</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Figurer!$N$37:$N$46</c:f>
              <c:numCache>
                <c:formatCode>#,##0</c:formatCode>
                <c:ptCount val="10"/>
                <c:pt idx="0">
                  <c:v>1378607.102</c:v>
                </c:pt>
                <c:pt idx="1">
                  <c:v>6459699</c:v>
                </c:pt>
                <c:pt idx="2">
                  <c:v>272300</c:v>
                </c:pt>
                <c:pt idx="3">
                  <c:v>2075074</c:v>
                </c:pt>
                <c:pt idx="4">
                  <c:v>116827.63</c:v>
                </c:pt>
                <c:pt idx="5">
                  <c:v>315306</c:v>
                </c:pt>
                <c:pt idx="6">
                  <c:v>6126379.0115300007</c:v>
                </c:pt>
                <c:pt idx="7">
                  <c:v>108843</c:v>
                </c:pt>
                <c:pt idx="8">
                  <c:v>2837915.8733999999</c:v>
                </c:pt>
                <c:pt idx="9">
                  <c:v>8177309.6540000001</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Figurer!$M$59</c:f>
              <c:strCache>
                <c:ptCount val="1"/>
                <c:pt idx="0">
                  <c:v>2017</c:v>
                </c:pt>
              </c:strCache>
            </c:strRef>
          </c:tx>
          <c:invertIfNegative val="0"/>
          <c:cat>
            <c:strRef>
              <c:f>Figurer!$L$60:$L$73</c:f>
              <c:strCache>
                <c:ptCount val="14"/>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SpareBank 1</c:v>
                </c:pt>
                <c:pt idx="13">
                  <c:v>Storebrand </c:v>
                </c:pt>
              </c:strCache>
            </c:strRef>
          </c:cat>
          <c:val>
            <c:numRef>
              <c:f>Figurer!$M$60:$M$73</c:f>
              <c:numCache>
                <c:formatCode>#,##0</c:formatCode>
                <c:ptCount val="14"/>
                <c:pt idx="0">
                  <c:v>1007145.416</c:v>
                </c:pt>
                <c:pt idx="1">
                  <c:v>203732853</c:v>
                </c:pt>
                <c:pt idx="2">
                  <c:v>0</c:v>
                </c:pt>
                <c:pt idx="3">
                  <c:v>771494</c:v>
                </c:pt>
                <c:pt idx="4">
                  <c:v>0</c:v>
                </c:pt>
                <c:pt idx="5">
                  <c:v>5849818.0779999997</c:v>
                </c:pt>
                <c:pt idx="6">
                  <c:v>24751</c:v>
                </c:pt>
                <c:pt idx="7">
                  <c:v>0</c:v>
                </c:pt>
                <c:pt idx="8">
                  <c:v>439040297.38777</c:v>
                </c:pt>
                <c:pt idx="9">
                  <c:v>1539670</c:v>
                </c:pt>
                <c:pt idx="10">
                  <c:v>49518955.082999974</c:v>
                </c:pt>
                <c:pt idx="11">
                  <c:v>69246198</c:v>
                </c:pt>
                <c:pt idx="12">
                  <c:v>18169216.95149</c:v>
                </c:pt>
                <c:pt idx="13">
                  <c:v>179943354.95199999</c:v>
                </c:pt>
              </c:numCache>
            </c:numRef>
          </c:val>
          <c:extLst>
            <c:ext xmlns:c16="http://schemas.microsoft.com/office/drawing/2014/chart" uri="{C3380CC4-5D6E-409C-BE32-E72D297353CC}">
              <c16:uniqueId val="{00000000-F5D7-4882-A9B6-45C2F0317A05}"/>
            </c:ext>
          </c:extLst>
        </c:ser>
        <c:ser>
          <c:idx val="1"/>
          <c:order val="1"/>
          <c:tx>
            <c:strRef>
              <c:f>Figurer!$N$59</c:f>
              <c:strCache>
                <c:ptCount val="1"/>
                <c:pt idx="0">
                  <c:v>2018</c:v>
                </c:pt>
              </c:strCache>
            </c:strRef>
          </c:tx>
          <c:invertIfNegative val="0"/>
          <c:cat>
            <c:strRef>
              <c:f>Figurer!$L$60:$L$73</c:f>
              <c:strCache>
                <c:ptCount val="14"/>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SpareBank 1</c:v>
                </c:pt>
                <c:pt idx="13">
                  <c:v>Storebrand </c:v>
                </c:pt>
              </c:strCache>
            </c:strRef>
          </c:cat>
          <c:val>
            <c:numRef>
              <c:f>Figurer!$N$60:$N$73</c:f>
              <c:numCache>
                <c:formatCode>#,##0</c:formatCode>
                <c:ptCount val="14"/>
                <c:pt idx="0">
                  <c:v>1087595.622</c:v>
                </c:pt>
                <c:pt idx="1">
                  <c:v>201016641</c:v>
                </c:pt>
                <c:pt idx="2">
                  <c:v>0</c:v>
                </c:pt>
                <c:pt idx="3">
                  <c:v>833959.8</c:v>
                </c:pt>
                <c:pt idx="4">
                  <c:v>0</c:v>
                </c:pt>
                <c:pt idx="5">
                  <c:v>6474253</c:v>
                </c:pt>
                <c:pt idx="6">
                  <c:v>22959</c:v>
                </c:pt>
                <c:pt idx="7">
                  <c:v>0</c:v>
                </c:pt>
                <c:pt idx="8">
                  <c:v>469261417.09344</c:v>
                </c:pt>
                <c:pt idx="9">
                  <c:v>1682836</c:v>
                </c:pt>
                <c:pt idx="10">
                  <c:v>50214570.000432804</c:v>
                </c:pt>
                <c:pt idx="11">
                  <c:v>74741399.903610006</c:v>
                </c:pt>
                <c:pt idx="12">
                  <c:v>19235566.757199999</c:v>
                </c:pt>
                <c:pt idx="13">
                  <c:v>181362430.31399998</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Figurer!$M$83</c:f>
              <c:strCache>
                <c:ptCount val="1"/>
                <c:pt idx="0">
                  <c:v>2017</c:v>
                </c:pt>
              </c:strCache>
            </c:strRef>
          </c:tx>
          <c:invertIfNegative val="0"/>
          <c:cat>
            <c:strRef>
              <c:f>Figurer!$L$84:$L$93</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Figurer!$M$84:$M$93</c:f>
              <c:numCache>
                <c:formatCode>#,##0</c:formatCode>
                <c:ptCount val="10"/>
                <c:pt idx="0">
                  <c:v>16087298.015000001</c:v>
                </c:pt>
                <c:pt idx="1">
                  <c:v>70689761</c:v>
                </c:pt>
                <c:pt idx="2">
                  <c:v>3022527.8</c:v>
                </c:pt>
                <c:pt idx="3">
                  <c:v>21451220.490000002</c:v>
                </c:pt>
                <c:pt idx="4">
                  <c:v>2330198.9161499999</c:v>
                </c:pt>
                <c:pt idx="5">
                  <c:v>2432471</c:v>
                </c:pt>
                <c:pt idx="6">
                  <c:v>54647570</c:v>
                </c:pt>
                <c:pt idx="7">
                  <c:v>1949500</c:v>
                </c:pt>
                <c:pt idx="8">
                  <c:v>23504999.904489998</c:v>
                </c:pt>
                <c:pt idx="9">
                  <c:v>75354538.838</c:v>
                </c:pt>
              </c:numCache>
            </c:numRef>
          </c:val>
          <c:extLst>
            <c:ext xmlns:c16="http://schemas.microsoft.com/office/drawing/2014/chart" uri="{C3380CC4-5D6E-409C-BE32-E72D297353CC}">
              <c16:uniqueId val="{00000000-62B1-4395-80F9-424B1553CC96}"/>
            </c:ext>
          </c:extLst>
        </c:ser>
        <c:ser>
          <c:idx val="1"/>
          <c:order val="1"/>
          <c:tx>
            <c:strRef>
              <c:f>Figurer!$N$83</c:f>
              <c:strCache>
                <c:ptCount val="1"/>
                <c:pt idx="0">
                  <c:v>2018</c:v>
                </c:pt>
              </c:strCache>
            </c:strRef>
          </c:tx>
          <c:invertIfNegative val="0"/>
          <c:cat>
            <c:strRef>
              <c:f>Figurer!$L$84:$L$93</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Figurer!$N$84:$N$93</c:f>
              <c:numCache>
                <c:formatCode>#,##0</c:formatCode>
                <c:ptCount val="10"/>
                <c:pt idx="0">
                  <c:v>17958434.743000001</c:v>
                </c:pt>
                <c:pt idx="1">
                  <c:v>82380384</c:v>
                </c:pt>
                <c:pt idx="2">
                  <c:v>3471864</c:v>
                </c:pt>
                <c:pt idx="3">
                  <c:v>25237226</c:v>
                </c:pt>
                <c:pt idx="4">
                  <c:v>2478827.29715</c:v>
                </c:pt>
                <c:pt idx="5">
                  <c:v>3400155</c:v>
                </c:pt>
                <c:pt idx="6">
                  <c:v>62133840</c:v>
                </c:pt>
                <c:pt idx="7">
                  <c:v>2249653.4116099998</c:v>
                </c:pt>
                <c:pt idx="8">
                  <c:v>29524731.95205</c:v>
                </c:pt>
                <c:pt idx="9">
                  <c:v>98437461.060000002</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Figurer!$M$109</c:f>
              <c:strCache>
                <c:ptCount val="1"/>
                <c:pt idx="0">
                  <c:v>2017</c:v>
                </c:pt>
              </c:strCache>
            </c:strRef>
          </c:tx>
          <c:invertIfNegative val="0"/>
          <c:cat>
            <c:strRef>
              <c:f>Figurer!$L$110:$L$117</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Figurer!$M$110:$M$117</c:f>
              <c:numCache>
                <c:formatCode>#,##0</c:formatCode>
                <c:ptCount val="8"/>
                <c:pt idx="0">
                  <c:v>8925.6419999999998</c:v>
                </c:pt>
                <c:pt idx="1">
                  <c:v>384120</c:v>
                </c:pt>
                <c:pt idx="2">
                  <c:v>30047.581000000006</c:v>
                </c:pt>
                <c:pt idx="3">
                  <c:v>-27827.16399999999</c:v>
                </c:pt>
                <c:pt idx="4">
                  <c:v>-13752</c:v>
                </c:pt>
                <c:pt idx="5">
                  <c:v>-64871.0142000001</c:v>
                </c:pt>
                <c:pt idx="6">
                  <c:v>7266.8838999999971</c:v>
                </c:pt>
                <c:pt idx="7">
                  <c:v>-259239.61099999998</c:v>
                </c:pt>
              </c:numCache>
            </c:numRef>
          </c:val>
          <c:extLst>
            <c:ext xmlns:c16="http://schemas.microsoft.com/office/drawing/2014/chart" uri="{C3380CC4-5D6E-409C-BE32-E72D297353CC}">
              <c16:uniqueId val="{00000000-2BF8-4278-857F-91A0E7196849}"/>
            </c:ext>
          </c:extLst>
        </c:ser>
        <c:ser>
          <c:idx val="1"/>
          <c:order val="1"/>
          <c:tx>
            <c:strRef>
              <c:f>Figurer!$N$109</c:f>
              <c:strCache>
                <c:ptCount val="1"/>
                <c:pt idx="0">
                  <c:v>2018</c:v>
                </c:pt>
              </c:strCache>
            </c:strRef>
          </c:tx>
          <c:invertIfNegative val="0"/>
          <c:cat>
            <c:strRef>
              <c:f>Figurer!$L$110:$L$117</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Figurer!$N$110:$N$117</c:f>
              <c:numCache>
                <c:formatCode>#,##0</c:formatCode>
                <c:ptCount val="8"/>
                <c:pt idx="0">
                  <c:v>4929.8120000000017</c:v>
                </c:pt>
                <c:pt idx="1">
                  <c:v>107071</c:v>
                </c:pt>
                <c:pt idx="2">
                  <c:v>31387</c:v>
                </c:pt>
                <c:pt idx="3">
                  <c:v>-491426.71799999999</c:v>
                </c:pt>
                <c:pt idx="4">
                  <c:v>2189</c:v>
                </c:pt>
                <c:pt idx="5">
                  <c:v>-146808.55927</c:v>
                </c:pt>
                <c:pt idx="6">
                  <c:v>-34677.96688</c:v>
                </c:pt>
                <c:pt idx="7">
                  <c:v>-330309.92999999993</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Figurer!$M$134</c:f>
              <c:strCache>
                <c:ptCount val="1"/>
                <c:pt idx="0">
                  <c:v>2017</c:v>
                </c:pt>
              </c:strCache>
            </c:strRef>
          </c:tx>
          <c:invertIfNegative val="0"/>
          <c:cat>
            <c:strRef>
              <c:f>Figurer!$L$135:$L$143</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Figurer!$M$135:$M$143</c:f>
              <c:numCache>
                <c:formatCode>#,##0</c:formatCode>
                <c:ptCount val="9"/>
                <c:pt idx="0">
                  <c:v>206271.34200000006</c:v>
                </c:pt>
                <c:pt idx="1">
                  <c:v>1374998</c:v>
                </c:pt>
                <c:pt idx="2">
                  <c:v>-46922</c:v>
                </c:pt>
                <c:pt idx="3">
                  <c:v>764744.39299999992</c:v>
                </c:pt>
                <c:pt idx="4">
                  <c:v>349100</c:v>
                </c:pt>
                <c:pt idx="5">
                  <c:v>-993310.38032999984</c:v>
                </c:pt>
                <c:pt idx="6">
                  <c:v>63074</c:v>
                </c:pt>
                <c:pt idx="7">
                  <c:v>802761.49941999989</c:v>
                </c:pt>
                <c:pt idx="8">
                  <c:v>-2471418.9609999997</c:v>
                </c:pt>
              </c:numCache>
            </c:numRef>
          </c:val>
          <c:extLst>
            <c:ext xmlns:c16="http://schemas.microsoft.com/office/drawing/2014/chart" uri="{C3380CC4-5D6E-409C-BE32-E72D297353CC}">
              <c16:uniqueId val="{00000000-B400-4C26-965B-0553A4A37873}"/>
            </c:ext>
          </c:extLst>
        </c:ser>
        <c:ser>
          <c:idx val="1"/>
          <c:order val="1"/>
          <c:tx>
            <c:strRef>
              <c:f>Figurer!$N$134</c:f>
              <c:strCache>
                <c:ptCount val="1"/>
                <c:pt idx="0">
                  <c:v>2018</c:v>
                </c:pt>
              </c:strCache>
            </c:strRef>
          </c:tx>
          <c:invertIfNegative val="0"/>
          <c:cat>
            <c:strRef>
              <c:f>Figurer!$L$135:$L$143</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Figurer!$N$135:$N$143</c:f>
              <c:numCache>
                <c:formatCode>#,##0</c:formatCode>
                <c:ptCount val="9"/>
                <c:pt idx="0">
                  <c:v>-127938.38399999996</c:v>
                </c:pt>
                <c:pt idx="1">
                  <c:v>-351863</c:v>
                </c:pt>
                <c:pt idx="2">
                  <c:v>-57824.499999999993</c:v>
                </c:pt>
                <c:pt idx="3">
                  <c:v>234150</c:v>
                </c:pt>
                <c:pt idx="4">
                  <c:v>284074</c:v>
                </c:pt>
                <c:pt idx="5">
                  <c:v>-1085791.4407300001</c:v>
                </c:pt>
                <c:pt idx="6">
                  <c:v>120585</c:v>
                </c:pt>
                <c:pt idx="7">
                  <c:v>1410787.0637000001</c:v>
                </c:pt>
                <c:pt idx="8">
                  <c:v>-503303.25299999979</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3. KVARTAL 2018 </a:t>
          </a:r>
          <a:r>
            <a:rPr lang="nb-NO" sz="1100" b="0">
              <a:effectLst/>
              <a:latin typeface="Arial"/>
              <a:ea typeface="ＭＳ 明朝"/>
              <a:cs typeface="Times New Roman"/>
            </a:rPr>
            <a:t>(19.11.2018)</a:t>
          </a:r>
          <a:r>
            <a:rPr lang="nb-NO" sz="1600" b="1">
              <a:effectLst/>
              <a:latin typeface="Arial"/>
              <a:ea typeface="ＭＳ 明朝"/>
              <a:cs typeface="Times New Roman"/>
            </a:rPr>
            <a:t> </a:t>
          </a:r>
          <a:endParaRPr lang="nb-NO" sz="120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effectLst/>
            <a:latin typeface="Times New Roman" panose="02020603050405020304" pitchFamily="18" charset="0"/>
            <a:cs typeface="Times New Roman" panose="02020603050405020304" pitchFamily="18" charset="0"/>
          </a:endParaRPr>
        </a:p>
        <a:p>
          <a:br>
            <a:rPr lang="nb-NO" sz="1100">
              <a:latin typeface="Times New Roman" panose="02020603050405020304" pitchFamily="18" charset="0"/>
              <a:cs typeface="Times New Roman" panose="02020603050405020304" pitchFamily="18" charset="0"/>
            </a:rPr>
          </a:br>
          <a:r>
            <a:rPr lang="nb-NO" sz="1100" u="sng">
              <a:latin typeface="Times New Roman" panose="02020603050405020304" pitchFamily="18" charset="0"/>
              <a:cs typeface="Times New Roman" panose="02020603050405020304" pitchFamily="18" charset="0"/>
            </a:rPr>
            <a:t>Protector Forsikring</a:t>
          </a:r>
        </a:p>
        <a:p>
          <a:r>
            <a:rPr lang="nb-NO" sz="1100" u="none">
              <a:latin typeface="Times New Roman" panose="02020603050405020304" pitchFamily="18" charset="0"/>
              <a:cs typeface="Times New Roman" panose="02020603050405020304" pitchFamily="18" charset="0"/>
            </a:rPr>
            <a:t>Selskapet</a:t>
          </a:r>
          <a:r>
            <a:rPr lang="nb-NO" sz="1100" u="none" baseline="0">
              <a:latin typeface="Times New Roman" panose="02020603050405020304" pitchFamily="18" charset="0"/>
              <a:cs typeface="Times New Roman" panose="02020603050405020304" pitchFamily="18" charset="0"/>
            </a:rPr>
            <a:t> inngår i statistikken fra 2. kvartal 2018.</a:t>
          </a:r>
          <a:endParaRPr lang="nb-NO" sz="1100" u="none">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18/Q3/Mottatte/SpareBank%201%20-%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s>
    <sheetDataSet>
      <sheetData sheetId="0" refreshError="1"/>
      <sheetData sheetId="1" refreshError="1"/>
      <sheetData sheetId="2" refreshError="1"/>
      <sheetData sheetId="3" refreshError="1"/>
      <sheetData sheetId="4" refreshError="1"/>
      <sheetData sheetId="5">
        <row r="68">
          <cell r="AG68">
            <v>2702.741</v>
          </cell>
        </row>
        <row r="69">
          <cell r="AG69">
            <v>1236.153</v>
          </cell>
        </row>
        <row r="71">
          <cell r="AG71">
            <v>1000</v>
          </cell>
        </row>
        <row r="74">
          <cell r="AG74">
            <v>806.73900000000003</v>
          </cell>
        </row>
        <row r="75">
          <cell r="AG75">
            <v>2413.9459999999999</v>
          </cell>
        </row>
        <row r="78">
          <cell r="AG78">
            <v>154.76486970000022</v>
          </cell>
        </row>
        <row r="79">
          <cell r="AG79">
            <v>23610.182869700002</v>
          </cell>
        </row>
      </sheetData>
      <sheetData sheetId="6" refreshError="1"/>
      <sheetData sheetId="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6" workbookViewId="0">
      <selection activeCell="L39" sqref="L39"/>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704"/>
      <c r="C43" s="704"/>
      <c r="D43" s="704"/>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R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8" x14ac:dyDescent="0.2">
      <c r="A1" s="172" t="s">
        <v>145</v>
      </c>
      <c r="B1" s="641"/>
      <c r="C1" s="251" t="s">
        <v>132</v>
      </c>
      <c r="D1" s="26"/>
      <c r="E1" s="26"/>
      <c r="F1" s="26"/>
      <c r="G1" s="26"/>
      <c r="H1" s="26"/>
      <c r="I1" s="26"/>
      <c r="J1" s="26"/>
      <c r="K1" s="26"/>
      <c r="L1" s="26"/>
      <c r="M1" s="26"/>
      <c r="O1" s="430"/>
    </row>
    <row r="2" spans="1:18" ht="15.75" x14ac:dyDescent="0.25">
      <c r="A2" s="165" t="s">
        <v>28</v>
      </c>
      <c r="B2" s="731"/>
      <c r="C2" s="731"/>
      <c r="D2" s="731"/>
      <c r="E2" s="302"/>
      <c r="F2" s="731"/>
      <c r="G2" s="731"/>
      <c r="H2" s="731"/>
      <c r="I2" s="302"/>
      <c r="J2" s="731"/>
      <c r="K2" s="731"/>
      <c r="L2" s="731"/>
      <c r="M2" s="302"/>
      <c r="O2" s="148"/>
    </row>
    <row r="3" spans="1:18" ht="15.75" x14ac:dyDescent="0.25">
      <c r="A3" s="163"/>
      <c r="B3" s="302"/>
      <c r="C3" s="302"/>
      <c r="D3" s="302"/>
      <c r="E3" s="302"/>
      <c r="F3" s="302"/>
      <c r="G3" s="302"/>
      <c r="H3" s="302"/>
      <c r="I3" s="302"/>
      <c r="J3" s="302"/>
      <c r="K3" s="302"/>
      <c r="L3" s="302"/>
      <c r="M3" s="302"/>
      <c r="O3" s="148"/>
    </row>
    <row r="4" spans="1:18" x14ac:dyDescent="0.2">
      <c r="A4" s="144"/>
      <c r="B4" s="726" t="s">
        <v>0</v>
      </c>
      <c r="C4" s="727"/>
      <c r="D4" s="727"/>
      <c r="E4" s="304"/>
      <c r="F4" s="726" t="s">
        <v>1</v>
      </c>
      <c r="G4" s="727"/>
      <c r="H4" s="727"/>
      <c r="I4" s="307"/>
      <c r="J4" s="726" t="s">
        <v>2</v>
      </c>
      <c r="K4" s="727"/>
      <c r="L4" s="727"/>
      <c r="M4" s="307"/>
      <c r="O4" s="148"/>
    </row>
    <row r="5" spans="1:18"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8" x14ac:dyDescent="0.2">
      <c r="A6" s="642"/>
      <c r="B6" s="156"/>
      <c r="C6" s="156"/>
      <c r="D6" s="249" t="s">
        <v>4</v>
      </c>
      <c r="E6" s="156" t="s">
        <v>30</v>
      </c>
      <c r="F6" s="161"/>
      <c r="G6" s="161"/>
      <c r="H6" s="247" t="s">
        <v>4</v>
      </c>
      <c r="I6" s="156" t="s">
        <v>30</v>
      </c>
      <c r="J6" s="161"/>
      <c r="K6" s="161"/>
      <c r="L6" s="247" t="s">
        <v>4</v>
      </c>
      <c r="M6" s="156" t="s">
        <v>30</v>
      </c>
      <c r="O6" s="148"/>
    </row>
    <row r="7" spans="1:18" ht="15.75" x14ac:dyDescent="0.2">
      <c r="A7" s="14" t="s">
        <v>23</v>
      </c>
      <c r="B7" s="309">
        <v>661453</v>
      </c>
      <c r="C7" s="310">
        <v>520365</v>
      </c>
      <c r="D7" s="354">
        <f>IF(B7=0, "    ---- ", IF(ABS(ROUND(100/B7*C7-100,1))&lt;999,ROUND(100/B7*C7-100,1),IF(ROUND(100/B7*C7-100,1)&gt;999,999,-999)))</f>
        <v>-21.3</v>
      </c>
      <c r="E7" s="11">
        <f>IFERROR(100/'Skjema total MA'!C7*C7,0)</f>
        <v>14.79715350332992</v>
      </c>
      <c r="F7" s="309">
        <v>567608</v>
      </c>
      <c r="G7" s="310">
        <v>456998</v>
      </c>
      <c r="H7" s="354">
        <f>IF(F7=0, "    ---- ", IF(ABS(ROUND(100/F7*G7-100,1))&lt;999,ROUND(100/F7*G7-100,1),IF(ROUND(100/F7*G7-100,1)&gt;999,999,-999)))</f>
        <v>-19.5</v>
      </c>
      <c r="I7" s="160">
        <f>IFERROR(100/'Skjema total MA'!F7*G7,0)</f>
        <v>8.3133495101940476</v>
      </c>
      <c r="J7" s="311">
        <f t="shared" ref="J7:K12" si="0">SUM(B7,F7)</f>
        <v>1229061</v>
      </c>
      <c r="K7" s="312">
        <f t="shared" si="0"/>
        <v>977363</v>
      </c>
      <c r="L7" s="431">
        <f>IF(J7=0, "    ---- ", IF(ABS(ROUND(100/J7*K7-100,1))&lt;999,ROUND(100/J7*K7-100,1),IF(ROUND(100/J7*K7-100,1)&gt;999,999,-999)))</f>
        <v>-20.5</v>
      </c>
      <c r="M7" s="11">
        <f>IFERROR(100/'Skjema total MA'!I7*K7,0)</f>
        <v>10.842945449031747</v>
      </c>
      <c r="O7" s="148"/>
    </row>
    <row r="8" spans="1:18" ht="15.75" x14ac:dyDescent="0.2">
      <c r="A8" s="21" t="s">
        <v>25</v>
      </c>
      <c r="B8" s="284">
        <v>137789</v>
      </c>
      <c r="C8" s="285">
        <v>143961</v>
      </c>
      <c r="D8" s="166">
        <f t="shared" ref="D8:D12" si="1">IF(B8=0, "    ---- ", IF(ABS(ROUND(100/B8*C8-100,1))&lt;999,ROUND(100/B8*C8-100,1),IF(ROUND(100/B8*C8-100,1)&gt;999,999,-999)))</f>
        <v>4.5</v>
      </c>
      <c r="E8" s="27">
        <f>IFERROR(100/'Skjema total MA'!C8*C8,0)</f>
        <v>6.8441399072812628</v>
      </c>
      <c r="F8" s="288"/>
      <c r="G8" s="289"/>
      <c r="H8" s="166"/>
      <c r="I8" s="176">
        <f>IFERROR(100/'Skjema total MA'!F8*G8,0)</f>
        <v>0</v>
      </c>
      <c r="J8" s="235">
        <f t="shared" si="0"/>
        <v>137789</v>
      </c>
      <c r="K8" s="290">
        <f t="shared" si="0"/>
        <v>143961</v>
      </c>
      <c r="L8" s="257"/>
      <c r="M8" s="27">
        <f>IFERROR(100/'Skjema total MA'!I8*K8,0)</f>
        <v>6.8441399072812628</v>
      </c>
      <c r="O8" s="148"/>
    </row>
    <row r="9" spans="1:18" ht="15.75" x14ac:dyDescent="0.2">
      <c r="A9" s="21" t="s">
        <v>24</v>
      </c>
      <c r="B9" s="284">
        <v>57645.125</v>
      </c>
      <c r="C9" s="285">
        <v>56783</v>
      </c>
      <c r="D9" s="166">
        <f t="shared" si="1"/>
        <v>-1.5</v>
      </c>
      <c r="E9" s="27">
        <f>IFERROR(100/'Skjema total MA'!C9*C9,0)</f>
        <v>7.2629235773126348</v>
      </c>
      <c r="F9" s="288"/>
      <c r="G9" s="289"/>
      <c r="H9" s="166"/>
      <c r="I9" s="176">
        <f>IFERROR(100/'Skjema total MA'!F9*G9,0)</f>
        <v>0</v>
      </c>
      <c r="J9" s="235">
        <f t="shared" si="0"/>
        <v>57645.125</v>
      </c>
      <c r="K9" s="290">
        <f t="shared" si="0"/>
        <v>56783</v>
      </c>
      <c r="L9" s="257"/>
      <c r="M9" s="27">
        <f>IFERROR(100/'Skjema total MA'!I9*K9,0)</f>
        <v>7.2629235773126348</v>
      </c>
      <c r="O9" s="148"/>
    </row>
    <row r="10" spans="1:18" ht="15.75" x14ac:dyDescent="0.2">
      <c r="A10" s="13" t="s">
        <v>376</v>
      </c>
      <c r="B10" s="313">
        <v>16047005</v>
      </c>
      <c r="C10" s="314">
        <v>14964741</v>
      </c>
      <c r="D10" s="171">
        <f t="shared" si="1"/>
        <v>-6.7</v>
      </c>
      <c r="E10" s="11">
        <f>IFERROR(100/'Skjema total MA'!C10*C10,0)</f>
        <v>70.550200475763916</v>
      </c>
      <c r="F10" s="313">
        <v>5696768</v>
      </c>
      <c r="G10" s="314">
        <v>6055498</v>
      </c>
      <c r="H10" s="171">
        <f t="shared" ref="H10:H12" si="2">IF(F10=0, "    ---- ", IF(ABS(ROUND(100/F10*G10-100,1))&lt;999,ROUND(100/F10*G10-100,1),IF(ROUND(100/F10*G10-100,1)&gt;999,999,-999)))</f>
        <v>6.3</v>
      </c>
      <c r="I10" s="160">
        <f>IFERROR(100/'Skjema total MA'!F10*G10,0)</f>
        <v>13.575307745597193</v>
      </c>
      <c r="J10" s="311">
        <f t="shared" si="0"/>
        <v>21743773</v>
      </c>
      <c r="K10" s="312">
        <f t="shared" si="0"/>
        <v>21020239</v>
      </c>
      <c r="L10" s="432">
        <f t="shared" ref="L10:L12" si="3">IF(J10=0, "    ---- ", IF(ABS(ROUND(100/J10*K10-100,1))&lt;999,ROUND(100/J10*K10-100,1),IF(ROUND(100/J10*K10-100,1)&gt;999,999,-999)))</f>
        <v>-3.3</v>
      </c>
      <c r="M10" s="11">
        <f>IFERROR(100/'Skjema total MA'!I10*K10,0)</f>
        <v>31.936824260120563</v>
      </c>
      <c r="O10" s="148"/>
      <c r="R10" s="149"/>
    </row>
    <row r="11" spans="1:18" s="43" customFormat="1" ht="15.75" x14ac:dyDescent="0.2">
      <c r="A11" s="13" t="s">
        <v>377</v>
      </c>
      <c r="B11" s="313">
        <v>85448</v>
      </c>
      <c r="C11" s="314">
        <v>22541</v>
      </c>
      <c r="D11" s="171">
        <f t="shared" si="1"/>
        <v>-73.599999999999994</v>
      </c>
      <c r="E11" s="11">
        <f>IFERROR(100/'Skjema total MA'!C11*C11,0)</f>
        <v>100</v>
      </c>
      <c r="F11" s="313">
        <v>31193</v>
      </c>
      <c r="G11" s="314">
        <v>29525</v>
      </c>
      <c r="H11" s="171">
        <f t="shared" si="2"/>
        <v>-5.3</v>
      </c>
      <c r="I11" s="160">
        <f>IFERROR(100/'Skjema total MA'!F11*G11,0)</f>
        <v>14.376756636000342</v>
      </c>
      <c r="J11" s="311">
        <f t="shared" si="0"/>
        <v>116641</v>
      </c>
      <c r="K11" s="312">
        <f t="shared" si="0"/>
        <v>52066</v>
      </c>
      <c r="L11" s="432">
        <f t="shared" si="3"/>
        <v>-55.4</v>
      </c>
      <c r="M11" s="11">
        <f>IFERROR(100/'Skjema total MA'!I11*K11,0)</f>
        <v>22.84526248923239</v>
      </c>
      <c r="N11" s="143"/>
      <c r="O11" s="148"/>
    </row>
    <row r="12" spans="1:18" s="43" customFormat="1" ht="15.75" x14ac:dyDescent="0.2">
      <c r="A12" s="41" t="s">
        <v>378</v>
      </c>
      <c r="B12" s="315">
        <v>27591</v>
      </c>
      <c r="C12" s="316">
        <v>79</v>
      </c>
      <c r="D12" s="169">
        <f t="shared" si="1"/>
        <v>-99.7</v>
      </c>
      <c r="E12" s="36">
        <f>IFERROR(100/'Skjema total MA'!C12*C12,0)</f>
        <v>100</v>
      </c>
      <c r="F12" s="315">
        <v>18925</v>
      </c>
      <c r="G12" s="316">
        <v>37275</v>
      </c>
      <c r="H12" s="169">
        <f t="shared" si="2"/>
        <v>97</v>
      </c>
      <c r="I12" s="169">
        <f>IFERROR(100/'Skjema total MA'!F12*G12,0)</f>
        <v>21.509092811541251</v>
      </c>
      <c r="J12" s="317">
        <f t="shared" si="0"/>
        <v>46516</v>
      </c>
      <c r="K12" s="318">
        <f t="shared" si="0"/>
        <v>37354</v>
      </c>
      <c r="L12" s="433">
        <f t="shared" si="3"/>
        <v>-19.7</v>
      </c>
      <c r="M12" s="36">
        <f>IFERROR(100/'Skjema total MA'!I12*K12,0)</f>
        <v>21.544857376690537</v>
      </c>
      <c r="N12" s="143"/>
      <c r="O12" s="148"/>
      <c r="R12" s="143"/>
    </row>
    <row r="13" spans="1:18" s="43" customFormat="1" x14ac:dyDescent="0.2">
      <c r="A13" s="168"/>
      <c r="B13" s="145"/>
      <c r="C13" s="33"/>
      <c r="D13" s="159"/>
      <c r="E13" s="159"/>
      <c r="F13" s="145"/>
      <c r="G13" s="33"/>
      <c r="H13" s="159"/>
      <c r="I13" s="159"/>
      <c r="J13" s="48"/>
      <c r="K13" s="48"/>
      <c r="L13" s="159"/>
      <c r="M13" s="159"/>
      <c r="N13" s="143"/>
      <c r="O13" s="430"/>
    </row>
    <row r="14" spans="1:18" x14ac:dyDescent="0.2">
      <c r="A14" s="153" t="s">
        <v>286</v>
      </c>
      <c r="B14" s="26"/>
      <c r="O14" s="148"/>
    </row>
    <row r="15" spans="1:18" x14ac:dyDescent="0.2">
      <c r="F15" s="146"/>
      <c r="G15" s="146"/>
      <c r="H15" s="146"/>
      <c r="I15" s="146"/>
      <c r="J15" s="146"/>
      <c r="K15" s="146"/>
      <c r="L15" s="146"/>
      <c r="M15" s="146"/>
      <c r="O15" s="148"/>
    </row>
    <row r="16" spans="1:18"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v>393293</v>
      </c>
      <c r="C22" s="319">
        <v>231445</v>
      </c>
      <c r="D22" s="354">
        <f t="shared" ref="D22:D39" si="4">IF(B22=0, "    ---- ", IF(ABS(ROUND(100/B22*C22-100,1))&lt;999,ROUND(100/B22*C22-100,1),IF(ROUND(100/B22*C22-100,1)&gt;999,999,-999)))</f>
        <v>-41.2</v>
      </c>
      <c r="E22" s="11">
        <f>IFERROR(100/'Skjema total MA'!C22*C22,0)</f>
        <v>19.277448504944619</v>
      </c>
      <c r="F22" s="321">
        <v>110241</v>
      </c>
      <c r="G22" s="321">
        <v>58899</v>
      </c>
      <c r="H22" s="354">
        <f t="shared" ref="H22:H35" si="5">IF(F22=0, "    ---- ", IF(ABS(ROUND(100/F22*G22-100,1))&lt;999,ROUND(100/F22*G22-100,1),IF(ROUND(100/F22*G22-100,1)&gt;999,999,-999)))</f>
        <v>-46.6</v>
      </c>
      <c r="I22" s="11">
        <f>IFERROR(100/'Skjema total MA'!F22*G22,0)</f>
        <v>7.6337027156091093</v>
      </c>
      <c r="J22" s="319">
        <f t="shared" ref="J22:K35" si="6">SUM(B22,F22)</f>
        <v>503534</v>
      </c>
      <c r="K22" s="319">
        <f t="shared" si="6"/>
        <v>290344</v>
      </c>
      <c r="L22" s="431">
        <f t="shared" ref="L22:L35" si="7">IF(J22=0, "    ---- ", IF(ABS(ROUND(100/J22*K22-100,1))&lt;999,ROUND(100/J22*K22-100,1),IF(ROUND(100/J22*K22-100,1)&gt;999,999,-999)))</f>
        <v>-42.3</v>
      </c>
      <c r="M22" s="24">
        <f>IFERROR(100/'Skjema total MA'!I22*K22,0)</f>
        <v>14.722094447696739</v>
      </c>
      <c r="O22" s="148"/>
    </row>
    <row r="23" spans="1:15" ht="15.75" x14ac:dyDescent="0.2">
      <c r="A23" s="619" t="s">
        <v>379</v>
      </c>
      <c r="B23" s="284"/>
      <c r="C23" s="284">
        <v>207110</v>
      </c>
      <c r="D23" s="166" t="str">
        <f t="shared" si="4"/>
        <v xml:space="preserve">    ---- </v>
      </c>
      <c r="E23" s="11">
        <f>IFERROR(100/'Skjema total MA'!C23*C23,0)</f>
        <v>23.693724588144015</v>
      </c>
      <c r="F23" s="293"/>
      <c r="G23" s="293">
        <v>36427.77205</v>
      </c>
      <c r="H23" s="166" t="str">
        <f t="shared" si="5"/>
        <v xml:space="preserve">    ---- </v>
      </c>
      <c r="I23" s="421">
        <f>IFERROR(100/'Skjema total MA'!F23*G23,0)</f>
        <v>28.73936366727273</v>
      </c>
      <c r="J23" s="293"/>
      <c r="K23" s="293">
        <f t="shared" ref="K23:K25" si="8">SUM(C23,G23)</f>
        <v>243537.77205</v>
      </c>
      <c r="L23" s="166" t="str">
        <f t="shared" si="7"/>
        <v xml:space="preserve">    ---- </v>
      </c>
      <c r="M23" s="23">
        <f>IFERROR(100/'Skjema total MA'!I23*K23,0)</f>
        <v>24.332717331735711</v>
      </c>
      <c r="O23" s="148"/>
    </row>
    <row r="24" spans="1:15" ht="15.75" x14ac:dyDescent="0.2">
      <c r="A24" s="619" t="s">
        <v>380</v>
      </c>
      <c r="B24" s="284"/>
      <c r="C24" s="284">
        <v>244</v>
      </c>
      <c r="D24" s="166" t="str">
        <f t="shared" si="4"/>
        <v xml:space="preserve">    ---- </v>
      </c>
      <c r="E24" s="11">
        <f>IFERROR(100/'Skjema total MA'!C24*C24,0)</f>
        <v>2.302372118839767</v>
      </c>
      <c r="F24" s="293"/>
      <c r="G24" s="293">
        <v>61.321085439999997</v>
      </c>
      <c r="H24" s="166" t="str">
        <f t="shared" si="5"/>
        <v xml:space="preserve">    ---- </v>
      </c>
      <c r="I24" s="421">
        <f>IFERROR(100/'Skjema total MA'!F24*G24,0)</f>
        <v>244.65571904953347</v>
      </c>
      <c r="J24" s="293"/>
      <c r="K24" s="293">
        <f t="shared" si="8"/>
        <v>305.32108543999999</v>
      </c>
      <c r="L24" s="166" t="str">
        <f t="shared" si="7"/>
        <v xml:space="preserve">    ---- </v>
      </c>
      <c r="M24" s="23">
        <f>IFERROR(100/'Skjema total MA'!I24*K24,0)</f>
        <v>2.8741972775816191</v>
      </c>
      <c r="O24" s="148"/>
    </row>
    <row r="25" spans="1:15" ht="15.75" x14ac:dyDescent="0.2">
      <c r="A25" s="619" t="s">
        <v>381</v>
      </c>
      <c r="B25" s="284"/>
      <c r="C25" s="284">
        <v>24092</v>
      </c>
      <c r="D25" s="166" t="str">
        <f t="shared" si="4"/>
        <v xml:space="preserve">    ---- </v>
      </c>
      <c r="E25" s="11">
        <f>IFERROR(100/'Skjema total MA'!C25*C25,0)</f>
        <v>97.768038308578852</v>
      </c>
      <c r="F25" s="293"/>
      <c r="G25" s="293">
        <v>22409.906869999999</v>
      </c>
      <c r="H25" s="166" t="str">
        <f t="shared" si="5"/>
        <v xml:space="preserve">    ---- </v>
      </c>
      <c r="I25" s="421">
        <f>IFERROR(100/'Skjema total MA'!F25*G25,0)</f>
        <v>24.197804416513634</v>
      </c>
      <c r="J25" s="293"/>
      <c r="K25" s="293">
        <f t="shared" si="8"/>
        <v>46501.906869999999</v>
      </c>
      <c r="L25" s="166" t="str">
        <f t="shared" si="7"/>
        <v xml:space="preserve">    ---- </v>
      </c>
      <c r="M25" s="23">
        <f>IFERROR(100/'Skjema total MA'!I25*K25,0)</f>
        <v>39.659350862820055</v>
      </c>
      <c r="O25" s="148"/>
    </row>
    <row r="26" spans="1:15" ht="15.75" x14ac:dyDescent="0.2">
      <c r="A26" s="619" t="s">
        <v>382</v>
      </c>
      <c r="B26" s="284"/>
      <c r="C26" s="284"/>
      <c r="D26" s="166"/>
      <c r="E26" s="11"/>
      <c r="F26" s="293"/>
      <c r="G26" s="293"/>
      <c r="H26" s="166"/>
      <c r="I26" s="421"/>
      <c r="J26" s="293"/>
      <c r="K26" s="293"/>
      <c r="L26" s="166"/>
      <c r="M26" s="23"/>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v>192063</v>
      </c>
      <c r="C28" s="290">
        <v>202992</v>
      </c>
      <c r="D28" s="166">
        <f t="shared" si="4"/>
        <v>5.7</v>
      </c>
      <c r="E28" s="11">
        <f>IFERROR(100/'Skjema total MA'!C28*C28,0)</f>
        <v>14.192898394486857</v>
      </c>
      <c r="F28" s="235"/>
      <c r="G28" s="290"/>
      <c r="H28" s="166"/>
      <c r="I28" s="27"/>
      <c r="J28" s="44">
        <f t="shared" si="6"/>
        <v>192063</v>
      </c>
      <c r="K28" s="44">
        <f t="shared" si="6"/>
        <v>202992</v>
      </c>
      <c r="L28" s="257">
        <f t="shared" si="7"/>
        <v>5.7</v>
      </c>
      <c r="M28" s="23">
        <f>IFERROR(100/'Skjema total MA'!I28*K28,0)</f>
        <v>14.192898394486857</v>
      </c>
      <c r="O28" s="148"/>
    </row>
    <row r="29" spans="1:15" s="3" customFormat="1" ht="15.75" x14ac:dyDescent="0.2">
      <c r="A29" s="13" t="s">
        <v>376</v>
      </c>
      <c r="B29" s="237">
        <v>28777652</v>
      </c>
      <c r="C29" s="237">
        <v>26260031</v>
      </c>
      <c r="D29" s="171">
        <f t="shared" si="4"/>
        <v>-8.6999999999999993</v>
      </c>
      <c r="E29" s="11">
        <f>IFERROR(100/'Skjema total MA'!C29*C29,0)</f>
        <v>54.495898779933206</v>
      </c>
      <c r="F29" s="311">
        <v>5627535</v>
      </c>
      <c r="G29" s="311">
        <v>5655434</v>
      </c>
      <c r="H29" s="171">
        <f t="shared" si="5"/>
        <v>0.5</v>
      </c>
      <c r="I29" s="11">
        <f>IFERROR(100/'Skjema total MA'!F29*G29,0)</f>
        <v>27.45429829165629</v>
      </c>
      <c r="J29" s="237">
        <f t="shared" si="6"/>
        <v>34405187</v>
      </c>
      <c r="K29" s="237">
        <f t="shared" si="6"/>
        <v>31915465</v>
      </c>
      <c r="L29" s="432">
        <f t="shared" si="7"/>
        <v>-7.2</v>
      </c>
      <c r="M29" s="24">
        <f>IFERROR(100/'Skjema total MA'!I29*K29,0)</f>
        <v>46.397782141345594</v>
      </c>
      <c r="N29" s="148"/>
      <c r="O29" s="148"/>
    </row>
    <row r="30" spans="1:15" s="3" customFormat="1" ht="15.75" x14ac:dyDescent="0.2">
      <c r="A30" s="619" t="s">
        <v>379</v>
      </c>
      <c r="B30" s="284"/>
      <c r="C30" s="284">
        <v>7500415</v>
      </c>
      <c r="D30" s="166" t="str">
        <f t="shared" si="4"/>
        <v xml:space="preserve">    ---- </v>
      </c>
      <c r="E30" s="11">
        <f>IFERROR(100/'Skjema total MA'!C30*C30,0)</f>
        <v>56.752709913312088</v>
      </c>
      <c r="F30" s="293"/>
      <c r="G30" s="293">
        <v>1931436</v>
      </c>
      <c r="H30" s="166" t="str">
        <f t="shared" si="5"/>
        <v xml:space="preserve">    ---- </v>
      </c>
      <c r="I30" s="421">
        <f>IFERROR(100/'Skjema total MA'!F30*G30,0)</f>
        <v>43.802723146024583</v>
      </c>
      <c r="J30" s="293"/>
      <c r="K30" s="293">
        <f t="shared" ref="K30:K32" si="9">SUM(C30,G30)</f>
        <v>9431851</v>
      </c>
      <c r="L30" s="166" t="str">
        <f t="shared" si="7"/>
        <v xml:space="preserve">    ---- </v>
      </c>
      <c r="M30" s="23">
        <f>IFERROR(100/'Skjema total MA'!I30*K30,0)</f>
        <v>53.512966389299088</v>
      </c>
      <c r="N30" s="148"/>
      <c r="O30" s="148"/>
    </row>
    <row r="31" spans="1:15" s="3" customFormat="1" ht="15.75" x14ac:dyDescent="0.2">
      <c r="A31" s="619" t="s">
        <v>380</v>
      </c>
      <c r="B31" s="284"/>
      <c r="C31" s="284">
        <v>16711913</v>
      </c>
      <c r="D31" s="166" t="str">
        <f t="shared" si="4"/>
        <v xml:space="preserve">    ---- </v>
      </c>
      <c r="E31" s="11">
        <f>IFERROR(100/'Skjema total MA'!C31*C31,0)</f>
        <v>53.900803137949595</v>
      </c>
      <c r="F31" s="293"/>
      <c r="G31" s="293">
        <v>3324459.8990000002</v>
      </c>
      <c r="H31" s="166" t="str">
        <f t="shared" si="5"/>
        <v xml:space="preserve">    ---- </v>
      </c>
      <c r="I31" s="421">
        <f>IFERROR(100/'Skjema total MA'!F31*G31,0)</f>
        <v>31.827320418004629</v>
      </c>
      <c r="J31" s="293"/>
      <c r="K31" s="293">
        <f t="shared" si="9"/>
        <v>20036372.899</v>
      </c>
      <c r="L31" s="166" t="str">
        <f t="shared" si="7"/>
        <v xml:space="preserve">    ---- </v>
      </c>
      <c r="M31" s="23">
        <f>IFERROR(100/'Skjema total MA'!I31*K31,0)</f>
        <v>48.338370282944318</v>
      </c>
      <c r="N31" s="148"/>
      <c r="O31" s="148"/>
    </row>
    <row r="32" spans="1:15" ht="15.75" x14ac:dyDescent="0.2">
      <c r="A32" s="619" t="s">
        <v>381</v>
      </c>
      <c r="B32" s="284"/>
      <c r="C32" s="284">
        <v>2047703</v>
      </c>
      <c r="D32" s="166" t="str">
        <f t="shared" si="4"/>
        <v xml:space="preserve">    ---- </v>
      </c>
      <c r="E32" s="11">
        <f>IFERROR(100/'Skjema total MA'!C32*C32,0)</f>
        <v>87.380104165747667</v>
      </c>
      <c r="F32" s="293"/>
      <c r="G32" s="293">
        <v>399537</v>
      </c>
      <c r="H32" s="166" t="str">
        <f t="shared" si="5"/>
        <v xml:space="preserve">    ---- </v>
      </c>
      <c r="I32" s="421">
        <f>IFERROR(100/'Skjema total MA'!F32*G32,0)</f>
        <v>9.2954807344996517</v>
      </c>
      <c r="J32" s="293"/>
      <c r="K32" s="293">
        <f t="shared" si="9"/>
        <v>2447240</v>
      </c>
      <c r="L32" s="166" t="str">
        <f t="shared" si="7"/>
        <v xml:space="preserve">    ---- </v>
      </c>
      <c r="M32" s="23">
        <f>IFERROR(100/'Skjema total MA'!I32*K32,0)</f>
        <v>36.84698703825044</v>
      </c>
      <c r="O32" s="148"/>
    </row>
    <row r="33" spans="1:15" ht="15.75" x14ac:dyDescent="0.2">
      <c r="A33" s="619" t="s">
        <v>382</v>
      </c>
      <c r="B33" s="284"/>
      <c r="C33" s="284"/>
      <c r="D33" s="166"/>
      <c r="E33" s="11"/>
      <c r="F33" s="293"/>
      <c r="G33" s="293"/>
      <c r="H33" s="166"/>
      <c r="I33" s="421"/>
      <c r="J33" s="293"/>
      <c r="K33" s="293"/>
      <c r="L33" s="166"/>
      <c r="M33" s="23"/>
      <c r="O33" s="148"/>
    </row>
    <row r="34" spans="1:15" ht="15.75" x14ac:dyDescent="0.2">
      <c r="A34" s="13" t="s">
        <v>377</v>
      </c>
      <c r="B34" s="237">
        <v>25141</v>
      </c>
      <c r="C34" s="312">
        <v>16143</v>
      </c>
      <c r="D34" s="171">
        <f t="shared" si="4"/>
        <v>-35.799999999999997</v>
      </c>
      <c r="E34" s="11">
        <f>IFERROR(100/'Skjema total MA'!C34*C34,0)</f>
        <v>76.094283416321986</v>
      </c>
      <c r="F34" s="311">
        <v>-67687</v>
      </c>
      <c r="G34" s="312">
        <v>-7041</v>
      </c>
      <c r="H34" s="171">
        <f t="shared" si="5"/>
        <v>-89.6</v>
      </c>
      <c r="I34" s="11">
        <f>IFERROR(100/'Skjema total MA'!F34*G34,0)</f>
        <v>-14.019001255146806</v>
      </c>
      <c r="J34" s="237">
        <f t="shared" si="6"/>
        <v>-42546</v>
      </c>
      <c r="K34" s="237">
        <f t="shared" si="6"/>
        <v>9102</v>
      </c>
      <c r="L34" s="432">
        <f t="shared" si="7"/>
        <v>-121.4</v>
      </c>
      <c r="M34" s="24">
        <f>IFERROR(100/'Skjema total MA'!I34*K34,0)</f>
        <v>12.740910935968529</v>
      </c>
      <c r="O34" s="148"/>
    </row>
    <row r="35" spans="1:15" ht="15.75" x14ac:dyDescent="0.2">
      <c r="A35" s="13" t="s">
        <v>378</v>
      </c>
      <c r="B35" s="237">
        <v>-62183</v>
      </c>
      <c r="C35" s="312">
        <v>-26225</v>
      </c>
      <c r="D35" s="171">
        <f t="shared" si="4"/>
        <v>-57.8</v>
      </c>
      <c r="E35" s="11">
        <f>IFERROR(100/'Skjema total MA'!C35*C35,0)</f>
        <v>108.04266580277138</v>
      </c>
      <c r="F35" s="311">
        <v>16658</v>
      </c>
      <c r="G35" s="312">
        <v>26421</v>
      </c>
      <c r="H35" s="171">
        <f t="shared" si="5"/>
        <v>58.6</v>
      </c>
      <c r="I35" s="11">
        <f>IFERROR(100/'Skjema total MA'!F35*G35,0)</f>
        <v>33.241315983336136</v>
      </c>
      <c r="J35" s="237">
        <f t="shared" si="6"/>
        <v>-45525</v>
      </c>
      <c r="K35" s="237">
        <f t="shared" si="6"/>
        <v>196</v>
      </c>
      <c r="L35" s="432">
        <f t="shared" si="7"/>
        <v>-100.4</v>
      </c>
      <c r="M35" s="24">
        <f>IFERROR(100/'Skjema total MA'!I35*K35,0)</f>
        <v>0.35501075820345152</v>
      </c>
      <c r="O35" s="148"/>
    </row>
    <row r="36" spans="1:15" ht="15.75" x14ac:dyDescent="0.2">
      <c r="A36" s="12" t="s">
        <v>295</v>
      </c>
      <c r="B36" s="237">
        <v>3108</v>
      </c>
      <c r="C36" s="312">
        <v>2862</v>
      </c>
      <c r="D36" s="171">
        <f t="shared" si="4"/>
        <v>-7.9</v>
      </c>
      <c r="E36" s="11">
        <f>100/'Skjema total MA'!C36*C36</f>
        <v>98.331051997955043</v>
      </c>
      <c r="F36" s="322"/>
      <c r="G36" s="323"/>
      <c r="H36" s="171"/>
      <c r="I36" s="438"/>
      <c r="J36" s="237">
        <f t="shared" ref="J36:J39" si="10">SUM(B36,F36)</f>
        <v>3108</v>
      </c>
      <c r="K36" s="237">
        <f t="shared" ref="K36:K39" si="11">SUM(C36,G36)</f>
        <v>2862</v>
      </c>
      <c r="L36" s="432"/>
      <c r="M36" s="24">
        <f>IFERROR(100/'Skjema total MA'!I36*K36,0)</f>
        <v>98.331051997955043</v>
      </c>
      <c r="O36" s="148"/>
    </row>
    <row r="37" spans="1:15" ht="15.75" x14ac:dyDescent="0.2">
      <c r="A37" s="12" t="s">
        <v>384</v>
      </c>
      <c r="B37" s="237">
        <v>3574396</v>
      </c>
      <c r="C37" s="312">
        <v>3443697</v>
      </c>
      <c r="D37" s="171">
        <f t="shared" si="4"/>
        <v>-3.7</v>
      </c>
      <c r="E37" s="11">
        <f>100/'Skjema total MA'!C37*C37</f>
        <v>87.808821375204275</v>
      </c>
      <c r="F37" s="322"/>
      <c r="G37" s="324"/>
      <c r="H37" s="171"/>
      <c r="I37" s="438"/>
      <c r="J37" s="237">
        <f t="shared" si="10"/>
        <v>3574396</v>
      </c>
      <c r="K37" s="237">
        <f t="shared" si="11"/>
        <v>3443697</v>
      </c>
      <c r="L37" s="432"/>
      <c r="M37" s="24">
        <f>IFERROR(100/'Skjema total MA'!I37*K37,0)</f>
        <v>87.808821375204275</v>
      </c>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v>4</v>
      </c>
      <c r="C39" s="318">
        <v>3</v>
      </c>
      <c r="D39" s="169">
        <f t="shared" si="4"/>
        <v>-25</v>
      </c>
      <c r="E39" s="36">
        <f>IFERROR(100/'Skjema total MA'!C38*C39,0)</f>
        <v>0</v>
      </c>
      <c r="F39" s="325"/>
      <c r="G39" s="326"/>
      <c r="H39" s="169"/>
      <c r="I39" s="36"/>
      <c r="J39" s="237">
        <f t="shared" si="10"/>
        <v>4</v>
      </c>
      <c r="K39" s="237">
        <f t="shared" si="11"/>
        <v>3</v>
      </c>
      <c r="L39" s="433"/>
      <c r="M39" s="36">
        <f>IFERROR(100/'Skjema total MA'!I39*K39,0)</f>
        <v>100</v>
      </c>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v>449926.29299999995</v>
      </c>
      <c r="C47" s="314">
        <v>506260</v>
      </c>
      <c r="D47" s="431">
        <f t="shared" ref="D47:D57" si="12">IF(B47=0, "    ---- ", IF(ABS(ROUND(100/B47*C47-100,1))&lt;999,ROUND(100/B47*C47-100,1),IF(ROUND(100/B47*C47-100,1)&gt;999,999,-999)))</f>
        <v>12.5</v>
      </c>
      <c r="E47" s="11">
        <f>IFERROR(100/'Skjema total MA'!C47*C47,0)</f>
        <v>13.720253581769359</v>
      </c>
      <c r="F47" s="145"/>
      <c r="G47" s="33"/>
      <c r="H47" s="159"/>
      <c r="I47" s="159"/>
      <c r="J47" s="37"/>
      <c r="K47" s="37"/>
      <c r="L47" s="159"/>
      <c r="M47" s="159"/>
      <c r="N47" s="148"/>
      <c r="O47" s="148"/>
    </row>
    <row r="48" spans="1:15" s="3" customFormat="1" ht="15.75" x14ac:dyDescent="0.2">
      <c r="A48" s="38" t="s">
        <v>387</v>
      </c>
      <c r="B48" s="284">
        <v>277581.72499999998</v>
      </c>
      <c r="C48" s="285">
        <v>307186</v>
      </c>
      <c r="D48" s="257">
        <f t="shared" si="12"/>
        <v>10.7</v>
      </c>
      <c r="E48" s="27">
        <f>IFERROR(100/'Skjema total MA'!C48*C48,0)</f>
        <v>14.702136373302126</v>
      </c>
      <c r="F48" s="145"/>
      <c r="G48" s="33"/>
      <c r="H48" s="145"/>
      <c r="I48" s="145"/>
      <c r="J48" s="33"/>
      <c r="K48" s="33"/>
      <c r="L48" s="159"/>
      <c r="M48" s="159"/>
      <c r="N48" s="148"/>
      <c r="O48" s="148"/>
    </row>
    <row r="49" spans="1:15" s="3" customFormat="1" ht="15.75" x14ac:dyDescent="0.2">
      <c r="A49" s="38" t="s">
        <v>388</v>
      </c>
      <c r="B49" s="44">
        <v>172344.568</v>
      </c>
      <c r="C49" s="290">
        <v>199074</v>
      </c>
      <c r="D49" s="257">
        <f>IF(B49=0, "    ---- ", IF(ABS(ROUND(100/B49*C49-100,1))&lt;999,ROUND(100/B49*C49-100,1),IF(ROUND(100/B49*C49-100,1)&gt;999,999,-999)))</f>
        <v>15.5</v>
      </c>
      <c r="E49" s="27">
        <f>IFERROR(100/'Skjema total MA'!C49*C49,0)</f>
        <v>12.438420936664066</v>
      </c>
      <c r="F49" s="145"/>
      <c r="G49" s="33"/>
      <c r="H49" s="145"/>
      <c r="I49" s="145"/>
      <c r="J49" s="37"/>
      <c r="K49" s="37"/>
      <c r="L49" s="159"/>
      <c r="M49" s="159"/>
      <c r="N49" s="148"/>
      <c r="O49" s="148"/>
    </row>
    <row r="50" spans="1:15" s="3" customFormat="1" x14ac:dyDescent="0.2">
      <c r="A50" s="299" t="s">
        <v>6</v>
      </c>
      <c r="B50" s="293" t="s">
        <v>422</v>
      </c>
      <c r="C50" s="294" t="s">
        <v>422</v>
      </c>
      <c r="D50" s="257"/>
      <c r="E50" s="23"/>
      <c r="F50" s="145"/>
      <c r="G50" s="33"/>
      <c r="H50" s="145"/>
      <c r="I50" s="145"/>
      <c r="J50" s="33"/>
      <c r="K50" s="33"/>
      <c r="L50" s="159"/>
      <c r="M50" s="159"/>
      <c r="N50" s="148"/>
      <c r="O50" s="148"/>
    </row>
    <row r="51" spans="1:15" s="3" customFormat="1" x14ac:dyDescent="0.2">
      <c r="A51" s="299" t="s">
        <v>7</v>
      </c>
      <c r="B51" s="293" t="s">
        <v>422</v>
      </c>
      <c r="C51" s="294" t="s">
        <v>422</v>
      </c>
      <c r="D51" s="257"/>
      <c r="E51" s="23"/>
      <c r="F51" s="145"/>
      <c r="G51" s="33"/>
      <c r="H51" s="145"/>
      <c r="I51" s="145"/>
      <c r="J51" s="33"/>
      <c r="K51" s="33"/>
      <c r="L51" s="159"/>
      <c r="M51" s="159"/>
      <c r="N51" s="148"/>
      <c r="O51" s="148"/>
    </row>
    <row r="52" spans="1:15" s="3" customFormat="1" x14ac:dyDescent="0.2">
      <c r="A52" s="299" t="s">
        <v>8</v>
      </c>
      <c r="B52" s="293" t="s">
        <v>422</v>
      </c>
      <c r="C52" s="294" t="s">
        <v>422</v>
      </c>
      <c r="D52" s="257"/>
      <c r="E52" s="23"/>
      <c r="F52" s="145"/>
      <c r="G52" s="33"/>
      <c r="H52" s="145"/>
      <c r="I52" s="145"/>
      <c r="J52" s="33"/>
      <c r="K52" s="33"/>
      <c r="L52" s="159"/>
      <c r="M52" s="159"/>
      <c r="N52" s="148"/>
      <c r="O52" s="148"/>
    </row>
    <row r="53" spans="1:15" s="3" customFormat="1" ht="15.75" x14ac:dyDescent="0.2">
      <c r="A53" s="39" t="s">
        <v>389</v>
      </c>
      <c r="B53" s="313">
        <v>20259</v>
      </c>
      <c r="C53" s="314">
        <v>22921</v>
      </c>
      <c r="D53" s="432">
        <f t="shared" si="12"/>
        <v>13.1</v>
      </c>
      <c r="E53" s="11">
        <f>IFERROR(100/'Skjema total MA'!C53*C53,0)</f>
        <v>23.468954078584968</v>
      </c>
      <c r="F53" s="145"/>
      <c r="G53" s="33"/>
      <c r="H53" s="145"/>
      <c r="I53" s="145"/>
      <c r="J53" s="33"/>
      <c r="K53" s="33"/>
      <c r="L53" s="159"/>
      <c r="M53" s="159"/>
      <c r="N53" s="148"/>
      <c r="O53" s="148"/>
    </row>
    <row r="54" spans="1:15" s="3" customFormat="1" ht="15.75" x14ac:dyDescent="0.2">
      <c r="A54" s="38" t="s">
        <v>387</v>
      </c>
      <c r="B54" s="284">
        <v>20259</v>
      </c>
      <c r="C54" s="285">
        <v>22921</v>
      </c>
      <c r="D54" s="257">
        <f t="shared" si="12"/>
        <v>13.1</v>
      </c>
      <c r="E54" s="27">
        <f>IFERROR(100/'Skjema total MA'!C54*C54,0)</f>
        <v>23.468954078584968</v>
      </c>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v>41826</v>
      </c>
      <c r="C56" s="314">
        <v>28178</v>
      </c>
      <c r="D56" s="432">
        <f t="shared" si="12"/>
        <v>-32.6</v>
      </c>
      <c r="E56" s="11">
        <f>IFERROR(100/'Skjema total MA'!C56*C56,0)</f>
        <v>26.458048519016884</v>
      </c>
      <c r="F56" s="145"/>
      <c r="G56" s="33"/>
      <c r="H56" s="145"/>
      <c r="I56" s="145"/>
      <c r="J56" s="33"/>
      <c r="K56" s="33"/>
      <c r="L56" s="159"/>
      <c r="M56" s="159"/>
      <c r="N56" s="148"/>
      <c r="O56" s="148"/>
    </row>
    <row r="57" spans="1:15" s="3" customFormat="1" ht="15.75" x14ac:dyDescent="0.2">
      <c r="A57" s="38" t="s">
        <v>387</v>
      </c>
      <c r="B57" s="284">
        <v>41826</v>
      </c>
      <c r="C57" s="285">
        <v>28178</v>
      </c>
      <c r="D57" s="257">
        <f t="shared" si="12"/>
        <v>-32.6</v>
      </c>
      <c r="E57" s="27">
        <f>IFERROR(100/'Skjema total MA'!C57*C57,0)</f>
        <v>26.45886165804178</v>
      </c>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v>2506561</v>
      </c>
      <c r="C66" s="357">
        <v>2432550</v>
      </c>
      <c r="D66" s="354">
        <f t="shared" ref="D66:D111" si="13">IF(B66=0, "    ---- ", IF(ABS(ROUND(100/B66*C66-100,1))&lt;999,ROUND(100/B66*C66-100,1),IF(ROUND(100/B66*C66-100,1)&gt;999,999,-999)))</f>
        <v>-3</v>
      </c>
      <c r="E66" s="11">
        <f>IFERROR(100/'Skjema total MA'!C66*C66,0)</f>
        <v>33.8025514990331</v>
      </c>
      <c r="F66" s="356">
        <v>5581042</v>
      </c>
      <c r="G66" s="356">
        <v>5943802</v>
      </c>
      <c r="H66" s="354">
        <f t="shared" ref="H66:H111" si="14">IF(F66=0, "    ---- ", IF(ABS(ROUND(100/F66*G66-100,1))&lt;999,ROUND(100/F66*G66-100,1),IF(ROUND(100/F66*G66-100,1)&gt;999,999,-999)))</f>
        <v>6.5</v>
      </c>
      <c r="I66" s="11">
        <f>IFERROR(100/'Skjema total MA'!F66*G66,0)</f>
        <v>27.667840984666348</v>
      </c>
      <c r="J66" s="312">
        <f t="shared" ref="J66:K86" si="15">SUM(B66,F66)</f>
        <v>8087603</v>
      </c>
      <c r="K66" s="319">
        <f t="shared" si="15"/>
        <v>8376352</v>
      </c>
      <c r="L66" s="432">
        <f t="shared" ref="L66:L111" si="16">IF(J66=0, "    ---- ", IF(ABS(ROUND(100/J66*K66-100,1))&lt;999,ROUND(100/J66*K66-100,1),IF(ROUND(100/J66*K66-100,1)&gt;999,999,-999)))</f>
        <v>3.6</v>
      </c>
      <c r="M66" s="11">
        <f>IFERROR(100/'Skjema total MA'!I66*K66,0)</f>
        <v>29.20720543391888</v>
      </c>
      <c r="O66" s="148"/>
    </row>
    <row r="67" spans="1:15" x14ac:dyDescent="0.2">
      <c r="A67" s="21" t="s">
        <v>9</v>
      </c>
      <c r="B67" s="44">
        <v>2479523</v>
      </c>
      <c r="C67" s="145">
        <v>2408137</v>
      </c>
      <c r="D67" s="166">
        <f t="shared" si="13"/>
        <v>-2.9</v>
      </c>
      <c r="E67" s="27">
        <f>IFERROR(100/'Skjema total MA'!C67*C67,0)</f>
        <v>41.519243084009894</v>
      </c>
      <c r="F67" s="235"/>
      <c r="G67" s="145"/>
      <c r="H67" s="166"/>
      <c r="I67" s="27"/>
      <c r="J67" s="290">
        <f t="shared" si="15"/>
        <v>2479523</v>
      </c>
      <c r="K67" s="44">
        <f t="shared" si="15"/>
        <v>2408137</v>
      </c>
      <c r="L67" s="257">
        <f t="shared" si="16"/>
        <v>-2.9</v>
      </c>
      <c r="M67" s="27">
        <f>IFERROR(100/'Skjema total MA'!I67*K67,0)</f>
        <v>41.519243084009894</v>
      </c>
      <c r="O67" s="148"/>
    </row>
    <row r="68" spans="1:15" x14ac:dyDescent="0.2">
      <c r="A68" s="21" t="s">
        <v>10</v>
      </c>
      <c r="B68" s="295"/>
      <c r="C68" s="296"/>
      <c r="D68" s="166"/>
      <c r="E68" s="27"/>
      <c r="F68" s="295">
        <v>5581042</v>
      </c>
      <c r="G68" s="296">
        <v>5943802</v>
      </c>
      <c r="H68" s="166">
        <f t="shared" si="14"/>
        <v>6.5</v>
      </c>
      <c r="I68" s="27">
        <f>IFERROR(100/'Skjema total MA'!F68*G68,0)</f>
        <v>28.065837069924552</v>
      </c>
      <c r="J68" s="290">
        <f t="shared" si="15"/>
        <v>5581042</v>
      </c>
      <c r="K68" s="44">
        <f t="shared" si="15"/>
        <v>5943802</v>
      </c>
      <c r="L68" s="257">
        <f t="shared" si="16"/>
        <v>6.5</v>
      </c>
      <c r="M68" s="27">
        <f>IFERROR(100/'Skjema total MA'!I68*K68,0)</f>
        <v>27.891374789697618</v>
      </c>
      <c r="O68" s="148"/>
    </row>
    <row r="69" spans="1:15" ht="15.75" x14ac:dyDescent="0.2">
      <c r="A69" s="299" t="s">
        <v>391</v>
      </c>
      <c r="B69" s="284" t="s">
        <v>422</v>
      </c>
      <c r="C69" s="284" t="s">
        <v>422</v>
      </c>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t="s">
        <v>422</v>
      </c>
      <c r="C72" s="284" t="s">
        <v>422</v>
      </c>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v>27038</v>
      </c>
      <c r="C76" s="145">
        <v>24413</v>
      </c>
      <c r="D76" s="166">
        <f t="shared" ref="D76" si="17">IF(B76=0, "    ---- ", IF(ABS(ROUND(100/B76*C76-100,1))&lt;999,ROUND(100/B76*C76-100,1),IF(ROUND(100/B76*C76-100,1)&gt;999,999,-999)))</f>
        <v>-9.6999999999999993</v>
      </c>
      <c r="E76" s="27">
        <f>IFERROR(100/'Skjema total MA'!C77*C76,0)</f>
        <v>0.418986549023804</v>
      </c>
      <c r="F76" s="235"/>
      <c r="G76" s="145"/>
      <c r="H76" s="166"/>
      <c r="I76" s="27"/>
      <c r="J76" s="290">
        <f t="shared" ref="J76" si="18">SUM(B76,F76)</f>
        <v>27038</v>
      </c>
      <c r="K76" s="44">
        <f t="shared" ref="K76" si="19">SUM(C76,G76)</f>
        <v>24413</v>
      </c>
      <c r="L76" s="257">
        <f t="shared" ref="L76" si="20">IF(J76=0, "    ---- ", IF(ABS(ROUND(100/J76*K76-100,1))&lt;999,ROUND(100/J76*K76-100,1),IF(ROUND(100/J76*K76-100,1)&gt;999,999,-999)))</f>
        <v>-9.6999999999999993</v>
      </c>
      <c r="M76" s="27">
        <f>IFERROR(100/'Skjema total MA'!I77*K76,0)</f>
        <v>9.0435073434040641E-2</v>
      </c>
      <c r="N76" s="148"/>
      <c r="O76" s="148"/>
    </row>
    <row r="77" spans="1:15" ht="15.75" x14ac:dyDescent="0.2">
      <c r="A77" s="21" t="s">
        <v>393</v>
      </c>
      <c r="B77" s="235">
        <v>2447735.341</v>
      </c>
      <c r="C77" s="235">
        <v>2383260</v>
      </c>
      <c r="D77" s="166">
        <f t="shared" si="13"/>
        <v>-2.6</v>
      </c>
      <c r="E77" s="27">
        <f>IFERROR(100/'Skjema total MA'!C77*C77,0)</f>
        <v>40.902547119422891</v>
      </c>
      <c r="F77" s="235">
        <v>5581042</v>
      </c>
      <c r="G77" s="145">
        <v>5943802</v>
      </c>
      <c r="H77" s="166">
        <f t="shared" si="14"/>
        <v>6.5</v>
      </c>
      <c r="I77" s="27">
        <f>IFERROR(100/'Skjema total MA'!F77*G77,0)</f>
        <v>28.07868320248237</v>
      </c>
      <c r="J77" s="290">
        <f t="shared" si="15"/>
        <v>8028777.341</v>
      </c>
      <c r="K77" s="44">
        <f t="shared" si="15"/>
        <v>8327062</v>
      </c>
      <c r="L77" s="257">
        <f t="shared" si="16"/>
        <v>3.7</v>
      </c>
      <c r="M77" s="27">
        <f>IFERROR(100/'Skjema total MA'!I77*K77,0)</f>
        <v>30.846617108090335</v>
      </c>
      <c r="O77" s="148"/>
    </row>
    <row r="78" spans="1:15" x14ac:dyDescent="0.2">
      <c r="A78" s="21" t="s">
        <v>9</v>
      </c>
      <c r="B78" s="235">
        <v>2447735.341</v>
      </c>
      <c r="C78" s="145">
        <v>2383260</v>
      </c>
      <c r="D78" s="166">
        <f t="shared" si="13"/>
        <v>-2.6</v>
      </c>
      <c r="E78" s="27">
        <f>IFERROR(100/'Skjema total MA'!C78*C78,0)</f>
        <v>41.831119049648329</v>
      </c>
      <c r="F78" s="235"/>
      <c r="G78" s="145"/>
      <c r="H78" s="166"/>
      <c r="I78" s="27"/>
      <c r="J78" s="290">
        <f t="shared" si="15"/>
        <v>2447735.341</v>
      </c>
      <c r="K78" s="44">
        <f t="shared" si="15"/>
        <v>2383260</v>
      </c>
      <c r="L78" s="257">
        <f t="shared" si="16"/>
        <v>-2.6</v>
      </c>
      <c r="M78" s="27">
        <f>IFERROR(100/'Skjema total MA'!I78*K78,0)</f>
        <v>41.831119049648329</v>
      </c>
      <c r="O78" s="148"/>
    </row>
    <row r="79" spans="1:15" x14ac:dyDescent="0.2">
      <c r="A79" s="21" t="s">
        <v>10</v>
      </c>
      <c r="B79" s="295"/>
      <c r="C79" s="296"/>
      <c r="D79" s="166"/>
      <c r="E79" s="27"/>
      <c r="F79" s="295">
        <v>5581042</v>
      </c>
      <c r="G79" s="296">
        <v>5943802</v>
      </c>
      <c r="H79" s="166">
        <f t="shared" si="14"/>
        <v>6.5</v>
      </c>
      <c r="I79" s="27">
        <f>IFERROR(100/'Skjema total MA'!F79*G79,0)</f>
        <v>28.07868320248237</v>
      </c>
      <c r="J79" s="290">
        <f t="shared" si="15"/>
        <v>5581042</v>
      </c>
      <c r="K79" s="44">
        <f t="shared" si="15"/>
        <v>5943802</v>
      </c>
      <c r="L79" s="257">
        <f t="shared" si="16"/>
        <v>6.5</v>
      </c>
      <c r="M79" s="27">
        <f>IFERROR(100/'Skjema total MA'!I79*K79,0)</f>
        <v>27.908161067006475</v>
      </c>
      <c r="O79" s="148"/>
    </row>
    <row r="80" spans="1:15" ht="15.75" x14ac:dyDescent="0.2">
      <c r="A80" s="299" t="s">
        <v>391</v>
      </c>
      <c r="B80" s="284" t="s">
        <v>422</v>
      </c>
      <c r="C80" s="284" t="s">
        <v>422</v>
      </c>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t="s">
        <v>422</v>
      </c>
      <c r="C83" s="284" t="s">
        <v>422</v>
      </c>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v>31787.659</v>
      </c>
      <c r="C86" s="145">
        <v>24877</v>
      </c>
      <c r="D86" s="166">
        <f t="shared" si="13"/>
        <v>-21.7</v>
      </c>
      <c r="E86" s="27">
        <f>IFERROR(100/'Skjema total MA'!C86*C86,0)</f>
        <v>23.503952895875106</v>
      </c>
      <c r="F86" s="235"/>
      <c r="G86" s="145"/>
      <c r="H86" s="166"/>
      <c r="I86" s="27"/>
      <c r="J86" s="290">
        <f t="shared" si="15"/>
        <v>31787.659</v>
      </c>
      <c r="K86" s="44">
        <f t="shared" si="15"/>
        <v>24877</v>
      </c>
      <c r="L86" s="257">
        <f t="shared" si="16"/>
        <v>-21.7</v>
      </c>
      <c r="M86" s="27">
        <f>IFERROR(100/'Skjema total MA'!I86*K86,0)</f>
        <v>21.532779011440844</v>
      </c>
      <c r="O86" s="148"/>
    </row>
    <row r="87" spans="1:15" ht="15.75" x14ac:dyDescent="0.2">
      <c r="A87" s="13" t="s">
        <v>376</v>
      </c>
      <c r="B87" s="357">
        <v>155333800</v>
      </c>
      <c r="C87" s="357">
        <v>156348172</v>
      </c>
      <c r="D87" s="171">
        <f t="shared" si="13"/>
        <v>0.7</v>
      </c>
      <c r="E87" s="11">
        <f>IFERROR(100/'Skjema total MA'!C87*C87,0)</f>
        <v>40.530700753358694</v>
      </c>
      <c r="F87" s="356">
        <v>59365458</v>
      </c>
      <c r="G87" s="356">
        <v>70669452</v>
      </c>
      <c r="H87" s="171">
        <f t="shared" si="14"/>
        <v>19</v>
      </c>
      <c r="I87" s="11">
        <f>IFERROR(100/'Skjema total MA'!F87*G87,0)</f>
        <v>27.223740238407053</v>
      </c>
      <c r="J87" s="312">
        <f t="shared" ref="J87:K111" si="21">SUM(B87,F87)</f>
        <v>214699258</v>
      </c>
      <c r="K87" s="237">
        <f t="shared" si="21"/>
        <v>227017624</v>
      </c>
      <c r="L87" s="432">
        <f t="shared" si="16"/>
        <v>5.7</v>
      </c>
      <c r="M87" s="11">
        <f>IFERROR(100/'Skjema total MA'!I87*K87,0)</f>
        <v>35.177984962205642</v>
      </c>
      <c r="O87" s="148"/>
    </row>
    <row r="88" spans="1:15" x14ac:dyDescent="0.2">
      <c r="A88" s="21" t="s">
        <v>9</v>
      </c>
      <c r="B88" s="235">
        <v>154467478</v>
      </c>
      <c r="C88" s="145">
        <v>155550976</v>
      </c>
      <c r="D88" s="166">
        <f t="shared" si="13"/>
        <v>0.7</v>
      </c>
      <c r="E88" s="27">
        <f>IFERROR(100/'Skjema total MA'!C88*C88,0)</f>
        <v>41.257911186764254</v>
      </c>
      <c r="F88" s="235"/>
      <c r="G88" s="145"/>
      <c r="H88" s="166"/>
      <c r="I88" s="27"/>
      <c r="J88" s="290">
        <f t="shared" si="21"/>
        <v>154467478</v>
      </c>
      <c r="K88" s="44">
        <f t="shared" si="21"/>
        <v>155550976</v>
      </c>
      <c r="L88" s="257">
        <f t="shared" si="16"/>
        <v>0.7</v>
      </c>
      <c r="M88" s="27">
        <f>IFERROR(100/'Skjema total MA'!I88*K88,0)</f>
        <v>41.257911186764254</v>
      </c>
      <c r="O88" s="148"/>
    </row>
    <row r="89" spans="1:15" x14ac:dyDescent="0.2">
      <c r="A89" s="21" t="s">
        <v>10</v>
      </c>
      <c r="B89" s="235">
        <v>96493</v>
      </c>
      <c r="C89" s="145">
        <v>98181</v>
      </c>
      <c r="D89" s="166">
        <f t="shared" si="13"/>
        <v>1.7</v>
      </c>
      <c r="E89" s="27">
        <f>IFERROR(100/'Skjema total MA'!C89*C89,0)</f>
        <v>3.7233110078008131</v>
      </c>
      <c r="F89" s="235">
        <v>59365458</v>
      </c>
      <c r="G89" s="145">
        <v>70669452</v>
      </c>
      <c r="H89" s="166">
        <f t="shared" si="14"/>
        <v>19</v>
      </c>
      <c r="I89" s="27">
        <f>IFERROR(100/'Skjema total MA'!F89*G89,0)</f>
        <v>27.332342334389871</v>
      </c>
      <c r="J89" s="290">
        <f t="shared" si="21"/>
        <v>59461951</v>
      </c>
      <c r="K89" s="44">
        <f t="shared" si="21"/>
        <v>70767633</v>
      </c>
      <c r="L89" s="257">
        <f t="shared" si="16"/>
        <v>19</v>
      </c>
      <c r="M89" s="27">
        <f>IFERROR(100/'Skjema total MA'!I89*K89,0)</f>
        <v>27.093992615728407</v>
      </c>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v>769829</v>
      </c>
      <c r="C97" s="145">
        <v>699015</v>
      </c>
      <c r="D97" s="166">
        <f t="shared" ref="D97" si="22">IF(B97=0, "    ---- ", IF(ABS(ROUND(100/B97*C97-100,1))&lt;999,ROUND(100/B97*C97-100,1),IF(ROUND(100/B97*C97-100,1)&gt;999,999,-999)))</f>
        <v>-9.1999999999999993</v>
      </c>
      <c r="E97" s="27">
        <f>IFERROR(100/'Skjema total MA'!C98*C97,0)</f>
        <v>0.18650326683879051</v>
      </c>
      <c r="F97" s="235"/>
      <c r="G97" s="145"/>
      <c r="H97" s="166"/>
      <c r="I97" s="27"/>
      <c r="J97" s="290">
        <f t="shared" ref="J97" si="23">SUM(B97,F97)</f>
        <v>769829</v>
      </c>
      <c r="K97" s="44">
        <f t="shared" ref="K97" si="24">SUM(C97,G97)</f>
        <v>699015</v>
      </c>
      <c r="L97" s="257">
        <f t="shared" ref="L97" si="25">IF(J97=0, "    ---- ", IF(ABS(ROUND(100/J97*K97-100,1))&lt;999,ROUND(100/J97*K97-100,1),IF(ROUND(100/J97*K97-100,1)&gt;999,999,-999)))</f>
        <v>-9.1999999999999993</v>
      </c>
      <c r="M97" s="27">
        <f>IFERROR(100/'Skjema total MA'!I98*K97,0)</f>
        <v>0.11048928743553499</v>
      </c>
      <c r="O97" s="148"/>
    </row>
    <row r="98" spans="1:15" ht="15.75" x14ac:dyDescent="0.2">
      <c r="A98" s="21" t="s">
        <v>393</v>
      </c>
      <c r="B98" s="235">
        <v>153200583</v>
      </c>
      <c r="C98" s="235">
        <v>154267298</v>
      </c>
      <c r="D98" s="166">
        <f t="shared" si="13"/>
        <v>0.7</v>
      </c>
      <c r="E98" s="27">
        <f>IFERROR(100/'Skjema total MA'!C98*C98,0)</f>
        <v>41.159853570228407</v>
      </c>
      <c r="F98" s="295">
        <v>59226369</v>
      </c>
      <c r="G98" s="295">
        <v>70546631</v>
      </c>
      <c r="H98" s="166">
        <f t="shared" si="14"/>
        <v>19.100000000000001</v>
      </c>
      <c r="I98" s="27">
        <f>IFERROR(100/'Skjema total MA'!F98*G98,0)</f>
        <v>27.359170796206989</v>
      </c>
      <c r="J98" s="290">
        <f t="shared" si="21"/>
        <v>212426952</v>
      </c>
      <c r="K98" s="44">
        <f t="shared" si="21"/>
        <v>224813929</v>
      </c>
      <c r="L98" s="257">
        <f t="shared" si="16"/>
        <v>5.8</v>
      </c>
      <c r="M98" s="27">
        <f>IFERROR(100/'Skjema total MA'!I98*K98,0)</f>
        <v>35.535046917151924</v>
      </c>
      <c r="O98" s="148"/>
    </row>
    <row r="99" spans="1:15" x14ac:dyDescent="0.2">
      <c r="A99" s="21" t="s">
        <v>9</v>
      </c>
      <c r="B99" s="295">
        <v>153104090</v>
      </c>
      <c r="C99" s="296">
        <v>154169117</v>
      </c>
      <c r="D99" s="166">
        <f t="shared" si="13"/>
        <v>0.7</v>
      </c>
      <c r="E99" s="27">
        <f>IFERROR(100/'Skjema total MA'!C99*C99,0)</f>
        <v>41.425106456266519</v>
      </c>
      <c r="F99" s="235"/>
      <c r="G99" s="145"/>
      <c r="H99" s="166"/>
      <c r="I99" s="27"/>
      <c r="J99" s="290">
        <f t="shared" si="21"/>
        <v>153104090</v>
      </c>
      <c r="K99" s="44">
        <f t="shared" si="21"/>
        <v>154169117</v>
      </c>
      <c r="L99" s="257">
        <f t="shared" si="16"/>
        <v>0.7</v>
      </c>
      <c r="M99" s="27">
        <f>IFERROR(100/'Skjema total MA'!I99*K99,0)</f>
        <v>41.425106456266519</v>
      </c>
      <c r="O99" s="148"/>
    </row>
    <row r="100" spans="1:15" x14ac:dyDescent="0.2">
      <c r="A100" s="21" t="s">
        <v>10</v>
      </c>
      <c r="B100" s="295">
        <v>96493</v>
      </c>
      <c r="C100" s="296">
        <v>98181</v>
      </c>
      <c r="D100" s="166">
        <f t="shared" si="13"/>
        <v>1.7</v>
      </c>
      <c r="E100" s="27">
        <f>IFERROR(100/'Skjema total MA'!C100*C100,0)</f>
        <v>3.7233110078008131</v>
      </c>
      <c r="F100" s="235">
        <v>59226369</v>
      </c>
      <c r="G100" s="235">
        <v>70546631</v>
      </c>
      <c r="H100" s="166">
        <f t="shared" si="14"/>
        <v>19.100000000000001</v>
      </c>
      <c r="I100" s="27">
        <f>IFERROR(100/'Skjema total MA'!F100*G100,0)</f>
        <v>27.359170796206989</v>
      </c>
      <c r="J100" s="290">
        <f t="shared" si="21"/>
        <v>59322862</v>
      </c>
      <c r="K100" s="44">
        <f t="shared" si="21"/>
        <v>70644812</v>
      </c>
      <c r="L100" s="257">
        <f t="shared" si="16"/>
        <v>19.100000000000001</v>
      </c>
      <c r="M100" s="27">
        <f>IFERROR(100/'Skjema total MA'!I100*K100,0)</f>
        <v>27.119906740583939</v>
      </c>
      <c r="O100" s="148"/>
    </row>
    <row r="101" spans="1:15" ht="15.75" x14ac:dyDescent="0.2">
      <c r="A101" s="299" t="s">
        <v>391</v>
      </c>
      <c r="B101" s="284" t="s">
        <v>422</v>
      </c>
      <c r="C101" s="284" t="s">
        <v>422</v>
      </c>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t="s">
        <v>422</v>
      </c>
      <c r="C104" s="284" t="s">
        <v>422</v>
      </c>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v>1363388</v>
      </c>
      <c r="C107" s="145">
        <v>1381859.4210000001</v>
      </c>
      <c r="D107" s="166">
        <f t="shared" si="13"/>
        <v>1.4</v>
      </c>
      <c r="E107" s="27">
        <f>IFERROR(100/'Skjema total MA'!C107*C107,0)</f>
        <v>28.448013794515315</v>
      </c>
      <c r="F107" s="235">
        <v>139089</v>
      </c>
      <c r="G107" s="145">
        <v>122821.439</v>
      </c>
      <c r="H107" s="166">
        <f t="shared" si="14"/>
        <v>-11.7</v>
      </c>
      <c r="I107" s="27">
        <f>IFERROR(100/'Skjema total MA'!F107*G107,0)</f>
        <v>17.484426486263327</v>
      </c>
      <c r="J107" s="290">
        <f t="shared" si="21"/>
        <v>1502477</v>
      </c>
      <c r="K107" s="44">
        <f t="shared" si="21"/>
        <v>1504680.86</v>
      </c>
      <c r="L107" s="257">
        <f t="shared" si="16"/>
        <v>0.1</v>
      </c>
      <c r="M107" s="27">
        <f>IFERROR(100/'Skjema total MA'!I107*K107,0)</f>
        <v>27.06283946617328</v>
      </c>
      <c r="O107" s="148"/>
    </row>
    <row r="108" spans="1:15" ht="15.75" x14ac:dyDescent="0.2">
      <c r="A108" s="21" t="s">
        <v>395</v>
      </c>
      <c r="B108" s="235">
        <v>125677212</v>
      </c>
      <c r="C108" s="235">
        <v>130899804</v>
      </c>
      <c r="D108" s="166">
        <f t="shared" si="13"/>
        <v>4.2</v>
      </c>
      <c r="E108" s="27">
        <f>IFERROR(100/'Skjema total MA'!C108*C108,0)</f>
        <v>42.385025743176229</v>
      </c>
      <c r="F108" s="235">
        <v>275000</v>
      </c>
      <c r="G108" s="235">
        <v>375882.39399999997</v>
      </c>
      <c r="H108" s="166">
        <f t="shared" si="14"/>
        <v>36.700000000000003</v>
      </c>
      <c r="I108" s="27">
        <f>IFERROR(100/'Skjema total MA'!F108*G108,0)</f>
        <v>2.3222992408740164</v>
      </c>
      <c r="J108" s="290">
        <f t="shared" si="21"/>
        <v>125952212</v>
      </c>
      <c r="K108" s="44">
        <f t="shared" si="21"/>
        <v>131275686.39399999</v>
      </c>
      <c r="L108" s="257">
        <f t="shared" si="16"/>
        <v>4.2</v>
      </c>
      <c r="M108" s="27">
        <f>IFERROR(100/'Skjema total MA'!I108*K108,0)</f>
        <v>40.389932771022693</v>
      </c>
      <c r="O108" s="148"/>
    </row>
    <row r="109" spans="1:15" ht="15.75" x14ac:dyDescent="0.2">
      <c r="A109" s="21" t="s">
        <v>396</v>
      </c>
      <c r="B109" s="235">
        <v>96493</v>
      </c>
      <c r="C109" s="235">
        <v>98181</v>
      </c>
      <c r="D109" s="166">
        <f t="shared" si="13"/>
        <v>1.7</v>
      </c>
      <c r="E109" s="27">
        <f>IFERROR(100/'Skjema total MA'!C109*C109,0)</f>
        <v>10.667785200488019</v>
      </c>
      <c r="F109" s="235">
        <v>17309018</v>
      </c>
      <c r="G109" s="235">
        <v>21022106</v>
      </c>
      <c r="H109" s="166">
        <f t="shared" si="14"/>
        <v>21.5</v>
      </c>
      <c r="I109" s="27">
        <f>IFERROR(100/'Skjema total MA'!F109*G109,0)</f>
        <v>25.55785212012896</v>
      </c>
      <c r="J109" s="290">
        <f t="shared" si="21"/>
        <v>17405511</v>
      </c>
      <c r="K109" s="44">
        <f t="shared" si="21"/>
        <v>21120287</v>
      </c>
      <c r="L109" s="257">
        <f t="shared" si="16"/>
        <v>21.3</v>
      </c>
      <c r="M109" s="27">
        <f>IFERROR(100/'Skjema total MA'!I109*K109,0)</f>
        <v>25.393086907963017</v>
      </c>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v>318309</v>
      </c>
      <c r="C111" s="159">
        <v>182750</v>
      </c>
      <c r="D111" s="171">
        <f t="shared" si="13"/>
        <v>-42.6</v>
      </c>
      <c r="E111" s="11">
        <f>IFERROR(100/'Skjema total MA'!C111*C111,0)</f>
        <v>51.136409510002885</v>
      </c>
      <c r="F111" s="311">
        <v>2855535</v>
      </c>
      <c r="G111" s="159">
        <v>2972845</v>
      </c>
      <c r="H111" s="171">
        <f t="shared" si="14"/>
        <v>4.0999999999999996</v>
      </c>
      <c r="I111" s="11">
        <f>IFERROR(100/'Skjema total MA'!F111*G111,0)</f>
        <v>27.491532668807697</v>
      </c>
      <c r="J111" s="312">
        <f t="shared" si="21"/>
        <v>3173844</v>
      </c>
      <c r="K111" s="237">
        <f t="shared" si="21"/>
        <v>3155595</v>
      </c>
      <c r="L111" s="432">
        <f t="shared" si="16"/>
        <v>-0.6</v>
      </c>
      <c r="M111" s="11">
        <f>IFERROR(100/'Skjema total MA'!I111*K111,0)</f>
        <v>28.247965062296498</v>
      </c>
      <c r="O111" s="148"/>
    </row>
    <row r="112" spans="1:15" x14ac:dyDescent="0.2">
      <c r="A112" s="21" t="s">
        <v>9</v>
      </c>
      <c r="B112" s="235">
        <v>318309</v>
      </c>
      <c r="C112" s="145">
        <v>182750</v>
      </c>
      <c r="D112" s="166">
        <f t="shared" ref="D112:D124" si="26">IF(B112=0, "    ---- ", IF(ABS(ROUND(100/B112*C112-100,1))&lt;999,ROUND(100/B112*C112-100,1),IF(ROUND(100/B112*C112-100,1)&gt;999,999,-999)))</f>
        <v>-42.6</v>
      </c>
      <c r="E112" s="27">
        <f>IFERROR(100/'Skjema total MA'!C112*C112,0)</f>
        <v>59.573181410089276</v>
      </c>
      <c r="F112" s="235"/>
      <c r="G112" s="145"/>
      <c r="H112" s="166"/>
      <c r="I112" s="27"/>
      <c r="J112" s="290">
        <f t="shared" ref="J112:K125" si="27">SUM(B112,F112)</f>
        <v>318309</v>
      </c>
      <c r="K112" s="44">
        <f t="shared" si="27"/>
        <v>182750</v>
      </c>
      <c r="L112" s="257">
        <f t="shared" ref="L112:L125" si="28">IF(J112=0, "    ---- ", IF(ABS(ROUND(100/J112*K112-100,1))&lt;999,ROUND(100/J112*K112-100,1),IF(ROUND(100/J112*K112-100,1)&gt;999,999,-999)))</f>
        <v>-42.6</v>
      </c>
      <c r="M112" s="27">
        <f>IFERROR(100/'Skjema total MA'!I112*K112,0)</f>
        <v>59.294422455191075</v>
      </c>
      <c r="O112" s="148"/>
    </row>
    <row r="113" spans="1:15" x14ac:dyDescent="0.2">
      <c r="A113" s="21" t="s">
        <v>10</v>
      </c>
      <c r="B113" s="235"/>
      <c r="C113" s="145"/>
      <c r="D113" s="166"/>
      <c r="E113" s="27"/>
      <c r="F113" s="235">
        <v>2855535</v>
      </c>
      <c r="G113" s="145">
        <v>2972845</v>
      </c>
      <c r="H113" s="166">
        <f t="shared" ref="H113:H125" si="29">IF(F113=0, "    ---- ", IF(ABS(ROUND(100/F113*G113-100,1))&lt;999,ROUND(100/F113*G113-100,1),IF(ROUND(100/F113*G113-100,1)&gt;999,999,-999)))</f>
        <v>4.0999999999999996</v>
      </c>
      <c r="I113" s="27">
        <f>IFERROR(100/'Skjema total MA'!F113*G113,0)</f>
        <v>27.595283800657061</v>
      </c>
      <c r="J113" s="290">
        <f t="shared" si="27"/>
        <v>2855535</v>
      </c>
      <c r="K113" s="44">
        <f t="shared" si="27"/>
        <v>2972845</v>
      </c>
      <c r="L113" s="257">
        <f t="shared" si="28"/>
        <v>4.0999999999999996</v>
      </c>
      <c r="M113" s="27">
        <f>IFERROR(100/'Skjema total MA'!I113*K113,0)</f>
        <v>27.590070387374414</v>
      </c>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v>99659.505770000003</v>
      </c>
      <c r="C116" s="235">
        <v>104937</v>
      </c>
      <c r="D116" s="166">
        <f t="shared" si="26"/>
        <v>5.3</v>
      </c>
      <c r="E116" s="27">
        <f>IFERROR(100/'Skjema total MA'!C116*C116,0)</f>
        <v>68.517546193785847</v>
      </c>
      <c r="F116" s="235"/>
      <c r="G116" s="235"/>
      <c r="H116" s="166"/>
      <c r="I116" s="27"/>
      <c r="J116" s="290">
        <f t="shared" si="27"/>
        <v>99659.505770000003</v>
      </c>
      <c r="K116" s="44">
        <f t="shared" si="27"/>
        <v>104937</v>
      </c>
      <c r="L116" s="257">
        <f t="shared" si="28"/>
        <v>5.3</v>
      </c>
      <c r="M116" s="27">
        <f>IFERROR(100/'Skjema total MA'!I116*K116,0)</f>
        <v>67.543517533432748</v>
      </c>
      <c r="O116" s="148"/>
    </row>
    <row r="117" spans="1:15" ht="15.75" x14ac:dyDescent="0.2">
      <c r="A117" s="21" t="s">
        <v>399</v>
      </c>
      <c r="B117" s="235"/>
      <c r="C117" s="235"/>
      <c r="D117" s="166"/>
      <c r="E117" s="27"/>
      <c r="F117" s="235">
        <v>192097.78072000001</v>
      </c>
      <c r="G117" s="235">
        <v>236798.66699999999</v>
      </c>
      <c r="H117" s="166">
        <f t="shared" si="29"/>
        <v>23.3</v>
      </c>
      <c r="I117" s="27">
        <f>IFERROR(100/'Skjema total MA'!F117*G117,0)</f>
        <v>14.390196125061861</v>
      </c>
      <c r="J117" s="290">
        <f t="shared" si="27"/>
        <v>192097.78072000001</v>
      </c>
      <c r="K117" s="44">
        <f t="shared" si="27"/>
        <v>236798.66699999999</v>
      </c>
      <c r="L117" s="257">
        <f t="shared" si="28"/>
        <v>23.3</v>
      </c>
      <c r="M117" s="27">
        <f>IFERROR(100/'Skjema total MA'!I117*K117,0)</f>
        <v>14.390196125061861</v>
      </c>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v>79366</v>
      </c>
      <c r="C119" s="159">
        <v>140506</v>
      </c>
      <c r="D119" s="171">
        <f t="shared" si="26"/>
        <v>77</v>
      </c>
      <c r="E119" s="11">
        <f>IFERROR(100/'Skjema total MA'!C119*C119,0)</f>
        <v>17.693786104269968</v>
      </c>
      <c r="F119" s="311">
        <v>1408460</v>
      </c>
      <c r="G119" s="159">
        <v>3283496</v>
      </c>
      <c r="H119" s="171">
        <f t="shared" si="29"/>
        <v>133.1</v>
      </c>
      <c r="I119" s="11">
        <f>IFERROR(100/'Skjema total MA'!F119*G119,0)</f>
        <v>30.141488783959716</v>
      </c>
      <c r="J119" s="312">
        <f t="shared" si="27"/>
        <v>1487826</v>
      </c>
      <c r="K119" s="237">
        <f t="shared" si="27"/>
        <v>3424002</v>
      </c>
      <c r="L119" s="432">
        <f t="shared" si="28"/>
        <v>130.1</v>
      </c>
      <c r="M119" s="11">
        <f>IFERROR(100/'Skjema total MA'!I119*K119,0)</f>
        <v>29.295754413959386</v>
      </c>
      <c r="O119" s="148"/>
    </row>
    <row r="120" spans="1:15" x14ac:dyDescent="0.2">
      <c r="A120" s="21" t="s">
        <v>9</v>
      </c>
      <c r="B120" s="235">
        <v>79366</v>
      </c>
      <c r="C120" s="145">
        <v>140506</v>
      </c>
      <c r="D120" s="166">
        <f t="shared" si="26"/>
        <v>77</v>
      </c>
      <c r="E120" s="27">
        <f>IFERROR(100/'Skjema total MA'!C120*C120,0)</f>
        <v>37.211590034505619</v>
      </c>
      <c r="F120" s="235"/>
      <c r="G120" s="145"/>
      <c r="H120" s="166"/>
      <c r="I120" s="27"/>
      <c r="J120" s="290">
        <f t="shared" si="27"/>
        <v>79366</v>
      </c>
      <c r="K120" s="44">
        <f t="shared" si="27"/>
        <v>140506</v>
      </c>
      <c r="L120" s="257">
        <f t="shared" si="28"/>
        <v>77</v>
      </c>
      <c r="M120" s="27">
        <f>IFERROR(100/'Skjema total MA'!I120*K120,0)</f>
        <v>37.211590034505619</v>
      </c>
      <c r="O120" s="148"/>
    </row>
    <row r="121" spans="1:15" x14ac:dyDescent="0.2">
      <c r="A121" s="21" t="s">
        <v>10</v>
      </c>
      <c r="B121" s="235"/>
      <c r="C121" s="145"/>
      <c r="D121" s="166"/>
      <c r="E121" s="27"/>
      <c r="F121" s="235">
        <v>1408460</v>
      </c>
      <c r="G121" s="145">
        <v>3283496</v>
      </c>
      <c r="H121" s="166">
        <f t="shared" si="29"/>
        <v>133.1</v>
      </c>
      <c r="I121" s="27">
        <f>IFERROR(100/'Skjema total MA'!F121*G121,0)</f>
        <v>30.141488783959716</v>
      </c>
      <c r="J121" s="290">
        <f t="shared" si="27"/>
        <v>1408460</v>
      </c>
      <c r="K121" s="44">
        <f t="shared" si="27"/>
        <v>3283496</v>
      </c>
      <c r="L121" s="257">
        <f t="shared" si="28"/>
        <v>133.1</v>
      </c>
      <c r="M121" s="27">
        <f>IFERROR(100/'Skjema total MA'!I121*K121,0)</f>
        <v>30.066346267988159</v>
      </c>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t="s">
        <v>422</v>
      </c>
      <c r="C123" s="284" t="s">
        <v>422</v>
      </c>
      <c r="D123" s="166"/>
      <c r="E123" s="421"/>
      <c r="F123" s="284"/>
      <c r="G123" s="284"/>
      <c r="H123" s="166"/>
      <c r="I123" s="421"/>
      <c r="J123" s="293"/>
      <c r="K123" s="293"/>
      <c r="L123" s="166"/>
      <c r="M123" s="23"/>
      <c r="O123" s="148"/>
    </row>
    <row r="124" spans="1:15" ht="15.75" x14ac:dyDescent="0.2">
      <c r="A124" s="21" t="s">
        <v>404</v>
      </c>
      <c r="B124" s="235">
        <v>43352.925660000001</v>
      </c>
      <c r="C124" s="235">
        <v>103240</v>
      </c>
      <c r="D124" s="166">
        <f t="shared" si="26"/>
        <v>138.1</v>
      </c>
      <c r="E124" s="27">
        <f>IFERROR(100/'Skjema total MA'!C124*C124,0)</f>
        <v>93.249006749949132</v>
      </c>
      <c r="F124" s="235"/>
      <c r="G124" s="235"/>
      <c r="H124" s="166"/>
      <c r="I124" s="27"/>
      <c r="J124" s="290">
        <f t="shared" si="27"/>
        <v>43352.925660000001</v>
      </c>
      <c r="K124" s="44">
        <f t="shared" si="27"/>
        <v>103240</v>
      </c>
      <c r="L124" s="257">
        <f t="shared" si="28"/>
        <v>138.1</v>
      </c>
      <c r="M124" s="27">
        <f>IFERROR(100/'Skjema total MA'!I124*K124,0)</f>
        <v>75.54815642850231</v>
      </c>
      <c r="O124" s="148"/>
    </row>
    <row r="125" spans="1:15" ht="15.75" x14ac:dyDescent="0.2">
      <c r="A125" s="21" t="s">
        <v>396</v>
      </c>
      <c r="B125" s="235"/>
      <c r="C125" s="235"/>
      <c r="D125" s="166"/>
      <c r="E125" s="27"/>
      <c r="F125" s="235">
        <v>419666.28039999999</v>
      </c>
      <c r="G125" s="235">
        <v>500497</v>
      </c>
      <c r="H125" s="166">
        <f t="shared" si="29"/>
        <v>19.3</v>
      </c>
      <c r="I125" s="27">
        <f>IFERROR(100/'Skjema total MA'!F125*G125,0)</f>
        <v>32.180940034101049</v>
      </c>
      <c r="J125" s="290">
        <f t="shared" si="27"/>
        <v>419666.28039999999</v>
      </c>
      <c r="K125" s="44">
        <f t="shared" si="27"/>
        <v>500497</v>
      </c>
      <c r="L125" s="257">
        <f t="shared" si="28"/>
        <v>19.3</v>
      </c>
      <c r="M125" s="27">
        <f>IFERROR(100/'Skjema total MA'!I125*K125,0)</f>
        <v>32.127726216738004</v>
      </c>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460" priority="132">
      <formula>kvartal &lt; 4</formula>
    </cfRule>
  </conditionalFormatting>
  <conditionalFormatting sqref="B69">
    <cfRule type="expression" dxfId="1459" priority="100">
      <formula>kvartal &lt; 4</formula>
    </cfRule>
  </conditionalFormatting>
  <conditionalFormatting sqref="C69">
    <cfRule type="expression" dxfId="1458" priority="99">
      <formula>kvartal &lt; 4</formula>
    </cfRule>
  </conditionalFormatting>
  <conditionalFormatting sqref="B72">
    <cfRule type="expression" dxfId="1457" priority="98">
      <formula>kvartal &lt; 4</formula>
    </cfRule>
  </conditionalFormatting>
  <conditionalFormatting sqref="C72">
    <cfRule type="expression" dxfId="1456" priority="97">
      <formula>kvartal &lt; 4</formula>
    </cfRule>
  </conditionalFormatting>
  <conditionalFormatting sqref="B80">
    <cfRule type="expression" dxfId="1455" priority="96">
      <formula>kvartal &lt; 4</formula>
    </cfRule>
  </conditionalFormatting>
  <conditionalFormatting sqref="C80">
    <cfRule type="expression" dxfId="1454" priority="95">
      <formula>kvartal &lt; 4</formula>
    </cfRule>
  </conditionalFormatting>
  <conditionalFormatting sqref="B83">
    <cfRule type="expression" dxfId="1453" priority="94">
      <formula>kvartal &lt; 4</formula>
    </cfRule>
  </conditionalFormatting>
  <conditionalFormatting sqref="C83">
    <cfRule type="expression" dxfId="1452" priority="93">
      <formula>kvartal &lt; 4</formula>
    </cfRule>
  </conditionalFormatting>
  <conditionalFormatting sqref="B90">
    <cfRule type="expression" dxfId="1451" priority="84">
      <formula>kvartal &lt; 4</formula>
    </cfRule>
  </conditionalFormatting>
  <conditionalFormatting sqref="C90">
    <cfRule type="expression" dxfId="1450" priority="83">
      <formula>kvartal &lt; 4</formula>
    </cfRule>
  </conditionalFormatting>
  <conditionalFormatting sqref="B93">
    <cfRule type="expression" dxfId="1449" priority="82">
      <formula>kvartal &lt; 4</formula>
    </cfRule>
  </conditionalFormatting>
  <conditionalFormatting sqref="C93">
    <cfRule type="expression" dxfId="1448" priority="81">
      <formula>kvartal &lt; 4</formula>
    </cfRule>
  </conditionalFormatting>
  <conditionalFormatting sqref="B101">
    <cfRule type="expression" dxfId="1447" priority="80">
      <formula>kvartal &lt; 4</formula>
    </cfRule>
  </conditionalFormatting>
  <conditionalFormatting sqref="C101">
    <cfRule type="expression" dxfId="1446" priority="79">
      <formula>kvartal &lt; 4</formula>
    </cfRule>
  </conditionalFormatting>
  <conditionalFormatting sqref="B104">
    <cfRule type="expression" dxfId="1445" priority="78">
      <formula>kvartal &lt; 4</formula>
    </cfRule>
  </conditionalFormatting>
  <conditionalFormatting sqref="C104">
    <cfRule type="expression" dxfId="1444" priority="77">
      <formula>kvartal &lt; 4</formula>
    </cfRule>
  </conditionalFormatting>
  <conditionalFormatting sqref="B115">
    <cfRule type="expression" dxfId="1443" priority="76">
      <formula>kvartal &lt; 4</formula>
    </cfRule>
  </conditionalFormatting>
  <conditionalFormatting sqref="C115">
    <cfRule type="expression" dxfId="1442" priority="75">
      <formula>kvartal &lt; 4</formula>
    </cfRule>
  </conditionalFormatting>
  <conditionalFormatting sqref="B123">
    <cfRule type="expression" dxfId="1441" priority="74">
      <formula>kvartal &lt; 4</formula>
    </cfRule>
  </conditionalFormatting>
  <conditionalFormatting sqref="C123">
    <cfRule type="expression" dxfId="1440" priority="73">
      <formula>kvartal &lt; 4</formula>
    </cfRule>
  </conditionalFormatting>
  <conditionalFormatting sqref="F70">
    <cfRule type="expression" dxfId="1439" priority="72">
      <formula>kvartal &lt; 4</formula>
    </cfRule>
  </conditionalFormatting>
  <conditionalFormatting sqref="G70">
    <cfRule type="expression" dxfId="1438" priority="71">
      <formula>kvartal &lt; 4</formula>
    </cfRule>
  </conditionalFormatting>
  <conditionalFormatting sqref="F71:G71">
    <cfRule type="expression" dxfId="1437" priority="70">
      <formula>kvartal &lt; 4</formula>
    </cfRule>
  </conditionalFormatting>
  <conditionalFormatting sqref="F73:G74">
    <cfRule type="expression" dxfId="1436" priority="69">
      <formula>kvartal &lt; 4</formula>
    </cfRule>
  </conditionalFormatting>
  <conditionalFormatting sqref="F81:G82">
    <cfRule type="expression" dxfId="1435" priority="68">
      <formula>kvartal &lt; 4</formula>
    </cfRule>
  </conditionalFormatting>
  <conditionalFormatting sqref="F84:G85">
    <cfRule type="expression" dxfId="1434" priority="67">
      <formula>kvartal &lt; 4</formula>
    </cfRule>
  </conditionalFormatting>
  <conditionalFormatting sqref="F91:G92">
    <cfRule type="expression" dxfId="1433" priority="62">
      <formula>kvartal &lt; 4</formula>
    </cfRule>
  </conditionalFormatting>
  <conditionalFormatting sqref="F94:G95">
    <cfRule type="expression" dxfId="1432" priority="61">
      <formula>kvartal &lt; 4</formula>
    </cfRule>
  </conditionalFormatting>
  <conditionalFormatting sqref="F102:G103">
    <cfRule type="expression" dxfId="1431" priority="60">
      <formula>kvartal &lt; 4</formula>
    </cfRule>
  </conditionalFormatting>
  <conditionalFormatting sqref="F105:G106">
    <cfRule type="expression" dxfId="1430" priority="59">
      <formula>kvartal &lt; 4</formula>
    </cfRule>
  </conditionalFormatting>
  <conditionalFormatting sqref="F115">
    <cfRule type="expression" dxfId="1429" priority="58">
      <formula>kvartal &lt; 4</formula>
    </cfRule>
  </conditionalFormatting>
  <conditionalFormatting sqref="G115">
    <cfRule type="expression" dxfId="1428" priority="57">
      <formula>kvartal &lt; 4</formula>
    </cfRule>
  </conditionalFormatting>
  <conditionalFormatting sqref="F123:G123">
    <cfRule type="expression" dxfId="1427" priority="56">
      <formula>kvartal &lt; 4</formula>
    </cfRule>
  </conditionalFormatting>
  <conditionalFormatting sqref="F69:G69">
    <cfRule type="expression" dxfId="1426" priority="55">
      <formula>kvartal &lt; 4</formula>
    </cfRule>
  </conditionalFormatting>
  <conditionalFormatting sqref="F72:G72">
    <cfRule type="expression" dxfId="1425" priority="54">
      <formula>kvartal &lt; 4</formula>
    </cfRule>
  </conditionalFormatting>
  <conditionalFormatting sqref="F80:G80">
    <cfRule type="expression" dxfId="1424" priority="53">
      <formula>kvartal &lt; 4</formula>
    </cfRule>
  </conditionalFormatting>
  <conditionalFormatting sqref="F83:G83">
    <cfRule type="expression" dxfId="1423" priority="52">
      <formula>kvartal &lt; 4</formula>
    </cfRule>
  </conditionalFormatting>
  <conditionalFormatting sqref="F90:G90">
    <cfRule type="expression" dxfId="1422" priority="46">
      <formula>kvartal &lt; 4</formula>
    </cfRule>
  </conditionalFormatting>
  <conditionalFormatting sqref="F93">
    <cfRule type="expression" dxfId="1421" priority="45">
      <formula>kvartal &lt; 4</formula>
    </cfRule>
  </conditionalFormatting>
  <conditionalFormatting sqref="G93">
    <cfRule type="expression" dxfId="1420" priority="44">
      <formula>kvartal &lt; 4</formula>
    </cfRule>
  </conditionalFormatting>
  <conditionalFormatting sqref="F101">
    <cfRule type="expression" dxfId="1419" priority="43">
      <formula>kvartal &lt; 4</formula>
    </cfRule>
  </conditionalFormatting>
  <conditionalFormatting sqref="G101">
    <cfRule type="expression" dxfId="1418" priority="42">
      <formula>kvartal &lt; 4</formula>
    </cfRule>
  </conditionalFormatting>
  <conditionalFormatting sqref="G104">
    <cfRule type="expression" dxfId="1417" priority="41">
      <formula>kvartal &lt; 4</formula>
    </cfRule>
  </conditionalFormatting>
  <conditionalFormatting sqref="F104">
    <cfRule type="expression" dxfId="1416" priority="40">
      <formula>kvartal &lt; 4</formula>
    </cfRule>
  </conditionalFormatting>
  <conditionalFormatting sqref="J69:K73">
    <cfRule type="expression" dxfId="1415" priority="39">
      <formula>kvartal &lt; 4</formula>
    </cfRule>
  </conditionalFormatting>
  <conditionalFormatting sqref="J74:K74">
    <cfRule type="expression" dxfId="1414" priority="38">
      <formula>kvartal &lt; 4</formula>
    </cfRule>
  </conditionalFormatting>
  <conditionalFormatting sqref="J80:K85">
    <cfRule type="expression" dxfId="1413" priority="37">
      <formula>kvartal &lt; 4</formula>
    </cfRule>
  </conditionalFormatting>
  <conditionalFormatting sqref="J90:K95">
    <cfRule type="expression" dxfId="1412" priority="34">
      <formula>kvartal &lt; 4</formula>
    </cfRule>
  </conditionalFormatting>
  <conditionalFormatting sqref="J101:K106">
    <cfRule type="expression" dxfId="1411" priority="33">
      <formula>kvartal &lt; 4</formula>
    </cfRule>
  </conditionalFormatting>
  <conditionalFormatting sqref="J115:K115">
    <cfRule type="expression" dxfId="1410" priority="32">
      <formula>kvartal &lt; 4</formula>
    </cfRule>
  </conditionalFormatting>
  <conditionalFormatting sqref="J123:K123">
    <cfRule type="expression" dxfId="1409" priority="31">
      <formula>kvartal &lt; 4</formula>
    </cfRule>
  </conditionalFormatting>
  <conditionalFormatting sqref="A50:A52">
    <cfRule type="expression" dxfId="1408" priority="12">
      <formula>kvartal &lt; 4</formula>
    </cfRule>
  </conditionalFormatting>
  <conditionalFormatting sqref="A69:A74">
    <cfRule type="expression" dxfId="1407" priority="10">
      <formula>kvartal &lt; 4</formula>
    </cfRule>
  </conditionalFormatting>
  <conditionalFormatting sqref="A80:A85">
    <cfRule type="expression" dxfId="1406" priority="9">
      <formula>kvartal &lt; 4</formula>
    </cfRule>
  </conditionalFormatting>
  <conditionalFormatting sqref="A90:A95">
    <cfRule type="expression" dxfId="1405" priority="6">
      <formula>kvartal &lt; 4</formula>
    </cfRule>
  </conditionalFormatting>
  <conditionalFormatting sqref="A101:A106">
    <cfRule type="expression" dxfId="1404" priority="5">
      <formula>kvartal &lt; 4</formula>
    </cfRule>
  </conditionalFormatting>
  <conditionalFormatting sqref="A115">
    <cfRule type="expression" dxfId="1403" priority="4">
      <formula>kvartal &lt; 4</formula>
    </cfRule>
  </conditionalFormatting>
  <conditionalFormatting sqref="A123">
    <cfRule type="expression" dxfId="1402" priority="3">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O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133</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v>210802</v>
      </c>
      <c r="C7" s="310">
        <v>228170</v>
      </c>
      <c r="D7" s="354">
        <f>IF(B7=0, "    ---- ", IF(ABS(ROUND(100/B7*C7-100,1))&lt;999,ROUND(100/B7*C7-100,1),IF(ROUND(100/B7*C7-100,1)&gt;999,999,-999)))</f>
        <v>8.1999999999999993</v>
      </c>
      <c r="E7" s="11">
        <f>IFERROR(100/'Skjema total MA'!C7*C7,0)</f>
        <v>6.4882659572699701</v>
      </c>
      <c r="F7" s="309"/>
      <c r="G7" s="310"/>
      <c r="H7" s="354"/>
      <c r="I7" s="160"/>
      <c r="J7" s="311">
        <f t="shared" ref="J7:K9" si="0">SUM(B7,F7)</f>
        <v>210802</v>
      </c>
      <c r="K7" s="312">
        <f t="shared" si="0"/>
        <v>228170</v>
      </c>
      <c r="L7" s="431">
        <f>IF(J7=0, "    ---- ", IF(ABS(ROUND(100/J7*K7-100,1))&lt;999,ROUND(100/J7*K7-100,1),IF(ROUND(100/J7*K7-100,1)&gt;999,999,-999)))</f>
        <v>8.1999999999999993</v>
      </c>
      <c r="M7" s="11">
        <f>IFERROR(100/'Skjema total MA'!I7*K7,0)</f>
        <v>2.5313367327242529</v>
      </c>
      <c r="O7" s="148"/>
    </row>
    <row r="8" spans="1:15" ht="15.75" x14ac:dyDescent="0.2">
      <c r="A8" s="21" t="s">
        <v>25</v>
      </c>
      <c r="B8" s="284">
        <v>105265</v>
      </c>
      <c r="C8" s="285">
        <v>122998</v>
      </c>
      <c r="D8" s="166">
        <f t="shared" ref="D8:D9" si="1">IF(B8=0, "    ---- ", IF(ABS(ROUND(100/B8*C8-100,1))&lt;999,ROUND(100/B8*C8-100,1),IF(ROUND(100/B8*C8-100,1)&gt;999,999,-999)))</f>
        <v>16.8</v>
      </c>
      <c r="E8" s="27">
        <f>IFERROR(100/'Skjema total MA'!C8*C8,0)</f>
        <v>5.8475248179422259</v>
      </c>
      <c r="F8" s="288"/>
      <c r="G8" s="289"/>
      <c r="H8" s="166"/>
      <c r="I8" s="176"/>
      <c r="J8" s="235">
        <f t="shared" si="0"/>
        <v>105265</v>
      </c>
      <c r="K8" s="290">
        <f t="shared" si="0"/>
        <v>122998</v>
      </c>
      <c r="L8" s="432">
        <f t="shared" ref="L8:L9" si="2">IF(J8=0, "    ---- ", IF(ABS(ROUND(100/J8*K8-100,1))&lt;999,ROUND(100/J8*K8-100,1),IF(ROUND(100/J8*K8-100,1)&gt;999,999,-999)))</f>
        <v>16.8</v>
      </c>
      <c r="M8" s="27">
        <f>IFERROR(100/'Skjema total MA'!I8*K8,0)</f>
        <v>5.8475248179422259</v>
      </c>
      <c r="O8" s="148"/>
    </row>
    <row r="9" spans="1:15" ht="15.75" x14ac:dyDescent="0.2">
      <c r="A9" s="21" t="s">
        <v>24</v>
      </c>
      <c r="B9" s="284">
        <v>105537</v>
      </c>
      <c r="C9" s="285">
        <v>105172</v>
      </c>
      <c r="D9" s="166">
        <f t="shared" si="1"/>
        <v>-0.3</v>
      </c>
      <c r="E9" s="27">
        <f>IFERROR(100/'Skjema total MA'!C9*C9,0)</f>
        <v>13.45219869455866</v>
      </c>
      <c r="F9" s="288"/>
      <c r="G9" s="289"/>
      <c r="H9" s="166"/>
      <c r="I9" s="176"/>
      <c r="J9" s="235">
        <f t="shared" si="0"/>
        <v>105537</v>
      </c>
      <c r="K9" s="290">
        <f t="shared" si="0"/>
        <v>105172</v>
      </c>
      <c r="L9" s="432">
        <f t="shared" si="2"/>
        <v>-0.3</v>
      </c>
      <c r="M9" s="27">
        <f>IFERROR(100/'Skjema total MA'!I9*K9,0)</f>
        <v>13.45219869455866</v>
      </c>
      <c r="O9" s="148"/>
    </row>
    <row r="10" spans="1:15" ht="15.75" x14ac:dyDescent="0.2">
      <c r="A10" s="13" t="s">
        <v>376</v>
      </c>
      <c r="B10" s="313"/>
      <c r="C10" s="314"/>
      <c r="D10" s="171"/>
      <c r="E10" s="11"/>
      <c r="F10" s="313"/>
      <c r="G10" s="314"/>
      <c r="H10" s="171"/>
      <c r="I10" s="160"/>
      <c r="J10" s="311"/>
      <c r="K10" s="312"/>
      <c r="L10" s="432"/>
      <c r="M10" s="11"/>
      <c r="O10" s="148"/>
    </row>
    <row r="11" spans="1:15" s="43" customFormat="1" ht="15.75" x14ac:dyDescent="0.2">
      <c r="A11" s="13" t="s">
        <v>377</v>
      </c>
      <c r="B11" s="313"/>
      <c r="C11" s="314"/>
      <c r="D11" s="171"/>
      <c r="E11" s="11"/>
      <c r="F11" s="313"/>
      <c r="G11" s="314"/>
      <c r="H11" s="171"/>
      <c r="I11" s="160"/>
      <c r="J11" s="311"/>
      <c r="K11" s="312"/>
      <c r="L11" s="432"/>
      <c r="M11" s="11"/>
      <c r="N11" s="143"/>
      <c r="O11" s="148"/>
    </row>
    <row r="12" spans="1:15" s="43" customFormat="1" ht="15.75" x14ac:dyDescent="0.2">
      <c r="A12" s="41" t="s">
        <v>378</v>
      </c>
      <c r="B12" s="315"/>
      <c r="C12" s="316"/>
      <c r="D12" s="169"/>
      <c r="E12" s="36"/>
      <c r="F12" s="315"/>
      <c r="G12" s="316"/>
      <c r="H12" s="169"/>
      <c r="I12" s="169"/>
      <c r="J12" s="317"/>
      <c r="K12" s="318"/>
      <c r="L12" s="433"/>
      <c r="M12" s="36"/>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c r="C22" s="319"/>
      <c r="D22" s="354"/>
      <c r="E22" s="11"/>
      <c r="F22" s="321"/>
      <c r="G22" s="321"/>
      <c r="H22" s="354"/>
      <c r="I22" s="11"/>
      <c r="J22" s="319"/>
      <c r="K22" s="319"/>
      <c r="L22" s="431"/>
      <c r="M22" s="24"/>
      <c r="O22" s="148"/>
    </row>
    <row r="23" spans="1:15" ht="15.75" x14ac:dyDescent="0.2">
      <c r="A23" s="619" t="s">
        <v>379</v>
      </c>
      <c r="B23" s="284"/>
      <c r="C23" s="284"/>
      <c r="D23" s="166"/>
      <c r="E23" s="11"/>
      <c r="F23" s="293"/>
      <c r="G23" s="293"/>
      <c r="H23" s="166"/>
      <c r="I23" s="421"/>
      <c r="J23" s="293"/>
      <c r="K23" s="293"/>
      <c r="L23" s="166"/>
      <c r="M23" s="23"/>
      <c r="O23" s="148"/>
    </row>
    <row r="24" spans="1:15" ht="15.75" x14ac:dyDescent="0.2">
      <c r="A24" s="619" t="s">
        <v>380</v>
      </c>
      <c r="B24" s="284"/>
      <c r="C24" s="284"/>
      <c r="D24" s="166"/>
      <c r="E24" s="11"/>
      <c r="F24" s="293"/>
      <c r="G24" s="293"/>
      <c r="H24" s="166"/>
      <c r="I24" s="421"/>
      <c r="J24" s="293"/>
      <c r="K24" s="293"/>
      <c r="L24" s="166"/>
      <c r="M24" s="23"/>
      <c r="O24" s="148"/>
    </row>
    <row r="25" spans="1:15" ht="15.75" x14ac:dyDescent="0.2">
      <c r="A25" s="619" t="s">
        <v>381</v>
      </c>
      <c r="B25" s="284"/>
      <c r="C25" s="284"/>
      <c r="D25" s="166"/>
      <c r="E25" s="11"/>
      <c r="F25" s="293"/>
      <c r="G25" s="293"/>
      <c r="H25" s="166"/>
      <c r="I25" s="421"/>
      <c r="J25" s="293"/>
      <c r="K25" s="293"/>
      <c r="L25" s="166"/>
      <c r="M25" s="23"/>
      <c r="O25" s="148"/>
    </row>
    <row r="26" spans="1:15" ht="15.75" x14ac:dyDescent="0.2">
      <c r="A26" s="619" t="s">
        <v>382</v>
      </c>
      <c r="B26" s="284"/>
      <c r="C26" s="284"/>
      <c r="D26" s="166"/>
      <c r="E26" s="11"/>
      <c r="F26" s="293"/>
      <c r="G26" s="293"/>
      <c r="H26" s="166"/>
      <c r="I26" s="421"/>
      <c r="J26" s="293"/>
      <c r="K26" s="293"/>
      <c r="L26" s="166"/>
      <c r="M26" s="23"/>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c r="C28" s="290"/>
      <c r="D28" s="166"/>
      <c r="E28" s="11"/>
      <c r="F28" s="235"/>
      <c r="G28" s="290"/>
      <c r="H28" s="166"/>
      <c r="I28" s="27"/>
      <c r="J28" s="44"/>
      <c r="K28" s="44"/>
      <c r="L28" s="257"/>
      <c r="M28" s="23"/>
      <c r="O28" s="148"/>
    </row>
    <row r="29" spans="1:15" s="3" customFormat="1" ht="15.75" x14ac:dyDescent="0.2">
      <c r="A29" s="13" t="s">
        <v>376</v>
      </c>
      <c r="B29" s="237"/>
      <c r="C29" s="237"/>
      <c r="D29" s="171"/>
      <c r="E29" s="11"/>
      <c r="F29" s="311"/>
      <c r="G29" s="311"/>
      <c r="H29" s="171"/>
      <c r="I29" s="11"/>
      <c r="J29" s="237"/>
      <c r="K29" s="237"/>
      <c r="L29" s="432"/>
      <c r="M29" s="24"/>
      <c r="N29" s="148"/>
      <c r="O29" s="148"/>
    </row>
    <row r="30" spans="1:15" s="3" customFormat="1" ht="15.75" x14ac:dyDescent="0.2">
      <c r="A30" s="619" t="s">
        <v>379</v>
      </c>
      <c r="B30" s="284"/>
      <c r="C30" s="284"/>
      <c r="D30" s="166"/>
      <c r="E30" s="11"/>
      <c r="F30" s="293"/>
      <c r="G30" s="293"/>
      <c r="H30" s="166"/>
      <c r="I30" s="421"/>
      <c r="J30" s="293"/>
      <c r="K30" s="293"/>
      <c r="L30" s="166"/>
      <c r="M30" s="23"/>
      <c r="N30" s="148"/>
      <c r="O30" s="148"/>
    </row>
    <row r="31" spans="1:15" s="3" customFormat="1" ht="15.75" x14ac:dyDescent="0.2">
      <c r="A31" s="619" t="s">
        <v>380</v>
      </c>
      <c r="B31" s="284"/>
      <c r="C31" s="284"/>
      <c r="D31" s="166"/>
      <c r="E31" s="11"/>
      <c r="F31" s="293"/>
      <c r="G31" s="293"/>
      <c r="H31" s="166"/>
      <c r="I31" s="421"/>
      <c r="J31" s="293"/>
      <c r="K31" s="293"/>
      <c r="L31" s="166"/>
      <c r="M31" s="23"/>
      <c r="N31" s="148"/>
      <c r="O31" s="148"/>
    </row>
    <row r="32" spans="1:15" ht="15.75" x14ac:dyDescent="0.2">
      <c r="A32" s="619" t="s">
        <v>381</v>
      </c>
      <c r="B32" s="284"/>
      <c r="C32" s="284"/>
      <c r="D32" s="166"/>
      <c r="E32" s="11"/>
      <c r="F32" s="293"/>
      <c r="G32" s="293"/>
      <c r="H32" s="166"/>
      <c r="I32" s="421"/>
      <c r="J32" s="293"/>
      <c r="K32" s="293"/>
      <c r="L32" s="166"/>
      <c r="M32" s="23"/>
      <c r="O32" s="148"/>
    </row>
    <row r="33" spans="1:15" ht="15.75" x14ac:dyDescent="0.2">
      <c r="A33" s="619" t="s">
        <v>382</v>
      </c>
      <c r="B33" s="284"/>
      <c r="C33" s="284"/>
      <c r="D33" s="166"/>
      <c r="E33" s="11"/>
      <c r="F33" s="293"/>
      <c r="G33" s="293"/>
      <c r="H33" s="166"/>
      <c r="I33" s="421"/>
      <c r="J33" s="293"/>
      <c r="K33" s="293"/>
      <c r="L33" s="166"/>
      <c r="M33" s="23"/>
      <c r="O33" s="148"/>
    </row>
    <row r="34" spans="1:15" ht="15.75" x14ac:dyDescent="0.2">
      <c r="A34" s="13" t="s">
        <v>377</v>
      </c>
      <c r="B34" s="237"/>
      <c r="C34" s="312"/>
      <c r="D34" s="171"/>
      <c r="E34" s="11"/>
      <c r="F34" s="311"/>
      <c r="G34" s="312"/>
      <c r="H34" s="171"/>
      <c r="I34" s="11"/>
      <c r="J34" s="237"/>
      <c r="K34" s="237"/>
      <c r="L34" s="432"/>
      <c r="M34" s="24"/>
      <c r="O34" s="148"/>
    </row>
    <row r="35" spans="1:15" ht="15.75" x14ac:dyDescent="0.2">
      <c r="A35" s="13" t="s">
        <v>378</v>
      </c>
      <c r="B35" s="237"/>
      <c r="C35" s="312"/>
      <c r="D35" s="171"/>
      <c r="E35" s="11"/>
      <c r="F35" s="311"/>
      <c r="G35" s="312"/>
      <c r="H35" s="171"/>
      <c r="I35" s="11"/>
      <c r="J35" s="237"/>
      <c r="K35" s="237"/>
      <c r="L35" s="432"/>
      <c r="M35" s="24"/>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c r="C47" s="314"/>
      <c r="D47" s="431"/>
      <c r="E47" s="11"/>
      <c r="F47" s="145"/>
      <c r="G47" s="33"/>
      <c r="H47" s="159"/>
      <c r="I47" s="159"/>
      <c r="J47" s="37"/>
      <c r="K47" s="37"/>
      <c r="L47" s="159"/>
      <c r="M47" s="159"/>
      <c r="N47" s="148"/>
      <c r="O47" s="148"/>
    </row>
    <row r="48" spans="1:15" s="3" customFormat="1" ht="15.75" x14ac:dyDescent="0.2">
      <c r="A48" s="38" t="s">
        <v>387</v>
      </c>
      <c r="B48" s="284"/>
      <c r="C48" s="285"/>
      <c r="D48" s="257"/>
      <c r="E48" s="27"/>
      <c r="F48" s="145"/>
      <c r="G48" s="33"/>
      <c r="H48" s="145"/>
      <c r="I48" s="145"/>
      <c r="J48" s="33"/>
      <c r="K48" s="33"/>
      <c r="L48" s="159"/>
      <c r="M48" s="159"/>
      <c r="N48" s="148"/>
      <c r="O48" s="148"/>
    </row>
    <row r="49" spans="1:15" s="3" customFormat="1" ht="15.75" x14ac:dyDescent="0.2">
      <c r="A49" s="38" t="s">
        <v>388</v>
      </c>
      <c r="B49" s="44"/>
      <c r="C49" s="290"/>
      <c r="D49" s="257"/>
      <c r="E49" s="27"/>
      <c r="F49" s="145"/>
      <c r="G49" s="33"/>
      <c r="H49" s="145"/>
      <c r="I49" s="145"/>
      <c r="J49" s="37"/>
      <c r="K49" s="37"/>
      <c r="L49" s="159"/>
      <c r="M49" s="159"/>
      <c r="N49" s="148"/>
      <c r="O49" s="148"/>
    </row>
    <row r="50" spans="1:15" s="3" customFormat="1" x14ac:dyDescent="0.2">
      <c r="A50" s="299" t="s">
        <v>6</v>
      </c>
      <c r="B50" s="293"/>
      <c r="C50" s="294"/>
      <c r="D50" s="257"/>
      <c r="E50" s="23"/>
      <c r="F50" s="145"/>
      <c r="G50" s="33"/>
      <c r="H50" s="145"/>
      <c r="I50" s="145"/>
      <c r="J50" s="33"/>
      <c r="K50" s="33"/>
      <c r="L50" s="159"/>
      <c r="M50" s="159"/>
      <c r="N50" s="148"/>
      <c r="O50" s="148"/>
    </row>
    <row r="51" spans="1:15" s="3" customFormat="1" x14ac:dyDescent="0.2">
      <c r="A51" s="299" t="s">
        <v>7</v>
      </c>
      <c r="B51" s="293"/>
      <c r="C51" s="294"/>
      <c r="D51" s="257"/>
      <c r="E51" s="23"/>
      <c r="F51" s="145"/>
      <c r="G51" s="33"/>
      <c r="H51" s="145"/>
      <c r="I51" s="145"/>
      <c r="J51" s="33"/>
      <c r="K51" s="33"/>
      <c r="L51" s="159"/>
      <c r="M51" s="159"/>
      <c r="N51" s="148"/>
      <c r="O51" s="148"/>
    </row>
    <row r="52" spans="1:15" s="3" customFormat="1" x14ac:dyDescent="0.2">
      <c r="A52" s="299" t="s">
        <v>8</v>
      </c>
      <c r="B52" s="293"/>
      <c r="C52" s="294"/>
      <c r="D52" s="257"/>
      <c r="E52" s="23"/>
      <c r="F52" s="145"/>
      <c r="G52" s="33"/>
      <c r="H52" s="145"/>
      <c r="I52" s="145"/>
      <c r="J52" s="33"/>
      <c r="K52" s="33"/>
      <c r="L52" s="159"/>
      <c r="M52" s="159"/>
      <c r="N52" s="148"/>
      <c r="O52" s="148"/>
    </row>
    <row r="53" spans="1:15" s="3" customFormat="1" ht="15.75" x14ac:dyDescent="0.2">
      <c r="A53" s="39" t="s">
        <v>389</v>
      </c>
      <c r="B53" s="313"/>
      <c r="C53" s="314"/>
      <c r="D53" s="432"/>
      <c r="E53" s="11"/>
      <c r="F53" s="145"/>
      <c r="G53" s="33"/>
      <c r="H53" s="145"/>
      <c r="I53" s="145"/>
      <c r="J53" s="33"/>
      <c r="K53" s="33"/>
      <c r="L53" s="159"/>
      <c r="M53" s="159"/>
      <c r="N53" s="148"/>
      <c r="O53" s="148"/>
    </row>
    <row r="54" spans="1:15" s="3" customFormat="1" ht="15.75" x14ac:dyDescent="0.2">
      <c r="A54" s="38" t="s">
        <v>387</v>
      </c>
      <c r="B54" s="284"/>
      <c r="C54" s="285"/>
      <c r="D54" s="257"/>
      <c r="E54" s="27"/>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c r="C56" s="314"/>
      <c r="D56" s="432"/>
      <c r="E56" s="11"/>
      <c r="F56" s="145"/>
      <c r="G56" s="33"/>
      <c r="H56" s="145"/>
      <c r="I56" s="145"/>
      <c r="J56" s="33"/>
      <c r="K56" s="33"/>
      <c r="L56" s="159"/>
      <c r="M56" s="159"/>
      <c r="N56" s="148"/>
      <c r="O56" s="148"/>
    </row>
    <row r="57" spans="1:15" s="3" customFormat="1" ht="15.75" x14ac:dyDescent="0.2">
      <c r="A57" s="38" t="s">
        <v>387</v>
      </c>
      <c r="B57" s="284"/>
      <c r="C57" s="285"/>
      <c r="D57" s="257"/>
      <c r="E57" s="27"/>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c r="C66" s="357"/>
      <c r="D66" s="354"/>
      <c r="E66" s="11"/>
      <c r="F66" s="356"/>
      <c r="G66" s="356"/>
      <c r="H66" s="354"/>
      <c r="I66" s="11"/>
      <c r="J66" s="312"/>
      <c r="K66" s="319"/>
      <c r="L66" s="432"/>
      <c r="M66" s="11"/>
      <c r="O66" s="148"/>
    </row>
    <row r="67" spans="1:15" x14ac:dyDescent="0.2">
      <c r="A67" s="423" t="s">
        <v>9</v>
      </c>
      <c r="B67" s="44"/>
      <c r="C67" s="145"/>
      <c r="D67" s="166"/>
      <c r="E67" s="27"/>
      <c r="F67" s="235"/>
      <c r="G67" s="145"/>
      <c r="H67" s="166"/>
      <c r="I67" s="27"/>
      <c r="J67" s="290"/>
      <c r="K67" s="44"/>
      <c r="L67" s="257"/>
      <c r="M67" s="27"/>
      <c r="O67" s="148"/>
    </row>
    <row r="68" spans="1:15" x14ac:dyDescent="0.2">
      <c r="A68" s="21" t="s">
        <v>10</v>
      </c>
      <c r="B68" s="295"/>
      <c r="C68" s="296"/>
      <c r="D68" s="166"/>
      <c r="E68" s="27"/>
      <c r="F68" s="295"/>
      <c r="G68" s="296"/>
      <c r="H68" s="166"/>
      <c r="I68" s="27"/>
      <c r="J68" s="290"/>
      <c r="K68" s="44"/>
      <c r="L68" s="257"/>
      <c r="M68" s="27"/>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c r="C77" s="235"/>
      <c r="D77" s="166"/>
      <c r="E77" s="27"/>
      <c r="F77" s="235"/>
      <c r="G77" s="145"/>
      <c r="H77" s="166"/>
      <c r="I77" s="27"/>
      <c r="J77" s="290"/>
      <c r="K77" s="44"/>
      <c r="L77" s="257"/>
      <c r="M77" s="27"/>
      <c r="O77" s="148"/>
    </row>
    <row r="78" spans="1:15" x14ac:dyDescent="0.2">
      <c r="A78" s="21" t="s">
        <v>9</v>
      </c>
      <c r="B78" s="235"/>
      <c r="C78" s="145"/>
      <c r="D78" s="166"/>
      <c r="E78" s="27"/>
      <c r="F78" s="235"/>
      <c r="G78" s="145"/>
      <c r="H78" s="166"/>
      <c r="I78" s="27"/>
      <c r="J78" s="290"/>
      <c r="K78" s="44"/>
      <c r="L78" s="257"/>
      <c r="M78" s="27"/>
      <c r="O78" s="148"/>
    </row>
    <row r="79" spans="1:15" x14ac:dyDescent="0.2">
      <c r="A79" s="21" t="s">
        <v>10</v>
      </c>
      <c r="B79" s="295"/>
      <c r="C79" s="296"/>
      <c r="D79" s="166"/>
      <c r="E79" s="27"/>
      <c r="F79" s="295"/>
      <c r="G79" s="296"/>
      <c r="H79" s="166"/>
      <c r="I79" s="27"/>
      <c r="J79" s="290"/>
      <c r="K79" s="44"/>
      <c r="L79" s="257"/>
      <c r="M79" s="27"/>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c r="G86" s="145"/>
      <c r="H86" s="166"/>
      <c r="I86" s="27"/>
      <c r="J86" s="290"/>
      <c r="K86" s="44"/>
      <c r="L86" s="257"/>
      <c r="M86" s="27"/>
      <c r="O86" s="148"/>
    </row>
    <row r="87" spans="1:15" ht="15.75" x14ac:dyDescent="0.2">
      <c r="A87" s="13" t="s">
        <v>376</v>
      </c>
      <c r="B87" s="357"/>
      <c r="C87" s="357"/>
      <c r="D87" s="171"/>
      <c r="E87" s="11"/>
      <c r="F87" s="356"/>
      <c r="G87" s="356"/>
      <c r="H87" s="171"/>
      <c r="I87" s="11"/>
      <c r="J87" s="312"/>
      <c r="K87" s="237"/>
      <c r="L87" s="432"/>
      <c r="M87" s="11"/>
      <c r="O87" s="148"/>
    </row>
    <row r="88" spans="1:15" x14ac:dyDescent="0.2">
      <c r="A88" s="21" t="s">
        <v>9</v>
      </c>
      <c r="B88" s="235"/>
      <c r="C88" s="145"/>
      <c r="D88" s="166"/>
      <c r="E88" s="27"/>
      <c r="F88" s="235"/>
      <c r="G88" s="145"/>
      <c r="H88" s="166"/>
      <c r="I88" s="27"/>
      <c r="J88" s="290"/>
      <c r="K88" s="44"/>
      <c r="L88" s="257"/>
      <c r="M88" s="27"/>
      <c r="O88" s="148"/>
    </row>
    <row r="89" spans="1:15" x14ac:dyDescent="0.2">
      <c r="A89" s="21" t="s">
        <v>10</v>
      </c>
      <c r="B89" s="235"/>
      <c r="C89" s="145"/>
      <c r="D89" s="166"/>
      <c r="E89" s="27"/>
      <c r="F89" s="235"/>
      <c r="G89" s="145"/>
      <c r="H89" s="166"/>
      <c r="I89" s="27"/>
      <c r="J89" s="290"/>
      <c r="K89" s="44"/>
      <c r="L89" s="257"/>
      <c r="M89" s="27"/>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c r="C98" s="235"/>
      <c r="D98" s="166"/>
      <c r="E98" s="27"/>
      <c r="F98" s="295"/>
      <c r="G98" s="295"/>
      <c r="H98" s="166"/>
      <c r="I98" s="27"/>
      <c r="J98" s="290"/>
      <c r="K98" s="44"/>
      <c r="L98" s="257"/>
      <c r="M98" s="27"/>
      <c r="O98" s="148"/>
    </row>
    <row r="99" spans="1:15" x14ac:dyDescent="0.2">
      <c r="A99" s="21" t="s">
        <v>9</v>
      </c>
      <c r="B99" s="295"/>
      <c r="C99" s="296"/>
      <c r="D99" s="166"/>
      <c r="E99" s="27"/>
      <c r="F99" s="235"/>
      <c r="G99" s="145"/>
      <c r="H99" s="166"/>
      <c r="I99" s="27"/>
      <c r="J99" s="290"/>
      <c r="K99" s="44"/>
      <c r="L99" s="257"/>
      <c r="M99" s="27"/>
      <c r="O99" s="148"/>
    </row>
    <row r="100" spans="1:15" x14ac:dyDescent="0.2">
      <c r="A100" s="21" t="s">
        <v>10</v>
      </c>
      <c r="B100" s="295"/>
      <c r="C100" s="296"/>
      <c r="D100" s="166"/>
      <c r="E100" s="27"/>
      <c r="F100" s="235"/>
      <c r="G100" s="235"/>
      <c r="H100" s="166"/>
      <c r="I100" s="27"/>
      <c r="J100" s="290"/>
      <c r="K100" s="44"/>
      <c r="L100" s="257"/>
      <c r="M100" s="27"/>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c r="G107" s="145"/>
      <c r="H107" s="166"/>
      <c r="I107" s="27"/>
      <c r="J107" s="290"/>
      <c r="K107" s="44"/>
      <c r="L107" s="257"/>
      <c r="M107" s="27"/>
      <c r="O107" s="148"/>
    </row>
    <row r="108" spans="1:15" ht="15.75" x14ac:dyDescent="0.2">
      <c r="A108" s="21" t="s">
        <v>395</v>
      </c>
      <c r="B108" s="235"/>
      <c r="C108" s="235"/>
      <c r="D108" s="166"/>
      <c r="E108" s="27"/>
      <c r="F108" s="235"/>
      <c r="G108" s="235"/>
      <c r="H108" s="166"/>
      <c r="I108" s="27"/>
      <c r="J108" s="290"/>
      <c r="K108" s="44"/>
      <c r="L108" s="257"/>
      <c r="M108" s="27"/>
      <c r="O108" s="148"/>
    </row>
    <row r="109" spans="1:15" ht="15.75" x14ac:dyDescent="0.2">
      <c r="A109" s="21" t="s">
        <v>396</v>
      </c>
      <c r="B109" s="235"/>
      <c r="C109" s="235"/>
      <c r="D109" s="166"/>
      <c r="E109" s="27"/>
      <c r="F109" s="235"/>
      <c r="G109" s="235"/>
      <c r="H109" s="166"/>
      <c r="I109" s="27"/>
      <c r="J109" s="290"/>
      <c r="K109" s="44"/>
      <c r="L109" s="257"/>
      <c r="M109" s="27"/>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c r="C111" s="159"/>
      <c r="D111" s="171"/>
      <c r="E111" s="11"/>
      <c r="F111" s="311"/>
      <c r="G111" s="159"/>
      <c r="H111" s="171"/>
      <c r="I111" s="11"/>
      <c r="J111" s="312"/>
      <c r="K111" s="237"/>
      <c r="L111" s="432"/>
      <c r="M111" s="11"/>
      <c r="O111" s="148"/>
    </row>
    <row r="112" spans="1:15" x14ac:dyDescent="0.2">
      <c r="A112" s="21" t="s">
        <v>9</v>
      </c>
      <c r="B112" s="235"/>
      <c r="C112" s="145"/>
      <c r="D112" s="166"/>
      <c r="E112" s="27"/>
      <c r="F112" s="235"/>
      <c r="G112" s="145"/>
      <c r="H112" s="166"/>
      <c r="I112" s="27"/>
      <c r="J112" s="290"/>
      <c r="K112" s="44"/>
      <c r="L112" s="257"/>
      <c r="M112" s="27"/>
      <c r="O112" s="148"/>
    </row>
    <row r="113" spans="1:15" x14ac:dyDescent="0.2">
      <c r="A113" s="21" t="s">
        <v>10</v>
      </c>
      <c r="B113" s="235"/>
      <c r="C113" s="145"/>
      <c r="D113" s="166"/>
      <c r="E113" s="27"/>
      <c r="F113" s="235"/>
      <c r="G113" s="145"/>
      <c r="H113" s="166"/>
      <c r="I113" s="27"/>
      <c r="J113" s="290"/>
      <c r="K113" s="44"/>
      <c r="L113" s="257"/>
      <c r="M113" s="27"/>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c r="C116" s="235"/>
      <c r="D116" s="166"/>
      <c r="E116" s="27"/>
      <c r="F116" s="235"/>
      <c r="G116" s="235"/>
      <c r="H116" s="166"/>
      <c r="I116" s="27"/>
      <c r="J116" s="290"/>
      <c r="K116" s="44"/>
      <c r="L116" s="257"/>
      <c r="M116" s="27"/>
      <c r="O116" s="148"/>
    </row>
    <row r="117" spans="1:15" ht="15.75" x14ac:dyDescent="0.2">
      <c r="A117" s="21" t="s">
        <v>399</v>
      </c>
      <c r="B117" s="235"/>
      <c r="C117" s="235"/>
      <c r="D117" s="166"/>
      <c r="E117" s="27"/>
      <c r="F117" s="235"/>
      <c r="G117" s="235"/>
      <c r="H117" s="166"/>
      <c r="I117" s="27"/>
      <c r="J117" s="290"/>
      <c r="K117" s="44"/>
      <c r="L117" s="257"/>
      <c r="M117" s="27"/>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c r="C119" s="159"/>
      <c r="D119" s="171"/>
      <c r="E119" s="11"/>
      <c r="F119" s="311"/>
      <c r="G119" s="159"/>
      <c r="H119" s="171"/>
      <c r="I119" s="11"/>
      <c r="J119" s="312"/>
      <c r="K119" s="237"/>
      <c r="L119" s="432"/>
      <c r="M119" s="11"/>
      <c r="O119" s="148"/>
    </row>
    <row r="120" spans="1:15" x14ac:dyDescent="0.2">
      <c r="A120" s="21" t="s">
        <v>9</v>
      </c>
      <c r="B120" s="235"/>
      <c r="C120" s="145"/>
      <c r="D120" s="166"/>
      <c r="E120" s="27"/>
      <c r="F120" s="235"/>
      <c r="G120" s="145"/>
      <c r="H120" s="166"/>
      <c r="I120" s="27"/>
      <c r="J120" s="290"/>
      <c r="K120" s="44"/>
      <c r="L120" s="257"/>
      <c r="M120" s="27"/>
      <c r="O120" s="148"/>
    </row>
    <row r="121" spans="1:15" x14ac:dyDescent="0.2">
      <c r="A121" s="21" t="s">
        <v>10</v>
      </c>
      <c r="B121" s="235"/>
      <c r="C121" s="145"/>
      <c r="D121" s="166"/>
      <c r="E121" s="27"/>
      <c r="F121" s="235"/>
      <c r="G121" s="145"/>
      <c r="H121" s="166"/>
      <c r="I121" s="27"/>
      <c r="J121" s="290"/>
      <c r="K121" s="44"/>
      <c r="L121" s="257"/>
      <c r="M121" s="27"/>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c r="G125" s="235"/>
      <c r="H125" s="166"/>
      <c r="I125" s="27"/>
      <c r="J125" s="290"/>
      <c r="K125" s="44"/>
      <c r="L125" s="257"/>
      <c r="M125" s="27"/>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401" priority="132">
      <formula>kvartal &lt; 4</formula>
    </cfRule>
  </conditionalFormatting>
  <conditionalFormatting sqref="B69">
    <cfRule type="expression" dxfId="1400" priority="100">
      <formula>kvartal &lt; 4</formula>
    </cfRule>
  </conditionalFormatting>
  <conditionalFormatting sqref="C69">
    <cfRule type="expression" dxfId="1399" priority="99">
      <formula>kvartal &lt; 4</formula>
    </cfRule>
  </conditionalFormatting>
  <conditionalFormatting sqref="B72">
    <cfRule type="expression" dxfId="1398" priority="98">
      <formula>kvartal &lt; 4</formula>
    </cfRule>
  </conditionalFormatting>
  <conditionalFormatting sqref="C72">
    <cfRule type="expression" dxfId="1397" priority="97">
      <formula>kvartal &lt; 4</formula>
    </cfRule>
  </conditionalFormatting>
  <conditionalFormatting sqref="B80">
    <cfRule type="expression" dxfId="1396" priority="96">
      <formula>kvartal &lt; 4</formula>
    </cfRule>
  </conditionalFormatting>
  <conditionalFormatting sqref="C80">
    <cfRule type="expression" dxfId="1395" priority="95">
      <formula>kvartal &lt; 4</formula>
    </cfRule>
  </conditionalFormatting>
  <conditionalFormatting sqref="B83">
    <cfRule type="expression" dxfId="1394" priority="94">
      <formula>kvartal &lt; 4</formula>
    </cfRule>
  </conditionalFormatting>
  <conditionalFormatting sqref="C83">
    <cfRule type="expression" dxfId="1393" priority="93">
      <formula>kvartal &lt; 4</formula>
    </cfRule>
  </conditionalFormatting>
  <conditionalFormatting sqref="B90">
    <cfRule type="expression" dxfId="1392" priority="84">
      <formula>kvartal &lt; 4</formula>
    </cfRule>
  </conditionalFormatting>
  <conditionalFormatting sqref="C90">
    <cfRule type="expression" dxfId="1391" priority="83">
      <formula>kvartal &lt; 4</formula>
    </cfRule>
  </conditionalFormatting>
  <conditionalFormatting sqref="B93">
    <cfRule type="expression" dxfId="1390" priority="82">
      <formula>kvartal &lt; 4</formula>
    </cfRule>
  </conditionalFormatting>
  <conditionalFormatting sqref="C93">
    <cfRule type="expression" dxfId="1389" priority="81">
      <formula>kvartal &lt; 4</formula>
    </cfRule>
  </conditionalFormatting>
  <conditionalFormatting sqref="B101">
    <cfRule type="expression" dxfId="1388" priority="80">
      <formula>kvartal &lt; 4</formula>
    </cfRule>
  </conditionalFormatting>
  <conditionalFormatting sqref="C101">
    <cfRule type="expression" dxfId="1387" priority="79">
      <formula>kvartal &lt; 4</formula>
    </cfRule>
  </conditionalFormatting>
  <conditionalFormatting sqref="B104">
    <cfRule type="expression" dxfId="1386" priority="78">
      <formula>kvartal &lt; 4</formula>
    </cfRule>
  </conditionalFormatting>
  <conditionalFormatting sqref="C104">
    <cfRule type="expression" dxfId="1385" priority="77">
      <formula>kvartal &lt; 4</formula>
    </cfRule>
  </conditionalFormatting>
  <conditionalFormatting sqref="B115">
    <cfRule type="expression" dxfId="1384" priority="76">
      <formula>kvartal &lt; 4</formula>
    </cfRule>
  </conditionalFormatting>
  <conditionalFormatting sqref="C115">
    <cfRule type="expression" dxfId="1383" priority="75">
      <formula>kvartal &lt; 4</formula>
    </cfRule>
  </conditionalFormatting>
  <conditionalFormatting sqref="B123">
    <cfRule type="expression" dxfId="1382" priority="74">
      <formula>kvartal &lt; 4</formula>
    </cfRule>
  </conditionalFormatting>
  <conditionalFormatting sqref="C123">
    <cfRule type="expression" dxfId="1381" priority="73">
      <formula>kvartal &lt; 4</formula>
    </cfRule>
  </conditionalFormatting>
  <conditionalFormatting sqref="F70">
    <cfRule type="expression" dxfId="1380" priority="72">
      <formula>kvartal &lt; 4</formula>
    </cfRule>
  </conditionalFormatting>
  <conditionalFormatting sqref="G70">
    <cfRule type="expression" dxfId="1379" priority="71">
      <formula>kvartal &lt; 4</formula>
    </cfRule>
  </conditionalFormatting>
  <conditionalFormatting sqref="F71:G71">
    <cfRule type="expression" dxfId="1378" priority="70">
      <formula>kvartal &lt; 4</formula>
    </cfRule>
  </conditionalFormatting>
  <conditionalFormatting sqref="F73:G74">
    <cfRule type="expression" dxfId="1377" priority="69">
      <formula>kvartal &lt; 4</formula>
    </cfRule>
  </conditionalFormatting>
  <conditionalFormatting sqref="F81:G82">
    <cfRule type="expression" dxfId="1376" priority="68">
      <formula>kvartal &lt; 4</formula>
    </cfRule>
  </conditionalFormatting>
  <conditionalFormatting sqref="F84:G85">
    <cfRule type="expression" dxfId="1375" priority="67">
      <formula>kvartal &lt; 4</formula>
    </cfRule>
  </conditionalFormatting>
  <conditionalFormatting sqref="F91:G92">
    <cfRule type="expression" dxfId="1374" priority="62">
      <formula>kvartal &lt; 4</formula>
    </cfRule>
  </conditionalFormatting>
  <conditionalFormatting sqref="F94:G95">
    <cfRule type="expression" dxfId="1373" priority="61">
      <formula>kvartal &lt; 4</formula>
    </cfRule>
  </conditionalFormatting>
  <conditionalFormatting sqref="F102:G103">
    <cfRule type="expression" dxfId="1372" priority="60">
      <formula>kvartal &lt; 4</formula>
    </cfRule>
  </conditionalFormatting>
  <conditionalFormatting sqref="F105:G106">
    <cfRule type="expression" dxfId="1371" priority="59">
      <formula>kvartal &lt; 4</formula>
    </cfRule>
  </conditionalFormatting>
  <conditionalFormatting sqref="F115">
    <cfRule type="expression" dxfId="1370" priority="58">
      <formula>kvartal &lt; 4</formula>
    </cfRule>
  </conditionalFormatting>
  <conditionalFormatting sqref="G115">
    <cfRule type="expression" dxfId="1369" priority="57">
      <formula>kvartal &lt; 4</formula>
    </cfRule>
  </conditionalFormatting>
  <conditionalFormatting sqref="F123:G123">
    <cfRule type="expression" dxfId="1368" priority="56">
      <formula>kvartal &lt; 4</formula>
    </cfRule>
  </conditionalFormatting>
  <conditionalFormatting sqref="F69:G69">
    <cfRule type="expression" dxfId="1367" priority="55">
      <formula>kvartal &lt; 4</formula>
    </cfRule>
  </conditionalFormatting>
  <conditionalFormatting sqref="F72:G72">
    <cfRule type="expression" dxfId="1366" priority="54">
      <formula>kvartal &lt; 4</formula>
    </cfRule>
  </conditionalFormatting>
  <conditionalFormatting sqref="F80:G80">
    <cfRule type="expression" dxfId="1365" priority="53">
      <formula>kvartal &lt; 4</formula>
    </cfRule>
  </conditionalFormatting>
  <conditionalFormatting sqref="F83:G83">
    <cfRule type="expression" dxfId="1364" priority="52">
      <formula>kvartal &lt; 4</formula>
    </cfRule>
  </conditionalFormatting>
  <conditionalFormatting sqref="F90:G90">
    <cfRule type="expression" dxfId="1363" priority="46">
      <formula>kvartal &lt; 4</formula>
    </cfRule>
  </conditionalFormatting>
  <conditionalFormatting sqref="F93">
    <cfRule type="expression" dxfId="1362" priority="45">
      <formula>kvartal &lt; 4</formula>
    </cfRule>
  </conditionalFormatting>
  <conditionalFormatting sqref="G93">
    <cfRule type="expression" dxfId="1361" priority="44">
      <formula>kvartal &lt; 4</formula>
    </cfRule>
  </conditionalFormatting>
  <conditionalFormatting sqref="F101">
    <cfRule type="expression" dxfId="1360" priority="43">
      <formula>kvartal &lt; 4</formula>
    </cfRule>
  </conditionalFormatting>
  <conditionalFormatting sqref="G101">
    <cfRule type="expression" dxfId="1359" priority="42">
      <formula>kvartal &lt; 4</formula>
    </cfRule>
  </conditionalFormatting>
  <conditionalFormatting sqref="G104">
    <cfRule type="expression" dxfId="1358" priority="41">
      <formula>kvartal &lt; 4</formula>
    </cfRule>
  </conditionalFormatting>
  <conditionalFormatting sqref="F104">
    <cfRule type="expression" dxfId="1357" priority="40">
      <formula>kvartal &lt; 4</formula>
    </cfRule>
  </conditionalFormatting>
  <conditionalFormatting sqref="J69:K73">
    <cfRule type="expression" dxfId="1356" priority="39">
      <formula>kvartal &lt; 4</formula>
    </cfRule>
  </conditionalFormatting>
  <conditionalFormatting sqref="J74:K74">
    <cfRule type="expression" dxfId="1355" priority="38">
      <formula>kvartal &lt; 4</formula>
    </cfRule>
  </conditionalFormatting>
  <conditionalFormatting sqref="J80:K85">
    <cfRule type="expression" dxfId="1354" priority="37">
      <formula>kvartal &lt; 4</formula>
    </cfRule>
  </conditionalFormatting>
  <conditionalFormatting sqref="J90:K95">
    <cfRule type="expression" dxfId="1353" priority="34">
      <formula>kvartal &lt; 4</formula>
    </cfRule>
  </conditionalFormatting>
  <conditionalFormatting sqref="J101:K106">
    <cfRule type="expression" dxfId="1352" priority="33">
      <formula>kvartal &lt; 4</formula>
    </cfRule>
  </conditionalFormatting>
  <conditionalFormatting sqref="J115:K115">
    <cfRule type="expression" dxfId="1351" priority="32">
      <formula>kvartal &lt; 4</formula>
    </cfRule>
  </conditionalFormatting>
  <conditionalFormatting sqref="J123:K123">
    <cfRule type="expression" dxfId="1350" priority="31">
      <formula>kvartal &lt; 4</formula>
    </cfRule>
  </conditionalFormatting>
  <conditionalFormatting sqref="A50:A52">
    <cfRule type="expression" dxfId="1349" priority="12">
      <formula>kvartal &lt; 4</formula>
    </cfRule>
  </conditionalFormatting>
  <conditionalFormatting sqref="A69:A74">
    <cfRule type="expression" dxfId="1348" priority="10">
      <formula>kvartal &lt; 4</formula>
    </cfRule>
  </conditionalFormatting>
  <conditionalFormatting sqref="A80:A85">
    <cfRule type="expression" dxfId="1347" priority="9">
      <formula>kvartal &lt; 4</formula>
    </cfRule>
  </conditionalFormatting>
  <conditionalFormatting sqref="A90:A95">
    <cfRule type="expression" dxfId="1346" priority="6">
      <formula>kvartal &lt; 4</formula>
    </cfRule>
  </conditionalFormatting>
  <conditionalFormatting sqref="A101:A106">
    <cfRule type="expression" dxfId="1345" priority="5">
      <formula>kvartal &lt; 4</formula>
    </cfRule>
  </conditionalFormatting>
  <conditionalFormatting sqref="A115">
    <cfRule type="expression" dxfId="1344" priority="4">
      <formula>kvartal &lt; 4</formula>
    </cfRule>
  </conditionalFormatting>
  <conditionalFormatting sqref="A123">
    <cfRule type="expression" dxfId="1343" priority="3">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R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8" x14ac:dyDescent="0.2">
      <c r="A1" s="172" t="s">
        <v>145</v>
      </c>
      <c r="B1" s="641"/>
      <c r="C1" s="251" t="s">
        <v>134</v>
      </c>
      <c r="D1" s="26"/>
      <c r="E1" s="26"/>
      <c r="F1" s="26"/>
      <c r="G1" s="26"/>
      <c r="H1" s="26"/>
      <c r="I1" s="26"/>
      <c r="J1" s="26"/>
      <c r="K1" s="26"/>
      <c r="L1" s="26"/>
      <c r="M1" s="26"/>
      <c r="O1" s="430"/>
    </row>
    <row r="2" spans="1:18" ht="15.75" x14ac:dyDescent="0.25">
      <c r="A2" s="165" t="s">
        <v>28</v>
      </c>
      <c r="B2" s="731"/>
      <c r="C2" s="731"/>
      <c r="D2" s="731"/>
      <c r="E2" s="302"/>
      <c r="F2" s="731"/>
      <c r="G2" s="731"/>
      <c r="H2" s="731"/>
      <c r="I2" s="302"/>
      <c r="J2" s="731"/>
      <c r="K2" s="731"/>
      <c r="L2" s="731"/>
      <c r="M2" s="302"/>
      <c r="O2" s="148"/>
    </row>
    <row r="3" spans="1:18" ht="15.75" x14ac:dyDescent="0.25">
      <c r="A3" s="163"/>
      <c r="B3" s="302"/>
      <c r="C3" s="302"/>
      <c r="D3" s="302"/>
      <c r="E3" s="302"/>
      <c r="F3" s="302"/>
      <c r="G3" s="302"/>
      <c r="H3" s="302"/>
      <c r="I3" s="302"/>
      <c r="J3" s="302"/>
      <c r="K3" s="302"/>
      <c r="L3" s="302"/>
      <c r="M3" s="302"/>
      <c r="O3" s="148"/>
    </row>
    <row r="4" spans="1:18" x14ac:dyDescent="0.2">
      <c r="A4" s="144"/>
      <c r="B4" s="726" t="s">
        <v>0</v>
      </c>
      <c r="C4" s="727"/>
      <c r="D4" s="727"/>
      <c r="E4" s="304"/>
      <c r="F4" s="726" t="s">
        <v>1</v>
      </c>
      <c r="G4" s="727"/>
      <c r="H4" s="727"/>
      <c r="I4" s="307"/>
      <c r="J4" s="726" t="s">
        <v>2</v>
      </c>
      <c r="K4" s="727"/>
      <c r="L4" s="727"/>
      <c r="M4" s="307"/>
      <c r="O4" s="148"/>
    </row>
    <row r="5" spans="1:18"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8" x14ac:dyDescent="0.2">
      <c r="A6" s="642"/>
      <c r="B6" s="156"/>
      <c r="C6" s="156"/>
      <c r="D6" s="249" t="s">
        <v>4</v>
      </c>
      <c r="E6" s="156" t="s">
        <v>30</v>
      </c>
      <c r="F6" s="161"/>
      <c r="G6" s="161"/>
      <c r="H6" s="247" t="s">
        <v>4</v>
      </c>
      <c r="I6" s="156" t="s">
        <v>30</v>
      </c>
      <c r="J6" s="161"/>
      <c r="K6" s="161"/>
      <c r="L6" s="247" t="s">
        <v>4</v>
      </c>
      <c r="M6" s="156" t="s">
        <v>30</v>
      </c>
      <c r="O6" s="148"/>
    </row>
    <row r="7" spans="1:18" ht="15.75" x14ac:dyDescent="0.2">
      <c r="A7" s="14" t="s">
        <v>23</v>
      </c>
      <c r="B7" s="309">
        <v>166293</v>
      </c>
      <c r="C7" s="310">
        <v>180674</v>
      </c>
      <c r="D7" s="354">
        <f>IF(B7=0, "    ---- ", IF(ABS(ROUND(100/B7*C7-100,1))&lt;999,ROUND(100/B7*C7-100,1),IF(ROUND(100/B7*C7-100,1)&gt;999,999,-999)))</f>
        <v>8.6</v>
      </c>
      <c r="E7" s="11">
        <f>IFERROR(100/'Skjema total MA'!C7*C7,0)</f>
        <v>5.1376647392899795</v>
      </c>
      <c r="F7" s="309"/>
      <c r="G7" s="310"/>
      <c r="H7" s="354"/>
      <c r="I7" s="160"/>
      <c r="J7" s="311">
        <f t="shared" ref="J7:K10" si="0">SUM(B7,F7)</f>
        <v>166293</v>
      </c>
      <c r="K7" s="312">
        <f t="shared" si="0"/>
        <v>180674</v>
      </c>
      <c r="L7" s="431">
        <f>IF(J7=0, "    ---- ", IF(ABS(ROUND(100/J7*K7-100,1))&lt;999,ROUND(100/J7*K7-100,1),IF(ROUND(100/J7*K7-100,1)&gt;999,999,-999)))</f>
        <v>8.6</v>
      </c>
      <c r="M7" s="11">
        <f>IFERROR(100/'Skjema total MA'!I7*K7,0)</f>
        <v>2.0044122051462581</v>
      </c>
      <c r="O7" s="148"/>
    </row>
    <row r="8" spans="1:18" ht="15.75" x14ac:dyDescent="0.2">
      <c r="A8" s="21" t="s">
        <v>25</v>
      </c>
      <c r="B8" s="284">
        <v>140319</v>
      </c>
      <c r="C8" s="285">
        <v>154065.67000000001</v>
      </c>
      <c r="D8" s="166">
        <f t="shared" ref="D8:D10" si="1">IF(B8=0, "    ---- ", IF(ABS(ROUND(100/B8*C8-100,1))&lt;999,ROUND(100/B8*C8-100,1),IF(ROUND(100/B8*C8-100,1)&gt;999,999,-999)))</f>
        <v>9.8000000000000007</v>
      </c>
      <c r="E8" s="27">
        <f>IFERROR(100/'Skjema total MA'!C8*C8,0)</f>
        <v>7.3245323413217864</v>
      </c>
      <c r="F8" s="288"/>
      <c r="G8" s="289"/>
      <c r="H8" s="166"/>
      <c r="I8" s="176"/>
      <c r="J8" s="235">
        <f t="shared" si="0"/>
        <v>140319</v>
      </c>
      <c r="K8" s="290">
        <f t="shared" si="0"/>
        <v>154065.67000000001</v>
      </c>
      <c r="L8" s="432">
        <f t="shared" ref="L8:L10" si="2">IF(J8=0, "    ---- ", IF(ABS(ROUND(100/J8*K8-100,1))&lt;999,ROUND(100/J8*K8-100,1),IF(ROUND(100/J8*K8-100,1)&gt;999,999,-999)))</f>
        <v>9.8000000000000007</v>
      </c>
      <c r="M8" s="27">
        <f>IFERROR(100/'Skjema total MA'!I8*K8,0)</f>
        <v>7.3245323413217864</v>
      </c>
      <c r="O8" s="148"/>
    </row>
    <row r="9" spans="1:18" ht="15.75" x14ac:dyDescent="0.2">
      <c r="A9" s="21" t="s">
        <v>24</v>
      </c>
      <c r="B9" s="284">
        <v>25974</v>
      </c>
      <c r="C9" s="285">
        <v>26608.76</v>
      </c>
      <c r="D9" s="166">
        <f t="shared" si="1"/>
        <v>2.4</v>
      </c>
      <c r="E9" s="27">
        <f>IFERROR(100/'Skjema total MA'!C9*C9,0)</f>
        <v>3.4034374789471027</v>
      </c>
      <c r="F9" s="288"/>
      <c r="G9" s="289"/>
      <c r="H9" s="166"/>
      <c r="I9" s="176"/>
      <c r="J9" s="235">
        <f t="shared" si="0"/>
        <v>25974</v>
      </c>
      <c r="K9" s="290">
        <f t="shared" si="0"/>
        <v>26608.76</v>
      </c>
      <c r="L9" s="432">
        <f t="shared" si="2"/>
        <v>2.4</v>
      </c>
      <c r="M9" s="27">
        <f>IFERROR(100/'Skjema total MA'!I9*K9,0)</f>
        <v>3.4034374789471027</v>
      </c>
      <c r="O9" s="148"/>
    </row>
    <row r="10" spans="1:18" ht="15.75" x14ac:dyDescent="0.2">
      <c r="A10" s="13" t="s">
        <v>376</v>
      </c>
      <c r="B10" s="313">
        <v>105784</v>
      </c>
      <c r="C10" s="314">
        <v>113522</v>
      </c>
      <c r="D10" s="171">
        <f t="shared" si="1"/>
        <v>7.3</v>
      </c>
      <c r="E10" s="11">
        <f>IFERROR(100/'Skjema total MA'!C10*C10,0)</f>
        <v>0.53519134466875651</v>
      </c>
      <c r="F10" s="313"/>
      <c r="G10" s="314"/>
      <c r="H10" s="171"/>
      <c r="I10" s="160"/>
      <c r="J10" s="311">
        <f t="shared" si="0"/>
        <v>105784</v>
      </c>
      <c r="K10" s="312">
        <f t="shared" si="0"/>
        <v>113522</v>
      </c>
      <c r="L10" s="432">
        <f t="shared" si="2"/>
        <v>7.3</v>
      </c>
      <c r="M10" s="11">
        <f>IFERROR(100/'Skjema total MA'!I10*K10,0)</f>
        <v>0.17247816086474596</v>
      </c>
      <c r="O10" s="148"/>
    </row>
    <row r="11" spans="1:18" s="43" customFormat="1" ht="15.75" x14ac:dyDescent="0.2">
      <c r="A11" s="13" t="s">
        <v>377</v>
      </c>
      <c r="B11" s="313"/>
      <c r="C11" s="314"/>
      <c r="D11" s="171"/>
      <c r="E11" s="11"/>
      <c r="F11" s="313"/>
      <c r="G11" s="314"/>
      <c r="H11" s="171"/>
      <c r="I11" s="160"/>
      <c r="J11" s="311"/>
      <c r="K11" s="312"/>
      <c r="L11" s="432"/>
      <c r="M11" s="11"/>
      <c r="N11" s="143"/>
      <c r="O11" s="148"/>
      <c r="R11" s="143"/>
    </row>
    <row r="12" spans="1:18" s="43" customFormat="1" ht="15.75" x14ac:dyDescent="0.2">
      <c r="A12" s="41" t="s">
        <v>378</v>
      </c>
      <c r="B12" s="315"/>
      <c r="C12" s="316"/>
      <c r="D12" s="169"/>
      <c r="E12" s="36"/>
      <c r="F12" s="315"/>
      <c r="G12" s="316"/>
      <c r="H12" s="169"/>
      <c r="I12" s="169"/>
      <c r="J12" s="317"/>
      <c r="K12" s="318"/>
      <c r="L12" s="433"/>
      <c r="M12" s="36"/>
      <c r="N12" s="143"/>
      <c r="O12" s="148"/>
    </row>
    <row r="13" spans="1:18" s="43" customFormat="1" x14ac:dyDescent="0.2">
      <c r="A13" s="168"/>
      <c r="B13" s="145"/>
      <c r="C13" s="33"/>
      <c r="D13" s="159"/>
      <c r="E13" s="159"/>
      <c r="F13" s="145"/>
      <c r="G13" s="33"/>
      <c r="H13" s="159"/>
      <c r="I13" s="159"/>
      <c r="J13" s="48"/>
      <c r="K13" s="48"/>
      <c r="L13" s="159"/>
      <c r="M13" s="159"/>
      <c r="N13" s="143"/>
      <c r="O13" s="430"/>
    </row>
    <row r="14" spans="1:18" x14ac:dyDescent="0.2">
      <c r="A14" s="153" t="s">
        <v>286</v>
      </c>
      <c r="B14" s="26"/>
      <c r="O14" s="148"/>
    </row>
    <row r="15" spans="1:18" x14ac:dyDescent="0.2">
      <c r="F15" s="146"/>
      <c r="G15" s="146"/>
      <c r="H15" s="146"/>
      <c r="I15" s="146"/>
      <c r="J15" s="146"/>
      <c r="K15" s="146"/>
      <c r="L15" s="146"/>
      <c r="M15" s="146"/>
      <c r="O15" s="148"/>
    </row>
    <row r="16" spans="1:18"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v>167136</v>
      </c>
      <c r="C22" s="319">
        <v>174786</v>
      </c>
      <c r="D22" s="354">
        <f t="shared" ref="D22:D32" si="3">IF(B22=0, "    ---- ", IF(ABS(ROUND(100/B22*C22-100,1))&lt;999,ROUND(100/B22*C22-100,1),IF(ROUND(100/B22*C22-100,1)&gt;999,999,-999)))</f>
        <v>4.5999999999999996</v>
      </c>
      <c r="E22" s="11">
        <f>IFERROR(100/'Skjema total MA'!C22*C22,0)</f>
        <v>14.558223830219925</v>
      </c>
      <c r="F22" s="321">
        <v>4466</v>
      </c>
      <c r="G22" s="321">
        <v>9309</v>
      </c>
      <c r="H22" s="354">
        <f t="shared" ref="H22:H33" si="4">IF(F22=0, "    ---- ", IF(ABS(ROUND(100/F22*G22-100,1))&lt;999,ROUND(100/F22*G22-100,1),IF(ROUND(100/F22*G22-100,1)&gt;999,999,-999)))</f>
        <v>108.4</v>
      </c>
      <c r="I22" s="11">
        <f>IFERROR(100/'Skjema total MA'!F22*G22,0)</f>
        <v>1.2065084055689435</v>
      </c>
      <c r="J22" s="319">
        <f t="shared" ref="J22:K29" si="5">SUM(B22,F22)</f>
        <v>171602</v>
      </c>
      <c r="K22" s="319">
        <f t="shared" si="5"/>
        <v>184095</v>
      </c>
      <c r="L22" s="431">
        <f t="shared" ref="L22:L33" si="6">IF(J22=0, "    ---- ", IF(ABS(ROUND(100/J22*K22-100,1))&lt;999,ROUND(100/J22*K22-100,1),IF(ROUND(100/J22*K22-100,1)&gt;999,999,-999)))</f>
        <v>7.3</v>
      </c>
      <c r="M22" s="24">
        <f>IFERROR(100/'Skjema total MA'!I22*K22,0)</f>
        <v>9.3346650089160832</v>
      </c>
      <c r="O22" s="148"/>
    </row>
    <row r="23" spans="1:15" ht="15.75" x14ac:dyDescent="0.2">
      <c r="A23" s="619" t="s">
        <v>379</v>
      </c>
      <c r="B23" s="284"/>
      <c r="C23" s="284">
        <v>174236</v>
      </c>
      <c r="D23" s="166" t="str">
        <f t="shared" si="3"/>
        <v xml:space="preserve">    ---- </v>
      </c>
      <c r="E23" s="11">
        <f>IFERROR(100/'Skjema total MA'!C23*C23,0)</f>
        <v>19.932884927525762</v>
      </c>
      <c r="F23" s="293"/>
      <c r="G23" s="293"/>
      <c r="H23" s="166"/>
      <c r="I23" s="421"/>
      <c r="J23" s="293"/>
      <c r="K23" s="293">
        <f t="shared" ref="K23:K26" si="7">SUM(C23,G23)</f>
        <v>174236</v>
      </c>
      <c r="L23" s="257" t="str">
        <f t="shared" si="6"/>
        <v xml:space="preserve">    ---- </v>
      </c>
      <c r="M23" s="23">
        <f>IFERROR(100/'Skjema total MA'!I23*K23,0)</f>
        <v>17.408532981659523</v>
      </c>
      <c r="O23" s="148"/>
    </row>
    <row r="24" spans="1:15" ht="15.75" x14ac:dyDescent="0.2">
      <c r="A24" s="619" t="s">
        <v>380</v>
      </c>
      <c r="B24" s="284"/>
      <c r="C24" s="284"/>
      <c r="D24" s="166"/>
      <c r="E24" s="11"/>
      <c r="F24" s="293"/>
      <c r="G24" s="293"/>
      <c r="H24" s="166"/>
      <c r="I24" s="421"/>
      <c r="J24" s="293"/>
      <c r="K24" s="293"/>
      <c r="L24" s="166"/>
      <c r="M24" s="23"/>
      <c r="O24" s="148"/>
    </row>
    <row r="25" spans="1:15" ht="15.75" x14ac:dyDescent="0.2">
      <c r="A25" s="619" t="s">
        <v>381</v>
      </c>
      <c r="B25" s="284"/>
      <c r="C25" s="284">
        <v>550</v>
      </c>
      <c r="D25" s="166" t="str">
        <f t="shared" si="3"/>
        <v xml:space="preserve">    ---- </v>
      </c>
      <c r="E25" s="11">
        <f>IFERROR(100/'Skjema total MA'!C25*C25,0)</f>
        <v>2.2319616914211511</v>
      </c>
      <c r="F25" s="293"/>
      <c r="G25" s="293">
        <v>3266</v>
      </c>
      <c r="H25" s="166" t="str">
        <f t="shared" si="4"/>
        <v xml:space="preserve">    ---- </v>
      </c>
      <c r="I25" s="421">
        <f>IFERROR(100/'Skjema total MA'!F25*G25,0)</f>
        <v>3.5265666065810626</v>
      </c>
      <c r="J25" s="293"/>
      <c r="K25" s="293">
        <f t="shared" si="7"/>
        <v>3816</v>
      </c>
      <c r="L25" s="257" t="str">
        <f t="shared" si="6"/>
        <v xml:space="preserve">    ---- </v>
      </c>
      <c r="M25" s="23">
        <f>IFERROR(100/'Skjema total MA'!I25*K25,0)</f>
        <v>3.2544919784817701</v>
      </c>
      <c r="O25" s="148"/>
    </row>
    <row r="26" spans="1:15" ht="15.75" x14ac:dyDescent="0.2">
      <c r="A26" s="619" t="s">
        <v>382</v>
      </c>
      <c r="B26" s="284"/>
      <c r="C26" s="284"/>
      <c r="D26" s="166"/>
      <c r="E26" s="11"/>
      <c r="F26" s="293"/>
      <c r="G26" s="293">
        <v>6043</v>
      </c>
      <c r="H26" s="166" t="str">
        <f t="shared" si="4"/>
        <v xml:space="preserve">    ---- </v>
      </c>
      <c r="I26" s="421">
        <f>IFERROR(100/'Skjema total MA'!F26*G26,0)</f>
        <v>1.0943958806501801</v>
      </c>
      <c r="J26" s="293"/>
      <c r="K26" s="293">
        <f t="shared" si="7"/>
        <v>6043</v>
      </c>
      <c r="L26" s="257" t="str">
        <f t="shared" si="6"/>
        <v xml:space="preserve">    ---- </v>
      </c>
      <c r="M26" s="23">
        <f>IFERROR(100/'Skjema total MA'!I26*K26,0)</f>
        <v>1.0943958806501801</v>
      </c>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v>166536</v>
      </c>
      <c r="C28" s="290">
        <v>174236</v>
      </c>
      <c r="D28" s="166">
        <f t="shared" si="3"/>
        <v>4.5999999999999996</v>
      </c>
      <c r="E28" s="11">
        <f>IFERROR(100/'Skjema total MA'!C28*C28,0)</f>
        <v>12.182321690814476</v>
      </c>
      <c r="F28" s="235"/>
      <c r="G28" s="290"/>
      <c r="H28" s="166"/>
      <c r="I28" s="27"/>
      <c r="J28" s="44">
        <f t="shared" si="5"/>
        <v>166536</v>
      </c>
      <c r="K28" s="44">
        <f t="shared" si="5"/>
        <v>174236</v>
      </c>
      <c r="L28" s="257">
        <f t="shared" si="6"/>
        <v>4.5999999999999996</v>
      </c>
      <c r="M28" s="23">
        <f>IFERROR(100/'Skjema total MA'!I28*K28,0)</f>
        <v>12.182321690814476</v>
      </c>
      <c r="O28" s="148"/>
    </row>
    <row r="29" spans="1:15" s="3" customFormat="1" ht="15.75" x14ac:dyDescent="0.2">
      <c r="A29" s="13" t="s">
        <v>376</v>
      </c>
      <c r="B29" s="237">
        <v>497664</v>
      </c>
      <c r="C29" s="237">
        <v>556771.80000000005</v>
      </c>
      <c r="D29" s="171">
        <f t="shared" si="3"/>
        <v>11.9</v>
      </c>
      <c r="E29" s="11">
        <f>IFERROR(100/'Skjema total MA'!C29*C29,0)</f>
        <v>1.1554357897110334</v>
      </c>
      <c r="F29" s="311">
        <v>102018.3</v>
      </c>
      <c r="G29" s="311">
        <v>122708</v>
      </c>
      <c r="H29" s="171">
        <f t="shared" si="4"/>
        <v>20.3</v>
      </c>
      <c r="I29" s="11">
        <f>IFERROR(100/'Skjema total MA'!F29*G29,0)</f>
        <v>0.59568585448482991</v>
      </c>
      <c r="J29" s="237">
        <f t="shared" si="5"/>
        <v>599682.30000000005</v>
      </c>
      <c r="K29" s="237">
        <f t="shared" si="5"/>
        <v>679479.8</v>
      </c>
      <c r="L29" s="432">
        <f t="shared" si="6"/>
        <v>13.3</v>
      </c>
      <c r="M29" s="24">
        <f>IFERROR(100/'Skjema total MA'!I29*K29,0)</f>
        <v>0.98780812781029759</v>
      </c>
      <c r="N29" s="148"/>
      <c r="O29" s="148"/>
    </row>
    <row r="30" spans="1:15" s="3" customFormat="1" ht="15.75" x14ac:dyDescent="0.2">
      <c r="A30" s="619" t="s">
        <v>379</v>
      </c>
      <c r="B30" s="284"/>
      <c r="C30" s="284">
        <v>554886.40000000002</v>
      </c>
      <c r="D30" s="166" t="str">
        <f t="shared" si="3"/>
        <v xml:space="preserve">    ---- </v>
      </c>
      <c r="E30" s="11">
        <f>IFERROR(100/'Skjema total MA'!C30*C30,0)</f>
        <v>4.1986085961966184</v>
      </c>
      <c r="F30" s="293"/>
      <c r="G30" s="293"/>
      <c r="H30" s="166"/>
      <c r="I30" s="421"/>
      <c r="J30" s="293"/>
      <c r="K30" s="293">
        <f t="shared" ref="K30:K33" si="8">SUM(C30,G30)</f>
        <v>554886.40000000002</v>
      </c>
      <c r="L30" s="257" t="str">
        <f t="shared" si="6"/>
        <v xml:space="preserve">    ---- </v>
      </c>
      <c r="M30" s="23">
        <f>IFERROR(100/'Skjema total MA'!I30*K30,0)</f>
        <v>3.1482279854801747</v>
      </c>
      <c r="N30" s="148"/>
      <c r="O30" s="148"/>
    </row>
    <row r="31" spans="1:15" s="3" customFormat="1" ht="15.75" x14ac:dyDescent="0.2">
      <c r="A31" s="619" t="s">
        <v>380</v>
      </c>
      <c r="B31" s="284"/>
      <c r="C31" s="284"/>
      <c r="D31" s="166"/>
      <c r="E31" s="11"/>
      <c r="F31" s="293"/>
      <c r="G31" s="293"/>
      <c r="H31" s="166"/>
      <c r="I31" s="421"/>
      <c r="J31" s="293"/>
      <c r="K31" s="293"/>
      <c r="L31" s="166"/>
      <c r="M31" s="23"/>
      <c r="N31" s="148"/>
      <c r="O31" s="148"/>
    </row>
    <row r="32" spans="1:15" ht="15.75" x14ac:dyDescent="0.2">
      <c r="A32" s="619" t="s">
        <v>381</v>
      </c>
      <c r="B32" s="284"/>
      <c r="C32" s="284">
        <v>1885.4</v>
      </c>
      <c r="D32" s="166" t="str">
        <f t="shared" si="3"/>
        <v xml:space="preserve">    ---- </v>
      </c>
      <c r="E32" s="11">
        <f>IFERROR(100/'Skjema total MA'!C32*C32,0)</f>
        <v>8.0454269195337727E-2</v>
      </c>
      <c r="F32" s="293"/>
      <c r="G32" s="293">
        <v>104134</v>
      </c>
      <c r="H32" s="171" t="str">
        <f t="shared" si="4"/>
        <v xml:space="preserve">    ---- </v>
      </c>
      <c r="I32" s="421">
        <f>IFERROR(100/'Skjema total MA'!F32*G32,0)</f>
        <v>2.4227433023884819</v>
      </c>
      <c r="J32" s="293"/>
      <c r="K32" s="293">
        <f t="shared" si="8"/>
        <v>106019.4</v>
      </c>
      <c r="L32" s="257" t="str">
        <f t="shared" si="6"/>
        <v xml:space="preserve">    ---- </v>
      </c>
      <c r="M32" s="23">
        <f>IFERROR(100/'Skjema total MA'!I32*K32,0)</f>
        <v>1.5962862071570783</v>
      </c>
      <c r="O32" s="148"/>
    </row>
    <row r="33" spans="1:15" ht="15.75" x14ac:dyDescent="0.2">
      <c r="A33" s="619" t="s">
        <v>382</v>
      </c>
      <c r="B33" s="284"/>
      <c r="C33" s="284"/>
      <c r="D33" s="166"/>
      <c r="E33" s="11"/>
      <c r="F33" s="293"/>
      <c r="G33" s="293">
        <v>18574</v>
      </c>
      <c r="H33" s="171" t="str">
        <f t="shared" si="4"/>
        <v xml:space="preserve">    ---- </v>
      </c>
      <c r="I33" s="421">
        <f>IFERROR(100/'Skjema total MA'!F34*G33,0)</f>
        <v>36.981810724768756</v>
      </c>
      <c r="J33" s="293"/>
      <c r="K33" s="293">
        <f t="shared" si="8"/>
        <v>18574</v>
      </c>
      <c r="L33" s="257" t="str">
        <f t="shared" si="6"/>
        <v xml:space="preserve">    ---- </v>
      </c>
      <c r="M33" s="23">
        <f>IFERROR(100/'Skjema total MA'!I34*K33,0)</f>
        <v>25.999745080716266</v>
      </c>
      <c r="O33" s="148"/>
    </row>
    <row r="34" spans="1:15" ht="15.75" x14ac:dyDescent="0.2">
      <c r="A34" s="13" t="s">
        <v>377</v>
      </c>
      <c r="B34" s="237"/>
      <c r="C34" s="312"/>
      <c r="D34" s="171"/>
      <c r="E34" s="11"/>
      <c r="F34" s="311"/>
      <c r="G34" s="312"/>
      <c r="H34" s="171"/>
      <c r="I34" s="11"/>
      <c r="J34" s="237"/>
      <c r="K34" s="237"/>
      <c r="L34" s="432"/>
      <c r="M34" s="24"/>
      <c r="O34" s="148"/>
    </row>
    <row r="35" spans="1:15" ht="15.75" x14ac:dyDescent="0.2">
      <c r="A35" s="13" t="s">
        <v>378</v>
      </c>
      <c r="B35" s="237"/>
      <c r="C35" s="312"/>
      <c r="D35" s="171"/>
      <c r="E35" s="11"/>
      <c r="F35" s="311"/>
      <c r="G35" s="312"/>
      <c r="H35" s="171"/>
      <c r="I35" s="11"/>
      <c r="J35" s="237"/>
      <c r="K35" s="237"/>
      <c r="L35" s="432"/>
      <c r="M35" s="24"/>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v>29804.799999999999</v>
      </c>
      <c r="C47" s="314">
        <v>32100</v>
      </c>
      <c r="D47" s="431">
        <f t="shared" ref="D47:D48" si="9">IF(B47=0, "    ---- ", IF(ABS(ROUND(100/B47*C47-100,1))&lt;999,ROUND(100/B47*C47-100,1),IF(ROUND(100/B47*C47-100,1)&gt;999,999,-999)))</f>
        <v>7.7</v>
      </c>
      <c r="E47" s="11">
        <f>IFERROR(100/'Skjema total MA'!C47*C47,0)</f>
        <v>0.86994852442380677</v>
      </c>
      <c r="F47" s="145"/>
      <c r="G47" s="33"/>
      <c r="H47" s="159"/>
      <c r="I47" s="159"/>
      <c r="J47" s="37"/>
      <c r="K47" s="37"/>
      <c r="L47" s="159"/>
      <c r="M47" s="159"/>
      <c r="N47" s="148"/>
      <c r="O47" s="148"/>
    </row>
    <row r="48" spans="1:15" s="3" customFormat="1" ht="15.75" x14ac:dyDescent="0.2">
      <c r="A48" s="38" t="s">
        <v>387</v>
      </c>
      <c r="B48" s="284">
        <v>29804.799999999999</v>
      </c>
      <c r="C48" s="285">
        <v>32100</v>
      </c>
      <c r="D48" s="257">
        <f t="shared" si="9"/>
        <v>7.7</v>
      </c>
      <c r="E48" s="27">
        <f>IFERROR(100/'Skjema total MA'!C48*C48,0)</f>
        <v>1.5363284055360538</v>
      </c>
      <c r="F48" s="145"/>
      <c r="G48" s="33"/>
      <c r="H48" s="145"/>
      <c r="I48" s="145"/>
      <c r="J48" s="33"/>
      <c r="K48" s="33"/>
      <c r="L48" s="159"/>
      <c r="M48" s="159"/>
      <c r="N48" s="148"/>
      <c r="O48" s="148"/>
    </row>
    <row r="49" spans="1:15" s="3" customFormat="1" ht="15.75" x14ac:dyDescent="0.2">
      <c r="A49" s="38" t="s">
        <v>388</v>
      </c>
      <c r="B49" s="44"/>
      <c r="C49" s="290"/>
      <c r="D49" s="257"/>
      <c r="E49" s="27"/>
      <c r="F49" s="145"/>
      <c r="G49" s="33"/>
      <c r="H49" s="145"/>
      <c r="I49" s="145"/>
      <c r="J49" s="37"/>
      <c r="K49" s="37"/>
      <c r="L49" s="159"/>
      <c r="M49" s="159"/>
      <c r="N49" s="148"/>
      <c r="O49" s="148"/>
    </row>
    <row r="50" spans="1:15" s="3" customFormat="1" x14ac:dyDescent="0.2">
      <c r="A50" s="299" t="s">
        <v>6</v>
      </c>
      <c r="B50" s="293"/>
      <c r="C50" s="294"/>
      <c r="D50" s="257"/>
      <c r="E50" s="23"/>
      <c r="F50" s="145"/>
      <c r="G50" s="33"/>
      <c r="H50" s="145"/>
      <c r="I50" s="145"/>
      <c r="J50" s="33"/>
      <c r="K50" s="33"/>
      <c r="L50" s="159"/>
      <c r="M50" s="159"/>
      <c r="N50" s="148"/>
      <c r="O50" s="148"/>
    </row>
    <row r="51" spans="1:15" s="3" customFormat="1" x14ac:dyDescent="0.2">
      <c r="A51" s="299" t="s">
        <v>7</v>
      </c>
      <c r="B51" s="293"/>
      <c r="C51" s="294"/>
      <c r="D51" s="257"/>
      <c r="E51" s="23"/>
      <c r="F51" s="145"/>
      <c r="G51" s="33"/>
      <c r="H51" s="145"/>
      <c r="I51" s="145"/>
      <c r="J51" s="33"/>
      <c r="K51" s="33"/>
      <c r="L51" s="159"/>
      <c r="M51" s="159"/>
      <c r="N51" s="148"/>
      <c r="O51" s="148"/>
    </row>
    <row r="52" spans="1:15" s="3" customFormat="1" x14ac:dyDescent="0.2">
      <c r="A52" s="299" t="s">
        <v>8</v>
      </c>
      <c r="B52" s="293"/>
      <c r="C52" s="294"/>
      <c r="D52" s="257"/>
      <c r="E52" s="23"/>
      <c r="F52" s="145"/>
      <c r="G52" s="33"/>
      <c r="H52" s="145"/>
      <c r="I52" s="145"/>
      <c r="J52" s="33"/>
      <c r="K52" s="33"/>
      <c r="L52" s="159"/>
      <c r="M52" s="159"/>
      <c r="N52" s="148"/>
      <c r="O52" s="148"/>
    </row>
    <row r="53" spans="1:15" s="3" customFormat="1" ht="15.75" x14ac:dyDescent="0.2">
      <c r="A53" s="39" t="s">
        <v>389</v>
      </c>
      <c r="B53" s="313"/>
      <c r="C53" s="314"/>
      <c r="D53" s="432"/>
      <c r="E53" s="11"/>
      <c r="F53" s="145"/>
      <c r="G53" s="33"/>
      <c r="H53" s="145"/>
      <c r="I53" s="145"/>
      <c r="J53" s="33"/>
      <c r="K53" s="33"/>
      <c r="L53" s="159"/>
      <c r="M53" s="159"/>
      <c r="N53" s="148"/>
      <c r="O53" s="148"/>
    </row>
    <row r="54" spans="1:15" s="3" customFormat="1" ht="15.75" x14ac:dyDescent="0.2">
      <c r="A54" s="38" t="s">
        <v>387</v>
      </c>
      <c r="B54" s="284"/>
      <c r="C54" s="285"/>
      <c r="D54" s="257"/>
      <c r="E54" s="27"/>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c r="C56" s="314"/>
      <c r="D56" s="432"/>
      <c r="E56" s="11"/>
      <c r="F56" s="145"/>
      <c r="G56" s="33"/>
      <c r="H56" s="145"/>
      <c r="I56" s="145"/>
      <c r="J56" s="33"/>
      <c r="K56" s="33"/>
      <c r="L56" s="159"/>
      <c r="M56" s="159"/>
      <c r="N56" s="148"/>
      <c r="O56" s="148"/>
    </row>
    <row r="57" spans="1:15" s="3" customFormat="1" ht="15.75" x14ac:dyDescent="0.2">
      <c r="A57" s="38" t="s">
        <v>387</v>
      </c>
      <c r="B57" s="284"/>
      <c r="C57" s="285"/>
      <c r="D57" s="257"/>
      <c r="E57" s="27"/>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v>74479</v>
      </c>
      <c r="C66" s="357">
        <v>75617</v>
      </c>
      <c r="D66" s="354">
        <f t="shared" ref="D66:D111" si="10">IF(B66=0, "    ---- ", IF(ABS(ROUND(100/B66*C66-100,1))&lt;999,ROUND(100/B66*C66-100,1),IF(ROUND(100/B66*C66-100,1)&gt;999,999,-999)))</f>
        <v>1.5</v>
      </c>
      <c r="E66" s="11">
        <f>IFERROR(100/'Skjema total MA'!C66*C66,0)</f>
        <v>1.0507687557100105</v>
      </c>
      <c r="F66" s="356">
        <v>250850</v>
      </c>
      <c r="G66" s="356">
        <v>262991</v>
      </c>
      <c r="H66" s="354">
        <f t="shared" ref="H66:H111" si="11">IF(F66=0, "    ---- ", IF(ABS(ROUND(100/F66*G66-100,1))&lt;999,ROUND(100/F66*G66-100,1),IF(ROUND(100/F66*G66-100,1)&gt;999,999,-999)))</f>
        <v>4.8</v>
      </c>
      <c r="I66" s="11">
        <f>IFERROR(100/'Skjema total MA'!F66*G66,0)</f>
        <v>1.2241984454391965</v>
      </c>
      <c r="J66" s="312">
        <f t="shared" ref="J66:K79" si="12">SUM(B66,F66)</f>
        <v>325329</v>
      </c>
      <c r="K66" s="319">
        <f t="shared" si="12"/>
        <v>338608</v>
      </c>
      <c r="L66" s="432">
        <f t="shared" ref="L66:L111" si="13">IF(J66=0, "    ---- ", IF(ABS(ROUND(100/J66*K66-100,1))&lt;999,ROUND(100/J66*K66-100,1),IF(ROUND(100/J66*K66-100,1)&gt;999,999,-999)))</f>
        <v>4.0999999999999996</v>
      </c>
      <c r="M66" s="11">
        <f>IFERROR(100/'Skjema total MA'!I66*K66,0)</f>
        <v>1.1806802552672575</v>
      </c>
      <c r="O66" s="148"/>
    </row>
    <row r="67" spans="1:15" x14ac:dyDescent="0.2">
      <c r="A67" s="423" t="s">
        <v>9</v>
      </c>
      <c r="B67" s="44"/>
      <c r="C67" s="145"/>
      <c r="D67" s="166"/>
      <c r="E67" s="27"/>
      <c r="F67" s="235"/>
      <c r="G67" s="145"/>
      <c r="H67" s="166"/>
      <c r="I67" s="27"/>
      <c r="J67" s="290"/>
      <c r="K67" s="44"/>
      <c r="L67" s="257"/>
      <c r="M67" s="27"/>
      <c r="O67" s="148"/>
    </row>
    <row r="68" spans="1:15" x14ac:dyDescent="0.2">
      <c r="A68" s="21" t="s">
        <v>10</v>
      </c>
      <c r="B68" s="295">
        <v>74479</v>
      </c>
      <c r="C68" s="296">
        <v>75617</v>
      </c>
      <c r="D68" s="166">
        <f t="shared" si="10"/>
        <v>1.5</v>
      </c>
      <c r="E68" s="27">
        <f>IFERROR(100/'Skjema total MA'!C68*C68,0)</f>
        <v>57.082302980068725</v>
      </c>
      <c r="F68" s="295">
        <v>250850</v>
      </c>
      <c r="G68" s="296">
        <v>262991</v>
      </c>
      <c r="H68" s="166">
        <f t="shared" si="11"/>
        <v>4.8</v>
      </c>
      <c r="I68" s="27">
        <f>IFERROR(100/'Skjema total MA'!F68*G68,0)</f>
        <v>1.241808283125267</v>
      </c>
      <c r="J68" s="290">
        <f t="shared" si="12"/>
        <v>325329</v>
      </c>
      <c r="K68" s="44">
        <f t="shared" si="12"/>
        <v>338608</v>
      </c>
      <c r="L68" s="257">
        <f t="shared" si="13"/>
        <v>4.0999999999999996</v>
      </c>
      <c r="M68" s="27">
        <f>IFERROR(100/'Skjema total MA'!I68*K68,0)</f>
        <v>1.5889228199038143</v>
      </c>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v>74479</v>
      </c>
      <c r="C77" s="235">
        <v>75617</v>
      </c>
      <c r="D77" s="166">
        <f t="shared" si="10"/>
        <v>1.5</v>
      </c>
      <c r="E77" s="27">
        <f>IFERROR(100/'Skjema total MA'!C77*C77,0)</f>
        <v>1.2977719197776998</v>
      </c>
      <c r="F77" s="235">
        <v>250850</v>
      </c>
      <c r="G77" s="145">
        <v>262991</v>
      </c>
      <c r="H77" s="166">
        <f t="shared" si="11"/>
        <v>4.8</v>
      </c>
      <c r="I77" s="27">
        <f>IFERROR(100/'Skjema total MA'!F77*G77,0)</f>
        <v>1.2423766764276538</v>
      </c>
      <c r="J77" s="290">
        <f t="shared" si="12"/>
        <v>325329</v>
      </c>
      <c r="K77" s="44">
        <f t="shared" si="12"/>
        <v>338608</v>
      </c>
      <c r="L77" s="257">
        <f t="shared" si="13"/>
        <v>4.0999999999999996</v>
      </c>
      <c r="M77" s="27">
        <f>IFERROR(100/'Skjema total MA'!I77*K77,0)</f>
        <v>1.2543333201717788</v>
      </c>
      <c r="O77" s="148"/>
    </row>
    <row r="78" spans="1:15" x14ac:dyDescent="0.2">
      <c r="A78" s="21" t="s">
        <v>9</v>
      </c>
      <c r="B78" s="235"/>
      <c r="C78" s="145"/>
      <c r="D78" s="166"/>
      <c r="E78" s="27"/>
      <c r="F78" s="235"/>
      <c r="G78" s="145"/>
      <c r="H78" s="166"/>
      <c r="I78" s="27"/>
      <c r="J78" s="290"/>
      <c r="K78" s="44"/>
      <c r="L78" s="257"/>
      <c r="M78" s="27"/>
      <c r="O78" s="148"/>
    </row>
    <row r="79" spans="1:15" x14ac:dyDescent="0.2">
      <c r="A79" s="21" t="s">
        <v>10</v>
      </c>
      <c r="B79" s="295">
        <v>74479</v>
      </c>
      <c r="C79" s="296">
        <v>75617</v>
      </c>
      <c r="D79" s="166">
        <f t="shared" si="10"/>
        <v>1.5</v>
      </c>
      <c r="E79" s="27">
        <f>IFERROR(100/'Skjema total MA'!C79*C79,0)</f>
        <v>58.463162527788747</v>
      </c>
      <c r="F79" s="295">
        <v>250850</v>
      </c>
      <c r="G79" s="296">
        <v>262991</v>
      </c>
      <c r="H79" s="166">
        <f t="shared" si="11"/>
        <v>4.8</v>
      </c>
      <c r="I79" s="27">
        <f>IFERROR(100/'Skjema total MA'!F79*G79,0)</f>
        <v>1.2423766764276538</v>
      </c>
      <c r="J79" s="290">
        <f t="shared" si="12"/>
        <v>325329</v>
      </c>
      <c r="K79" s="44">
        <f t="shared" si="12"/>
        <v>338608</v>
      </c>
      <c r="L79" s="257">
        <f t="shared" si="13"/>
        <v>4.0999999999999996</v>
      </c>
      <c r="M79" s="27">
        <f>IFERROR(100/'Skjema total MA'!I79*K79,0)</f>
        <v>1.5898791047509537</v>
      </c>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c r="G86" s="145"/>
      <c r="H86" s="166"/>
      <c r="I86" s="27"/>
      <c r="J86" s="290"/>
      <c r="K86" s="44"/>
      <c r="L86" s="257"/>
      <c r="M86" s="27"/>
      <c r="O86" s="148"/>
    </row>
    <row r="87" spans="1:15" ht="15.75" x14ac:dyDescent="0.2">
      <c r="A87" s="13" t="s">
        <v>376</v>
      </c>
      <c r="B87" s="357">
        <v>168046</v>
      </c>
      <c r="C87" s="357">
        <v>163666</v>
      </c>
      <c r="D87" s="171">
        <f t="shared" si="10"/>
        <v>-2.6</v>
      </c>
      <c r="E87" s="11">
        <f>IFERROR(100/'Skjema total MA'!C87*C87,0)</f>
        <v>4.2427727709532827E-2</v>
      </c>
      <c r="F87" s="356">
        <v>2920509.5</v>
      </c>
      <c r="G87" s="356">
        <v>3349156</v>
      </c>
      <c r="H87" s="171">
        <f t="shared" si="11"/>
        <v>14.7</v>
      </c>
      <c r="I87" s="11">
        <f>IFERROR(100/'Skjema total MA'!F87*G87,0)</f>
        <v>1.2901833873269941</v>
      </c>
      <c r="J87" s="312">
        <f t="shared" ref="J87:K111" si="14">SUM(B87,F87)</f>
        <v>3088555.5</v>
      </c>
      <c r="K87" s="237">
        <f t="shared" si="14"/>
        <v>3512822</v>
      </c>
      <c r="L87" s="432">
        <f t="shared" si="13"/>
        <v>13.7</v>
      </c>
      <c r="M87" s="11">
        <f>IFERROR(100/'Skjema total MA'!I87*K87,0)</f>
        <v>0.54433659076136365</v>
      </c>
      <c r="O87" s="148"/>
    </row>
    <row r="88" spans="1:15" x14ac:dyDescent="0.2">
      <c r="A88" s="21" t="s">
        <v>9</v>
      </c>
      <c r="B88" s="235"/>
      <c r="C88" s="145"/>
      <c r="D88" s="166"/>
      <c r="E88" s="27"/>
      <c r="F88" s="235"/>
      <c r="G88" s="145"/>
      <c r="H88" s="166"/>
      <c r="I88" s="27"/>
      <c r="J88" s="290"/>
      <c r="K88" s="44"/>
      <c r="L88" s="257"/>
      <c r="M88" s="27"/>
      <c r="O88" s="148"/>
    </row>
    <row r="89" spans="1:15" x14ac:dyDescent="0.2">
      <c r="A89" s="21" t="s">
        <v>10</v>
      </c>
      <c r="B89" s="235">
        <v>168046</v>
      </c>
      <c r="C89" s="145">
        <v>163666</v>
      </c>
      <c r="D89" s="166">
        <f t="shared" si="10"/>
        <v>-2.6</v>
      </c>
      <c r="E89" s="27">
        <f>IFERROR(100/'Skjema total MA'!C89*C89,0)</f>
        <v>6.2066939571070563</v>
      </c>
      <c r="F89" s="235">
        <v>2920509.5</v>
      </c>
      <c r="G89" s="145">
        <v>3349156</v>
      </c>
      <c r="H89" s="166">
        <f t="shared" si="11"/>
        <v>14.7</v>
      </c>
      <c r="I89" s="27">
        <f>IFERROR(100/'Skjema total MA'!F89*G89,0)</f>
        <v>1.2953302414638201</v>
      </c>
      <c r="J89" s="290">
        <f t="shared" si="14"/>
        <v>3088555.5</v>
      </c>
      <c r="K89" s="44">
        <f t="shared" si="14"/>
        <v>3512822</v>
      </c>
      <c r="L89" s="257">
        <f t="shared" si="13"/>
        <v>13.7</v>
      </c>
      <c r="M89" s="27">
        <f>IFERROR(100/'Skjema total MA'!I89*K89,0)</f>
        <v>1.3449139005167561</v>
      </c>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v>168046</v>
      </c>
      <c r="C98" s="235">
        <v>163666</v>
      </c>
      <c r="D98" s="166">
        <f t="shared" si="10"/>
        <v>-2.6</v>
      </c>
      <c r="E98" s="27">
        <f>IFERROR(100/'Skjema total MA'!C98*C98,0)</f>
        <v>4.3667508809449702E-2</v>
      </c>
      <c r="F98" s="295">
        <v>2920509.5</v>
      </c>
      <c r="G98" s="295">
        <v>3349156</v>
      </c>
      <c r="H98" s="166">
        <f t="shared" si="11"/>
        <v>14.7</v>
      </c>
      <c r="I98" s="27">
        <f>IFERROR(100/'Skjema total MA'!F98*G98,0)</f>
        <v>1.2988590628394632</v>
      </c>
      <c r="J98" s="290">
        <f t="shared" si="14"/>
        <v>3088555.5</v>
      </c>
      <c r="K98" s="44">
        <f t="shared" si="14"/>
        <v>3512822</v>
      </c>
      <c r="L98" s="257">
        <f t="shared" si="13"/>
        <v>13.7</v>
      </c>
      <c r="M98" s="27">
        <f>IFERROR(100/'Skjema total MA'!I98*K98,0)</f>
        <v>0.55525160356769288</v>
      </c>
      <c r="O98" s="148"/>
    </row>
    <row r="99" spans="1:15" x14ac:dyDescent="0.2">
      <c r="A99" s="21" t="s">
        <v>9</v>
      </c>
      <c r="B99" s="295"/>
      <c r="C99" s="296"/>
      <c r="D99" s="166"/>
      <c r="E99" s="27"/>
      <c r="F99" s="235"/>
      <c r="G99" s="145"/>
      <c r="H99" s="166"/>
      <c r="I99" s="27"/>
      <c r="J99" s="290"/>
      <c r="K99" s="44"/>
      <c r="L99" s="257"/>
      <c r="M99" s="27"/>
      <c r="O99" s="148"/>
    </row>
    <row r="100" spans="1:15" x14ac:dyDescent="0.2">
      <c r="A100" s="21" t="s">
        <v>10</v>
      </c>
      <c r="B100" s="295">
        <v>168046</v>
      </c>
      <c r="C100" s="296">
        <v>163666</v>
      </c>
      <c r="D100" s="166">
        <f t="shared" si="10"/>
        <v>-2.6</v>
      </c>
      <c r="E100" s="27">
        <f>IFERROR(100/'Skjema total MA'!C100*C100,0)</f>
        <v>6.2066939571070563</v>
      </c>
      <c r="F100" s="235">
        <v>2920509.5</v>
      </c>
      <c r="G100" s="235">
        <v>3349156</v>
      </c>
      <c r="H100" s="166">
        <f t="shared" si="11"/>
        <v>14.7</v>
      </c>
      <c r="I100" s="27">
        <f>IFERROR(100/'Skjema total MA'!F100*G100,0)</f>
        <v>1.2988590628394632</v>
      </c>
      <c r="J100" s="290">
        <f t="shared" si="14"/>
        <v>3088555.5</v>
      </c>
      <c r="K100" s="44">
        <f t="shared" si="14"/>
        <v>3512822</v>
      </c>
      <c r="L100" s="257">
        <f t="shared" si="13"/>
        <v>13.7</v>
      </c>
      <c r="M100" s="27">
        <f>IFERROR(100/'Skjema total MA'!I100*K100,0)</f>
        <v>1.3485407114718</v>
      </c>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c r="G107" s="145"/>
      <c r="H107" s="166"/>
      <c r="I107" s="27"/>
      <c r="J107" s="290"/>
      <c r="K107" s="44"/>
      <c r="L107" s="257"/>
      <c r="M107" s="27"/>
      <c r="O107" s="148"/>
    </row>
    <row r="108" spans="1:15" ht="15.75" x14ac:dyDescent="0.2">
      <c r="A108" s="21" t="s">
        <v>395</v>
      </c>
      <c r="B108" s="235"/>
      <c r="C108" s="235"/>
      <c r="D108" s="166"/>
      <c r="E108" s="27"/>
      <c r="F108" s="235"/>
      <c r="G108" s="235"/>
      <c r="H108" s="166"/>
      <c r="I108" s="27"/>
      <c r="J108" s="290"/>
      <c r="K108" s="44"/>
      <c r="L108" s="257"/>
      <c r="M108" s="27"/>
      <c r="O108" s="148"/>
    </row>
    <row r="109" spans="1:15" ht="15.75" x14ac:dyDescent="0.2">
      <c r="A109" s="21" t="s">
        <v>396</v>
      </c>
      <c r="B109" s="235"/>
      <c r="C109" s="235"/>
      <c r="D109" s="166"/>
      <c r="E109" s="27"/>
      <c r="F109" s="235"/>
      <c r="G109" s="235"/>
      <c r="H109" s="166"/>
      <c r="I109" s="27"/>
      <c r="J109" s="290"/>
      <c r="K109" s="44"/>
      <c r="L109" s="257"/>
      <c r="M109" s="27"/>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v>466.02100000000002</v>
      </c>
      <c r="C111" s="159">
        <v>516.6</v>
      </c>
      <c r="D111" s="171">
        <f t="shared" si="10"/>
        <v>10.9</v>
      </c>
      <c r="E111" s="11">
        <f>IFERROR(100/'Skjema total MA'!C111*C111,0)</f>
        <v>0.14455304598012308</v>
      </c>
      <c r="F111" s="311">
        <v>60435</v>
      </c>
      <c r="G111" s="159">
        <v>47639.4</v>
      </c>
      <c r="H111" s="171">
        <f t="shared" si="11"/>
        <v>-21.2</v>
      </c>
      <c r="I111" s="11">
        <f>IFERROR(100/'Skjema total MA'!F111*G111,0)</f>
        <v>0.44054773169216604</v>
      </c>
      <c r="J111" s="312">
        <f t="shared" si="14"/>
        <v>60901.021000000001</v>
      </c>
      <c r="K111" s="237">
        <f t="shared" si="14"/>
        <v>48156</v>
      </c>
      <c r="L111" s="432">
        <f t="shared" si="13"/>
        <v>-20.9</v>
      </c>
      <c r="M111" s="11">
        <f>IFERROR(100/'Skjema total MA'!I111*K111,0)</f>
        <v>0.43107845130314576</v>
      </c>
      <c r="O111" s="148"/>
    </row>
    <row r="112" spans="1:15" x14ac:dyDescent="0.2">
      <c r="A112" s="21" t="s">
        <v>9</v>
      </c>
      <c r="B112" s="235"/>
      <c r="C112" s="145"/>
      <c r="D112" s="166"/>
      <c r="E112" s="27"/>
      <c r="F112" s="235"/>
      <c r="G112" s="145"/>
      <c r="H112" s="166"/>
      <c r="I112" s="27"/>
      <c r="J112" s="290"/>
      <c r="K112" s="44"/>
      <c r="L112" s="257"/>
      <c r="M112" s="27"/>
      <c r="O112" s="148"/>
    </row>
    <row r="113" spans="1:15" x14ac:dyDescent="0.2">
      <c r="A113" s="21" t="s">
        <v>10</v>
      </c>
      <c r="B113" s="235">
        <v>466.02100000000002</v>
      </c>
      <c r="C113" s="145">
        <v>516.6</v>
      </c>
      <c r="D113" s="166">
        <f t="shared" ref="D113:D121" si="15">IF(B113=0, "    ---- ", IF(ABS(ROUND(100/B113*C113-100,1))&lt;999,ROUND(100/B113*C113-100,1),IF(ROUND(100/B113*C113-100,1)&gt;999,999,-999)))</f>
        <v>10.9</v>
      </c>
      <c r="E113" s="27">
        <f>IFERROR(100/'Skjema total MA'!C113*C113,0)</f>
        <v>25.377430950704834</v>
      </c>
      <c r="F113" s="235">
        <v>60435</v>
      </c>
      <c r="G113" s="145">
        <v>47639.4</v>
      </c>
      <c r="H113" s="166">
        <f t="shared" ref="H113:H121" si="16">IF(F113=0, "    ---- ", IF(ABS(ROUND(100/F113*G113-100,1))&lt;999,ROUND(100/F113*G113-100,1),IF(ROUND(100/F113*G113-100,1)&gt;999,999,-999)))</f>
        <v>-21.2</v>
      </c>
      <c r="I113" s="27">
        <f>IFERROR(100/'Skjema total MA'!F113*G113,0)</f>
        <v>0.44221032818496159</v>
      </c>
      <c r="J113" s="290">
        <f t="shared" ref="J113:K121" si="17">SUM(B113,F113)</f>
        <v>60901.021000000001</v>
      </c>
      <c r="K113" s="44">
        <f t="shared" si="17"/>
        <v>48156</v>
      </c>
      <c r="L113" s="257">
        <f t="shared" ref="L113:L121" si="18">IF(J113=0, "    ---- ", IF(ABS(ROUND(100/J113*K113-100,1))&lt;999,ROUND(100/J113*K113-100,1),IF(ROUND(100/J113*K113-100,1)&gt;999,999,-999)))</f>
        <v>-20.9</v>
      </c>
      <c r="M113" s="27">
        <f>IFERROR(100/'Skjema total MA'!I113*K113,0)</f>
        <v>0.44692119150995169</v>
      </c>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c r="C116" s="235"/>
      <c r="D116" s="166"/>
      <c r="E116" s="27"/>
      <c r="F116" s="235"/>
      <c r="G116" s="235"/>
      <c r="H116" s="166"/>
      <c r="I116" s="27"/>
      <c r="J116" s="290"/>
      <c r="K116" s="44"/>
      <c r="L116" s="257"/>
      <c r="M116" s="27"/>
      <c r="O116" s="148"/>
    </row>
    <row r="117" spans="1:15" ht="15.75" x14ac:dyDescent="0.2">
      <c r="A117" s="21" t="s">
        <v>399</v>
      </c>
      <c r="B117" s="235"/>
      <c r="C117" s="235"/>
      <c r="D117" s="166"/>
      <c r="E117" s="27"/>
      <c r="F117" s="235"/>
      <c r="G117" s="235"/>
      <c r="H117" s="166"/>
      <c r="I117" s="27"/>
      <c r="J117" s="290"/>
      <c r="K117" s="44"/>
      <c r="L117" s="257"/>
      <c r="M117" s="27"/>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v>1680.6120000000001</v>
      </c>
      <c r="C119" s="159">
        <v>3071.2</v>
      </c>
      <c r="D119" s="171">
        <f t="shared" si="15"/>
        <v>82.7</v>
      </c>
      <c r="E119" s="11">
        <f>IFERROR(100/'Skjema total MA'!C119*C119,0)</f>
        <v>0.38675327661049291</v>
      </c>
      <c r="F119" s="311">
        <v>107357</v>
      </c>
      <c r="G119" s="159">
        <v>105463.9</v>
      </c>
      <c r="H119" s="171">
        <f t="shared" si="16"/>
        <v>-1.8</v>
      </c>
      <c r="I119" s="11">
        <f>IFERROR(100/'Skjema total MA'!F119*G119,0)</f>
        <v>0.96812633819643723</v>
      </c>
      <c r="J119" s="312">
        <f t="shared" si="17"/>
        <v>109037.61199999999</v>
      </c>
      <c r="K119" s="237">
        <f t="shared" si="17"/>
        <v>108535.09999999999</v>
      </c>
      <c r="L119" s="432">
        <f t="shared" si="18"/>
        <v>-0.5</v>
      </c>
      <c r="M119" s="11">
        <f>IFERROR(100/'Skjema total MA'!I119*K119,0)</f>
        <v>0.92862610328338679</v>
      </c>
      <c r="O119" s="148"/>
    </row>
    <row r="120" spans="1:15" x14ac:dyDescent="0.2">
      <c r="A120" s="21" t="s">
        <v>9</v>
      </c>
      <c r="B120" s="235"/>
      <c r="C120" s="145"/>
      <c r="D120" s="166"/>
      <c r="E120" s="27"/>
      <c r="F120" s="235"/>
      <c r="G120" s="145"/>
      <c r="H120" s="166"/>
      <c r="I120" s="27"/>
      <c r="J120" s="290"/>
      <c r="K120" s="44"/>
      <c r="L120" s="257"/>
      <c r="M120" s="27"/>
      <c r="O120" s="148"/>
    </row>
    <row r="121" spans="1:15" x14ac:dyDescent="0.2">
      <c r="A121" s="21" t="s">
        <v>10</v>
      </c>
      <c r="B121" s="235">
        <v>1680.6120000000001</v>
      </c>
      <c r="C121" s="145">
        <v>3071.2</v>
      </c>
      <c r="D121" s="166">
        <f t="shared" si="15"/>
        <v>82.7</v>
      </c>
      <c r="E121" s="27">
        <f>IFERROR(100/'Skjema total MA'!C121*C121,0)</f>
        <v>11.280574803907635</v>
      </c>
      <c r="F121" s="235">
        <v>107357</v>
      </c>
      <c r="G121" s="145">
        <v>105463.9</v>
      </c>
      <c r="H121" s="166">
        <f t="shared" si="16"/>
        <v>-1.8</v>
      </c>
      <c r="I121" s="27">
        <f>IFERROR(100/'Skjema total MA'!F121*G121,0)</f>
        <v>0.96812633819643723</v>
      </c>
      <c r="J121" s="290">
        <f t="shared" si="17"/>
        <v>109037.61199999999</v>
      </c>
      <c r="K121" s="44">
        <f t="shared" si="17"/>
        <v>108535.09999999999</v>
      </c>
      <c r="L121" s="257">
        <f t="shared" si="18"/>
        <v>-0.5</v>
      </c>
      <c r="M121" s="27">
        <f>IFERROR(100/'Skjema total MA'!I121*K121,0)</f>
        <v>0.9938351984685595</v>
      </c>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c r="G125" s="235"/>
      <c r="H125" s="166"/>
      <c r="I125" s="27"/>
      <c r="J125" s="290"/>
      <c r="K125" s="44"/>
      <c r="L125" s="257"/>
      <c r="M125" s="27"/>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342" priority="132">
      <formula>kvartal &lt; 4</formula>
    </cfRule>
  </conditionalFormatting>
  <conditionalFormatting sqref="B69">
    <cfRule type="expression" dxfId="1341" priority="100">
      <formula>kvartal &lt; 4</formula>
    </cfRule>
  </conditionalFormatting>
  <conditionalFormatting sqref="C69">
    <cfRule type="expression" dxfId="1340" priority="99">
      <formula>kvartal &lt; 4</formula>
    </cfRule>
  </conditionalFormatting>
  <conditionalFormatting sqref="B72">
    <cfRule type="expression" dxfId="1339" priority="98">
      <formula>kvartal &lt; 4</formula>
    </cfRule>
  </conditionalFormatting>
  <conditionalFormatting sqref="C72">
    <cfRule type="expression" dxfId="1338" priority="97">
      <formula>kvartal &lt; 4</formula>
    </cfRule>
  </conditionalFormatting>
  <conditionalFormatting sqref="B80">
    <cfRule type="expression" dxfId="1337" priority="96">
      <formula>kvartal &lt; 4</formula>
    </cfRule>
  </conditionalFormatting>
  <conditionalFormatting sqref="C80">
    <cfRule type="expression" dxfId="1336" priority="95">
      <formula>kvartal &lt; 4</formula>
    </cfRule>
  </conditionalFormatting>
  <conditionalFormatting sqref="B83">
    <cfRule type="expression" dxfId="1335" priority="94">
      <formula>kvartal &lt; 4</formula>
    </cfRule>
  </conditionalFormatting>
  <conditionalFormatting sqref="C83">
    <cfRule type="expression" dxfId="1334" priority="93">
      <formula>kvartal &lt; 4</formula>
    </cfRule>
  </conditionalFormatting>
  <conditionalFormatting sqref="B90">
    <cfRule type="expression" dxfId="1333" priority="84">
      <formula>kvartal &lt; 4</formula>
    </cfRule>
  </conditionalFormatting>
  <conditionalFormatting sqref="C90">
    <cfRule type="expression" dxfId="1332" priority="83">
      <formula>kvartal &lt; 4</formula>
    </cfRule>
  </conditionalFormatting>
  <conditionalFormatting sqref="B93">
    <cfRule type="expression" dxfId="1331" priority="82">
      <formula>kvartal &lt; 4</formula>
    </cfRule>
  </conditionalFormatting>
  <conditionalFormatting sqref="C93">
    <cfRule type="expression" dxfId="1330" priority="81">
      <formula>kvartal &lt; 4</formula>
    </cfRule>
  </conditionalFormatting>
  <conditionalFormatting sqref="B101">
    <cfRule type="expression" dxfId="1329" priority="80">
      <formula>kvartal &lt; 4</formula>
    </cfRule>
  </conditionalFormatting>
  <conditionalFormatting sqref="C101">
    <cfRule type="expression" dxfId="1328" priority="79">
      <formula>kvartal &lt; 4</formula>
    </cfRule>
  </conditionalFormatting>
  <conditionalFormatting sqref="B104">
    <cfRule type="expression" dxfId="1327" priority="78">
      <formula>kvartal &lt; 4</formula>
    </cfRule>
  </conditionalFormatting>
  <conditionalFormatting sqref="C104">
    <cfRule type="expression" dxfId="1326" priority="77">
      <formula>kvartal &lt; 4</formula>
    </cfRule>
  </conditionalFormatting>
  <conditionalFormatting sqref="B115">
    <cfRule type="expression" dxfId="1325" priority="76">
      <formula>kvartal &lt; 4</formula>
    </cfRule>
  </conditionalFormatting>
  <conditionalFormatting sqref="C115">
    <cfRule type="expression" dxfId="1324" priority="75">
      <formula>kvartal &lt; 4</formula>
    </cfRule>
  </conditionalFormatting>
  <conditionalFormatting sqref="B123">
    <cfRule type="expression" dxfId="1323" priority="74">
      <formula>kvartal &lt; 4</formula>
    </cfRule>
  </conditionalFormatting>
  <conditionalFormatting sqref="C123">
    <cfRule type="expression" dxfId="1322" priority="73">
      <formula>kvartal &lt; 4</formula>
    </cfRule>
  </conditionalFormatting>
  <conditionalFormatting sqref="F70">
    <cfRule type="expression" dxfId="1321" priority="72">
      <formula>kvartal &lt; 4</formula>
    </cfRule>
  </conditionalFormatting>
  <conditionalFormatting sqref="G70">
    <cfRule type="expression" dxfId="1320" priority="71">
      <formula>kvartal &lt; 4</formula>
    </cfRule>
  </conditionalFormatting>
  <conditionalFormatting sqref="F71:G71">
    <cfRule type="expression" dxfId="1319" priority="70">
      <formula>kvartal &lt; 4</formula>
    </cfRule>
  </conditionalFormatting>
  <conditionalFormatting sqref="F73:G74">
    <cfRule type="expression" dxfId="1318" priority="69">
      <formula>kvartal &lt; 4</formula>
    </cfRule>
  </conditionalFormatting>
  <conditionalFormatting sqref="F81:G82">
    <cfRule type="expression" dxfId="1317" priority="68">
      <formula>kvartal &lt; 4</formula>
    </cfRule>
  </conditionalFormatting>
  <conditionalFormatting sqref="F84:G85">
    <cfRule type="expression" dxfId="1316" priority="67">
      <formula>kvartal &lt; 4</formula>
    </cfRule>
  </conditionalFormatting>
  <conditionalFormatting sqref="F91:G92">
    <cfRule type="expression" dxfId="1315" priority="62">
      <formula>kvartal &lt; 4</formula>
    </cfRule>
  </conditionalFormatting>
  <conditionalFormatting sqref="F94:G95">
    <cfRule type="expression" dxfId="1314" priority="61">
      <formula>kvartal &lt; 4</formula>
    </cfRule>
  </conditionalFormatting>
  <conditionalFormatting sqref="F102:G103">
    <cfRule type="expression" dxfId="1313" priority="60">
      <formula>kvartal &lt; 4</formula>
    </cfRule>
  </conditionalFormatting>
  <conditionalFormatting sqref="F105:G106">
    <cfRule type="expression" dxfId="1312" priority="59">
      <formula>kvartal &lt; 4</formula>
    </cfRule>
  </conditionalFormatting>
  <conditionalFormatting sqref="F115">
    <cfRule type="expression" dxfId="1311" priority="58">
      <formula>kvartal &lt; 4</formula>
    </cfRule>
  </conditionalFormatting>
  <conditionalFormatting sqref="G115">
    <cfRule type="expression" dxfId="1310" priority="57">
      <formula>kvartal &lt; 4</formula>
    </cfRule>
  </conditionalFormatting>
  <conditionalFormatting sqref="F123:G123">
    <cfRule type="expression" dxfId="1309" priority="56">
      <formula>kvartal &lt; 4</formula>
    </cfRule>
  </conditionalFormatting>
  <conditionalFormatting sqref="F69:G69">
    <cfRule type="expression" dxfId="1308" priority="55">
      <formula>kvartal &lt; 4</formula>
    </cfRule>
  </conditionalFormatting>
  <conditionalFormatting sqref="F72:G72">
    <cfRule type="expression" dxfId="1307" priority="54">
      <formula>kvartal &lt; 4</formula>
    </cfRule>
  </conditionalFormatting>
  <conditionalFormatting sqref="F80:G80">
    <cfRule type="expression" dxfId="1306" priority="53">
      <formula>kvartal &lt; 4</formula>
    </cfRule>
  </conditionalFormatting>
  <conditionalFormatting sqref="F83:G83">
    <cfRule type="expression" dxfId="1305" priority="52">
      <formula>kvartal &lt; 4</formula>
    </cfRule>
  </conditionalFormatting>
  <conditionalFormatting sqref="F90:G90">
    <cfRule type="expression" dxfId="1304" priority="46">
      <formula>kvartal &lt; 4</formula>
    </cfRule>
  </conditionalFormatting>
  <conditionalFormatting sqref="F93">
    <cfRule type="expression" dxfId="1303" priority="45">
      <formula>kvartal &lt; 4</formula>
    </cfRule>
  </conditionalFormatting>
  <conditionalFormatting sqref="G93">
    <cfRule type="expression" dxfId="1302" priority="44">
      <formula>kvartal &lt; 4</formula>
    </cfRule>
  </conditionalFormatting>
  <conditionalFormatting sqref="F101">
    <cfRule type="expression" dxfId="1301" priority="43">
      <formula>kvartal &lt; 4</formula>
    </cfRule>
  </conditionalFormatting>
  <conditionalFormatting sqref="G101">
    <cfRule type="expression" dxfId="1300" priority="42">
      <formula>kvartal &lt; 4</formula>
    </cfRule>
  </conditionalFormatting>
  <conditionalFormatting sqref="G104">
    <cfRule type="expression" dxfId="1299" priority="41">
      <formula>kvartal &lt; 4</formula>
    </cfRule>
  </conditionalFormatting>
  <conditionalFormatting sqref="F104">
    <cfRule type="expression" dxfId="1298" priority="40">
      <formula>kvartal &lt; 4</formula>
    </cfRule>
  </conditionalFormatting>
  <conditionalFormatting sqref="J69:K73">
    <cfRule type="expression" dxfId="1297" priority="39">
      <formula>kvartal &lt; 4</formula>
    </cfRule>
  </conditionalFormatting>
  <conditionalFormatting sqref="J74:K74">
    <cfRule type="expression" dxfId="1296" priority="38">
      <formula>kvartal &lt; 4</formula>
    </cfRule>
  </conditionalFormatting>
  <conditionalFormatting sqref="J80:K85">
    <cfRule type="expression" dxfId="1295" priority="37">
      <formula>kvartal &lt; 4</formula>
    </cfRule>
  </conditionalFormatting>
  <conditionalFormatting sqref="J90:K95">
    <cfRule type="expression" dxfId="1294" priority="34">
      <formula>kvartal &lt; 4</formula>
    </cfRule>
  </conditionalFormatting>
  <conditionalFormatting sqref="J101:K106">
    <cfRule type="expression" dxfId="1293" priority="33">
      <formula>kvartal &lt; 4</formula>
    </cfRule>
  </conditionalFormatting>
  <conditionalFormatting sqref="J115:K115">
    <cfRule type="expression" dxfId="1292" priority="32">
      <formula>kvartal &lt; 4</formula>
    </cfRule>
  </conditionalFormatting>
  <conditionalFormatting sqref="J123:K123">
    <cfRule type="expression" dxfId="1291" priority="31">
      <formula>kvartal &lt; 4</formula>
    </cfRule>
  </conditionalFormatting>
  <conditionalFormatting sqref="A50:A52">
    <cfRule type="expression" dxfId="1290" priority="12">
      <formula>kvartal &lt; 4</formula>
    </cfRule>
  </conditionalFormatting>
  <conditionalFormatting sqref="A69:A74">
    <cfRule type="expression" dxfId="1289" priority="10">
      <formula>kvartal &lt; 4</formula>
    </cfRule>
  </conditionalFormatting>
  <conditionalFormatting sqref="A80:A85">
    <cfRule type="expression" dxfId="1288" priority="9">
      <formula>kvartal &lt; 4</formula>
    </cfRule>
  </conditionalFormatting>
  <conditionalFormatting sqref="A90:A95">
    <cfRule type="expression" dxfId="1287" priority="6">
      <formula>kvartal &lt; 4</formula>
    </cfRule>
  </conditionalFormatting>
  <conditionalFormatting sqref="A101:A106">
    <cfRule type="expression" dxfId="1286" priority="5">
      <formula>kvartal &lt; 4</formula>
    </cfRule>
  </conditionalFormatting>
  <conditionalFormatting sqref="A115">
    <cfRule type="expression" dxfId="1285" priority="4">
      <formula>kvartal &lt; 4</formula>
    </cfRule>
  </conditionalFormatting>
  <conditionalFormatting sqref="A123">
    <cfRule type="expression" dxfId="1284" priority="3">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O144"/>
  <sheetViews>
    <sheetView showGridLines="0" zoomScale="90" zoomScaleNormal="90" workbookViewId="0">
      <selection activeCell="A4" sqref="A4"/>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135</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c r="C7" s="310"/>
      <c r="D7" s="354"/>
      <c r="E7" s="11"/>
      <c r="F7" s="309"/>
      <c r="G7" s="310"/>
      <c r="H7" s="354"/>
      <c r="I7" s="160"/>
      <c r="J7" s="311"/>
      <c r="K7" s="312"/>
      <c r="L7" s="431"/>
      <c r="M7" s="11"/>
      <c r="O7" s="148"/>
    </row>
    <row r="8" spans="1:15" ht="15.75" x14ac:dyDescent="0.2">
      <c r="A8" s="21" t="s">
        <v>25</v>
      </c>
      <c r="B8" s="284"/>
      <c r="C8" s="285"/>
      <c r="D8" s="166"/>
      <c r="E8" s="27"/>
      <c r="F8" s="288"/>
      <c r="G8" s="289"/>
      <c r="H8" s="166"/>
      <c r="I8" s="176"/>
      <c r="J8" s="235"/>
      <c r="K8" s="290"/>
      <c r="L8" s="257"/>
      <c r="M8" s="27"/>
      <c r="O8" s="148"/>
    </row>
    <row r="9" spans="1:15" ht="15.75" x14ac:dyDescent="0.2">
      <c r="A9" s="21" t="s">
        <v>24</v>
      </c>
      <c r="B9" s="284"/>
      <c r="C9" s="285"/>
      <c r="D9" s="166"/>
      <c r="E9" s="27"/>
      <c r="F9" s="288"/>
      <c r="G9" s="289"/>
      <c r="H9" s="166"/>
      <c r="I9" s="176"/>
      <c r="J9" s="235"/>
      <c r="K9" s="290"/>
      <c r="L9" s="257"/>
      <c r="M9" s="27"/>
      <c r="O9" s="148"/>
    </row>
    <row r="10" spans="1:15" ht="15.75" x14ac:dyDescent="0.2">
      <c r="A10" s="13" t="s">
        <v>376</v>
      </c>
      <c r="B10" s="313"/>
      <c r="C10" s="314"/>
      <c r="D10" s="171"/>
      <c r="E10" s="11"/>
      <c r="F10" s="313"/>
      <c r="G10" s="314"/>
      <c r="H10" s="171"/>
      <c r="I10" s="160"/>
      <c r="J10" s="311"/>
      <c r="K10" s="312"/>
      <c r="L10" s="432"/>
      <c r="M10" s="11"/>
      <c r="O10" s="148"/>
    </row>
    <row r="11" spans="1:15" s="43" customFormat="1" ht="15.75" x14ac:dyDescent="0.2">
      <c r="A11" s="13" t="s">
        <v>377</v>
      </c>
      <c r="B11" s="313"/>
      <c r="C11" s="314"/>
      <c r="D11" s="171"/>
      <c r="E11" s="11"/>
      <c r="F11" s="313"/>
      <c r="G11" s="314"/>
      <c r="H11" s="171"/>
      <c r="I11" s="160"/>
      <c r="J11" s="311"/>
      <c r="K11" s="312"/>
      <c r="L11" s="432"/>
      <c r="M11" s="11"/>
      <c r="N11" s="143"/>
      <c r="O11" s="148"/>
    </row>
    <row r="12" spans="1:15" s="43" customFormat="1" ht="15.75" x14ac:dyDescent="0.2">
      <c r="A12" s="41" t="s">
        <v>378</v>
      </c>
      <c r="B12" s="315"/>
      <c r="C12" s="316"/>
      <c r="D12" s="169"/>
      <c r="E12" s="36"/>
      <c r="F12" s="315"/>
      <c r="G12" s="316"/>
      <c r="H12" s="169"/>
      <c r="I12" s="169"/>
      <c r="J12" s="317"/>
      <c r="K12" s="318"/>
      <c r="L12" s="433"/>
      <c r="M12" s="36"/>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c r="C22" s="319"/>
      <c r="D22" s="354"/>
      <c r="E22" s="11"/>
      <c r="F22" s="321"/>
      <c r="G22" s="321"/>
      <c r="H22" s="354"/>
      <c r="I22" s="11"/>
      <c r="J22" s="319"/>
      <c r="K22" s="319"/>
      <c r="L22" s="431"/>
      <c r="M22" s="24"/>
      <c r="O22" s="148"/>
    </row>
    <row r="23" spans="1:15" ht="15.75" x14ac:dyDescent="0.2">
      <c r="A23" s="619" t="s">
        <v>379</v>
      </c>
      <c r="B23" s="284"/>
      <c r="C23" s="284"/>
      <c r="D23" s="166"/>
      <c r="E23" s="11"/>
      <c r="F23" s="293"/>
      <c r="G23" s="293"/>
      <c r="H23" s="166"/>
      <c r="I23" s="421"/>
      <c r="J23" s="293"/>
      <c r="K23" s="293"/>
      <c r="L23" s="166"/>
      <c r="M23" s="23"/>
      <c r="O23" s="148"/>
    </row>
    <row r="24" spans="1:15" ht="15.75" x14ac:dyDescent="0.2">
      <c r="A24" s="619" t="s">
        <v>380</v>
      </c>
      <c r="B24" s="284"/>
      <c r="C24" s="284"/>
      <c r="D24" s="166"/>
      <c r="E24" s="11"/>
      <c r="F24" s="293"/>
      <c r="G24" s="293"/>
      <c r="H24" s="166"/>
      <c r="I24" s="421"/>
      <c r="J24" s="293"/>
      <c r="K24" s="293"/>
      <c r="L24" s="166"/>
      <c r="M24" s="23"/>
      <c r="O24" s="148"/>
    </row>
    <row r="25" spans="1:15" ht="15.75" x14ac:dyDescent="0.2">
      <c r="A25" s="619" t="s">
        <v>381</v>
      </c>
      <c r="B25" s="284"/>
      <c r="C25" s="284"/>
      <c r="D25" s="166"/>
      <c r="E25" s="11"/>
      <c r="F25" s="293"/>
      <c r="G25" s="293"/>
      <c r="H25" s="166"/>
      <c r="I25" s="421"/>
      <c r="J25" s="293"/>
      <c r="K25" s="293"/>
      <c r="L25" s="166"/>
      <c r="M25" s="23"/>
      <c r="O25" s="148"/>
    </row>
    <row r="26" spans="1:15" ht="15.75" x14ac:dyDescent="0.2">
      <c r="A26" s="619" t="s">
        <v>382</v>
      </c>
      <c r="B26" s="284"/>
      <c r="C26" s="284"/>
      <c r="D26" s="166"/>
      <c r="E26" s="11"/>
      <c r="F26" s="293"/>
      <c r="G26" s="293"/>
      <c r="H26" s="166"/>
      <c r="I26" s="421"/>
      <c r="J26" s="293"/>
      <c r="K26" s="293"/>
      <c r="L26" s="166"/>
      <c r="M26" s="23"/>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c r="C28" s="290"/>
      <c r="D28" s="166"/>
      <c r="E28" s="11"/>
      <c r="F28" s="235"/>
      <c r="G28" s="290"/>
      <c r="H28" s="166"/>
      <c r="I28" s="27"/>
      <c r="J28" s="44"/>
      <c r="K28" s="44"/>
      <c r="L28" s="257"/>
      <c r="M28" s="23"/>
      <c r="O28" s="148"/>
    </row>
    <row r="29" spans="1:15" s="3" customFormat="1" ht="15.75" x14ac:dyDescent="0.2">
      <c r="A29" s="13" t="s">
        <v>376</v>
      </c>
      <c r="B29" s="237"/>
      <c r="C29" s="237"/>
      <c r="D29" s="171"/>
      <c r="E29" s="11"/>
      <c r="F29" s="311"/>
      <c r="G29" s="311"/>
      <c r="H29" s="171"/>
      <c r="I29" s="11"/>
      <c r="J29" s="237"/>
      <c r="K29" s="237"/>
      <c r="L29" s="432"/>
      <c r="M29" s="24"/>
      <c r="N29" s="148"/>
      <c r="O29" s="148"/>
    </row>
    <row r="30" spans="1:15" s="3" customFormat="1" ht="15.75" x14ac:dyDescent="0.2">
      <c r="A30" s="619" t="s">
        <v>379</v>
      </c>
      <c r="B30" s="284"/>
      <c r="C30" s="284"/>
      <c r="D30" s="166"/>
      <c r="E30" s="11"/>
      <c r="F30" s="293"/>
      <c r="G30" s="293"/>
      <c r="H30" s="166"/>
      <c r="I30" s="421"/>
      <c r="J30" s="293"/>
      <c r="K30" s="293"/>
      <c r="L30" s="166"/>
      <c r="M30" s="23"/>
      <c r="N30" s="148"/>
      <c r="O30" s="148"/>
    </row>
    <row r="31" spans="1:15" s="3" customFormat="1" ht="15.75" x14ac:dyDescent="0.2">
      <c r="A31" s="619" t="s">
        <v>380</v>
      </c>
      <c r="B31" s="284"/>
      <c r="C31" s="284"/>
      <c r="D31" s="166"/>
      <c r="E31" s="11"/>
      <c r="F31" s="293"/>
      <c r="G31" s="293"/>
      <c r="H31" s="166"/>
      <c r="I31" s="421"/>
      <c r="J31" s="293"/>
      <c r="K31" s="293"/>
      <c r="L31" s="166"/>
      <c r="M31" s="23"/>
      <c r="N31" s="148"/>
      <c r="O31" s="148"/>
    </row>
    <row r="32" spans="1:15" ht="15.75" x14ac:dyDescent="0.2">
      <c r="A32" s="619" t="s">
        <v>381</v>
      </c>
      <c r="B32" s="284"/>
      <c r="C32" s="284"/>
      <c r="D32" s="166"/>
      <c r="E32" s="11"/>
      <c r="F32" s="293"/>
      <c r="G32" s="293"/>
      <c r="H32" s="166"/>
      <c r="I32" s="421"/>
      <c r="J32" s="293"/>
      <c r="K32" s="293"/>
      <c r="L32" s="166"/>
      <c r="M32" s="23"/>
      <c r="O32" s="148"/>
    </row>
    <row r="33" spans="1:15" ht="15.75" x14ac:dyDescent="0.2">
      <c r="A33" s="619" t="s">
        <v>382</v>
      </c>
      <c r="B33" s="284"/>
      <c r="C33" s="284"/>
      <c r="D33" s="166"/>
      <c r="E33" s="11"/>
      <c r="F33" s="293"/>
      <c r="G33" s="293"/>
      <c r="H33" s="166"/>
      <c r="I33" s="421"/>
      <c r="J33" s="293"/>
      <c r="K33" s="293"/>
      <c r="L33" s="166"/>
      <c r="M33" s="23"/>
      <c r="O33" s="148"/>
    </row>
    <row r="34" spans="1:15" ht="15.75" x14ac:dyDescent="0.2">
      <c r="A34" s="13" t="s">
        <v>377</v>
      </c>
      <c r="B34" s="237"/>
      <c r="C34" s="312"/>
      <c r="D34" s="171"/>
      <c r="E34" s="11"/>
      <c r="F34" s="311"/>
      <c r="G34" s="312"/>
      <c r="H34" s="171"/>
      <c r="I34" s="11"/>
      <c r="J34" s="237"/>
      <c r="K34" s="237"/>
      <c r="L34" s="432"/>
      <c r="M34" s="24"/>
      <c r="O34" s="148"/>
    </row>
    <row r="35" spans="1:15" ht="15.75" x14ac:dyDescent="0.2">
      <c r="A35" s="13" t="s">
        <v>378</v>
      </c>
      <c r="B35" s="237"/>
      <c r="C35" s="312"/>
      <c r="D35" s="171"/>
      <c r="E35" s="11"/>
      <c r="F35" s="311"/>
      <c r="G35" s="312"/>
      <c r="H35" s="171"/>
      <c r="I35" s="11"/>
      <c r="J35" s="237"/>
      <c r="K35" s="237"/>
      <c r="L35" s="432"/>
      <c r="M35" s="24"/>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v>5631</v>
      </c>
      <c r="C47" s="314">
        <v>6101</v>
      </c>
      <c r="D47" s="431">
        <f t="shared" ref="D47:D57" si="0">IF(B47=0, "    ---- ", IF(ABS(ROUND(100/B47*C47-100,1))&lt;999,ROUND(100/B47*C47-100,1),IF(ROUND(100/B47*C47-100,1)&gt;999,999,-999)))</f>
        <v>8.3000000000000007</v>
      </c>
      <c r="E47" s="11">
        <f>IFERROR(100/'Skjema total MA'!C47*C47,0)</f>
        <v>0.16534442204079891</v>
      </c>
      <c r="F47" s="145"/>
      <c r="G47" s="33"/>
      <c r="H47" s="159"/>
      <c r="I47" s="159"/>
      <c r="J47" s="37"/>
      <c r="K47" s="37"/>
      <c r="L47" s="159"/>
      <c r="M47" s="159"/>
      <c r="N47" s="148"/>
      <c r="O47" s="148"/>
    </row>
    <row r="48" spans="1:15" s="3" customFormat="1" ht="15.75" x14ac:dyDescent="0.2">
      <c r="A48" s="38" t="s">
        <v>387</v>
      </c>
      <c r="B48" s="284">
        <v>5631</v>
      </c>
      <c r="C48" s="285">
        <v>6101</v>
      </c>
      <c r="D48" s="257">
        <f t="shared" si="0"/>
        <v>8.3000000000000007</v>
      </c>
      <c r="E48" s="27">
        <f>IFERROR(100/'Skjema total MA'!C48*C48,0)</f>
        <v>0.2919981184478338</v>
      </c>
      <c r="F48" s="145"/>
      <c r="G48" s="33"/>
      <c r="H48" s="145"/>
      <c r="I48" s="145"/>
      <c r="J48" s="33"/>
      <c r="K48" s="33"/>
      <c r="L48" s="159"/>
      <c r="M48" s="159"/>
      <c r="N48" s="148"/>
      <c r="O48" s="148"/>
    </row>
    <row r="49" spans="1:15" s="3" customFormat="1" ht="15.75" x14ac:dyDescent="0.2">
      <c r="A49" s="38" t="s">
        <v>388</v>
      </c>
      <c r="B49" s="44"/>
      <c r="C49" s="290"/>
      <c r="D49" s="257"/>
      <c r="E49" s="27"/>
      <c r="F49" s="145"/>
      <c r="G49" s="33"/>
      <c r="H49" s="145"/>
      <c r="I49" s="145"/>
      <c r="J49" s="37"/>
      <c r="K49" s="37"/>
      <c r="L49" s="159"/>
      <c r="M49" s="159"/>
      <c r="N49" s="148"/>
      <c r="O49" s="148"/>
    </row>
    <row r="50" spans="1:15" s="3" customFormat="1" x14ac:dyDescent="0.2">
      <c r="A50" s="299" t="s">
        <v>6</v>
      </c>
      <c r="B50" s="293" t="s">
        <v>422</v>
      </c>
      <c r="C50" s="294" t="s">
        <v>422</v>
      </c>
      <c r="D50" s="257"/>
      <c r="E50" s="23"/>
      <c r="F50" s="145"/>
      <c r="G50" s="33"/>
      <c r="H50" s="145"/>
      <c r="I50" s="145"/>
      <c r="J50" s="33"/>
      <c r="K50" s="33"/>
      <c r="L50" s="159"/>
      <c r="M50" s="159"/>
      <c r="N50" s="148"/>
      <c r="O50" s="148"/>
    </row>
    <row r="51" spans="1:15" s="3" customFormat="1" x14ac:dyDescent="0.2">
      <c r="A51" s="299" t="s">
        <v>7</v>
      </c>
      <c r="B51" s="293" t="s">
        <v>422</v>
      </c>
      <c r="C51" s="294" t="s">
        <v>422</v>
      </c>
      <c r="D51" s="257"/>
      <c r="E51" s="23"/>
      <c r="F51" s="145"/>
      <c r="G51" s="33"/>
      <c r="H51" s="145"/>
      <c r="I51" s="145"/>
      <c r="J51" s="33"/>
      <c r="K51" s="33"/>
      <c r="L51" s="159"/>
      <c r="M51" s="159"/>
      <c r="N51" s="148"/>
      <c r="O51" s="148"/>
    </row>
    <row r="52" spans="1:15" s="3" customFormat="1" x14ac:dyDescent="0.2">
      <c r="A52" s="299" t="s">
        <v>8</v>
      </c>
      <c r="B52" s="293" t="s">
        <v>422</v>
      </c>
      <c r="C52" s="294" t="s">
        <v>422</v>
      </c>
      <c r="D52" s="257"/>
      <c r="E52" s="23"/>
      <c r="F52" s="145"/>
      <c r="G52" s="33"/>
      <c r="H52" s="145"/>
      <c r="I52" s="145"/>
      <c r="J52" s="33"/>
      <c r="K52" s="33"/>
      <c r="L52" s="159"/>
      <c r="M52" s="159"/>
      <c r="N52" s="148"/>
      <c r="O52" s="148"/>
    </row>
    <row r="53" spans="1:15" s="3" customFormat="1" ht="15.75" x14ac:dyDescent="0.2">
      <c r="A53" s="39" t="s">
        <v>389</v>
      </c>
      <c r="B53" s="313">
        <v>1180</v>
      </c>
      <c r="C53" s="314">
        <v>1871</v>
      </c>
      <c r="D53" s="432">
        <f t="shared" si="0"/>
        <v>58.6</v>
      </c>
      <c r="E53" s="11">
        <f>IFERROR(100/'Skjema total MA'!C53*C53,0)</f>
        <v>1.9157285057821418</v>
      </c>
      <c r="F53" s="145"/>
      <c r="G53" s="33"/>
      <c r="H53" s="145"/>
      <c r="I53" s="145"/>
      <c r="J53" s="33"/>
      <c r="K53" s="33"/>
      <c r="L53" s="159"/>
      <c r="M53" s="159"/>
      <c r="N53" s="148"/>
      <c r="O53" s="148"/>
    </row>
    <row r="54" spans="1:15" s="3" customFormat="1" ht="15.75" x14ac:dyDescent="0.2">
      <c r="A54" s="38" t="s">
        <v>387</v>
      </c>
      <c r="B54" s="284">
        <v>1180</v>
      </c>
      <c r="C54" s="285">
        <v>1871</v>
      </c>
      <c r="D54" s="257">
        <f t="shared" si="0"/>
        <v>58.6</v>
      </c>
      <c r="E54" s="27">
        <f>IFERROR(100/'Skjema total MA'!C54*C54,0)</f>
        <v>1.9157285057821418</v>
      </c>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v>0</v>
      </c>
      <c r="C56" s="314">
        <v>325</v>
      </c>
      <c r="D56" s="432" t="str">
        <f t="shared" si="0"/>
        <v xml:space="preserve">    ---- </v>
      </c>
      <c r="E56" s="11">
        <f>IFERROR(100/'Skjema total MA'!C56*C56,0)</f>
        <v>0.30516238798638967</v>
      </c>
      <c r="F56" s="145"/>
      <c r="G56" s="33"/>
      <c r="H56" s="145"/>
      <c r="I56" s="145"/>
      <c r="J56" s="33"/>
      <c r="K56" s="33"/>
      <c r="L56" s="159"/>
      <c r="M56" s="159"/>
      <c r="N56" s="148"/>
      <c r="O56" s="148"/>
    </row>
    <row r="57" spans="1:15" s="3" customFormat="1" ht="15.75" x14ac:dyDescent="0.2">
      <c r="A57" s="38" t="s">
        <v>387</v>
      </c>
      <c r="B57" s="284">
        <v>0</v>
      </c>
      <c r="C57" s="285">
        <v>325</v>
      </c>
      <c r="D57" s="257" t="str">
        <f t="shared" si="0"/>
        <v xml:space="preserve">    ---- </v>
      </c>
      <c r="E57" s="27">
        <f>IFERROR(100/'Skjema total MA'!C57*C57,0)</f>
        <v>0.30517176658611606</v>
      </c>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c r="C66" s="357"/>
      <c r="D66" s="354"/>
      <c r="E66" s="11"/>
      <c r="F66" s="356"/>
      <c r="G66" s="356"/>
      <c r="H66" s="354"/>
      <c r="I66" s="11"/>
      <c r="J66" s="312"/>
      <c r="K66" s="319"/>
      <c r="L66" s="432"/>
      <c r="M66" s="11"/>
      <c r="O66" s="148"/>
    </row>
    <row r="67" spans="1:15" x14ac:dyDescent="0.2">
      <c r="A67" s="423" t="s">
        <v>9</v>
      </c>
      <c r="B67" s="44"/>
      <c r="C67" s="145"/>
      <c r="D67" s="166"/>
      <c r="E67" s="27"/>
      <c r="F67" s="235"/>
      <c r="G67" s="145"/>
      <c r="H67" s="166"/>
      <c r="I67" s="27"/>
      <c r="J67" s="290"/>
      <c r="K67" s="44"/>
      <c r="L67" s="257"/>
      <c r="M67" s="27"/>
      <c r="O67" s="148"/>
    </row>
    <row r="68" spans="1:15" x14ac:dyDescent="0.2">
      <c r="A68" s="21" t="s">
        <v>10</v>
      </c>
      <c r="B68" s="295"/>
      <c r="C68" s="296"/>
      <c r="D68" s="166"/>
      <c r="E68" s="27"/>
      <c r="F68" s="295"/>
      <c r="G68" s="296"/>
      <c r="H68" s="166"/>
      <c r="I68" s="27"/>
      <c r="J68" s="290"/>
      <c r="K68" s="44"/>
      <c r="L68" s="257"/>
      <c r="M68" s="27"/>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c r="C77" s="235"/>
      <c r="D77" s="166"/>
      <c r="E77" s="27"/>
      <c r="F77" s="235"/>
      <c r="G77" s="145"/>
      <c r="H77" s="166"/>
      <c r="I77" s="27"/>
      <c r="J77" s="290"/>
      <c r="K77" s="44"/>
      <c r="L77" s="257"/>
      <c r="M77" s="27"/>
      <c r="O77" s="148"/>
    </row>
    <row r="78" spans="1:15" x14ac:dyDescent="0.2">
      <c r="A78" s="21" t="s">
        <v>9</v>
      </c>
      <c r="B78" s="235"/>
      <c r="C78" s="145"/>
      <c r="D78" s="166"/>
      <c r="E78" s="27"/>
      <c r="F78" s="235"/>
      <c r="G78" s="145"/>
      <c r="H78" s="166"/>
      <c r="I78" s="27"/>
      <c r="J78" s="290"/>
      <c r="K78" s="44"/>
      <c r="L78" s="257"/>
      <c r="M78" s="27"/>
      <c r="O78" s="148"/>
    </row>
    <row r="79" spans="1:15" x14ac:dyDescent="0.2">
      <c r="A79" s="21" t="s">
        <v>10</v>
      </c>
      <c r="B79" s="295"/>
      <c r="C79" s="296"/>
      <c r="D79" s="166"/>
      <c r="E79" s="27"/>
      <c r="F79" s="295"/>
      <c r="G79" s="296"/>
      <c r="H79" s="166"/>
      <c r="I79" s="27"/>
      <c r="J79" s="290"/>
      <c r="K79" s="44"/>
      <c r="L79" s="257"/>
      <c r="M79" s="27"/>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c r="G86" s="145"/>
      <c r="H86" s="166"/>
      <c r="I86" s="27"/>
      <c r="J86" s="290"/>
      <c r="K86" s="44"/>
      <c r="L86" s="257"/>
      <c r="M86" s="27"/>
      <c r="O86" s="148"/>
    </row>
    <row r="87" spans="1:15" ht="15.75" x14ac:dyDescent="0.2">
      <c r="A87" s="13" t="s">
        <v>376</v>
      </c>
      <c r="B87" s="357"/>
      <c r="C87" s="357"/>
      <c r="D87" s="171"/>
      <c r="E87" s="11"/>
      <c r="F87" s="356"/>
      <c r="G87" s="356"/>
      <c r="H87" s="171"/>
      <c r="I87" s="11"/>
      <c r="J87" s="312"/>
      <c r="K87" s="237"/>
      <c r="L87" s="432"/>
      <c r="M87" s="11"/>
      <c r="O87" s="148"/>
    </row>
    <row r="88" spans="1:15" x14ac:dyDescent="0.2">
      <c r="A88" s="21" t="s">
        <v>9</v>
      </c>
      <c r="B88" s="235"/>
      <c r="C88" s="145"/>
      <c r="D88" s="166"/>
      <c r="E88" s="27"/>
      <c r="F88" s="235"/>
      <c r="G88" s="145"/>
      <c r="H88" s="166"/>
      <c r="I88" s="27"/>
      <c r="J88" s="290"/>
      <c r="K88" s="44"/>
      <c r="L88" s="257"/>
      <c r="M88" s="27"/>
      <c r="O88" s="148"/>
    </row>
    <row r="89" spans="1:15" x14ac:dyDescent="0.2">
      <c r="A89" s="21" t="s">
        <v>10</v>
      </c>
      <c r="B89" s="235"/>
      <c r="C89" s="145"/>
      <c r="D89" s="166"/>
      <c r="E89" s="27"/>
      <c r="F89" s="235"/>
      <c r="G89" s="145"/>
      <c r="H89" s="166"/>
      <c r="I89" s="27"/>
      <c r="J89" s="290"/>
      <c r="K89" s="44"/>
      <c r="L89" s="257"/>
      <c r="M89" s="27"/>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c r="C98" s="235"/>
      <c r="D98" s="166"/>
      <c r="E98" s="27"/>
      <c r="F98" s="295"/>
      <c r="G98" s="295"/>
      <c r="H98" s="166"/>
      <c r="I98" s="27"/>
      <c r="J98" s="290"/>
      <c r="K98" s="44"/>
      <c r="L98" s="257"/>
      <c r="M98" s="27"/>
      <c r="O98" s="148"/>
    </row>
    <row r="99" spans="1:15" x14ac:dyDescent="0.2">
      <c r="A99" s="21" t="s">
        <v>9</v>
      </c>
      <c r="B99" s="295"/>
      <c r="C99" s="296"/>
      <c r="D99" s="166"/>
      <c r="E99" s="27"/>
      <c r="F99" s="235"/>
      <c r="G99" s="145"/>
      <c r="H99" s="166"/>
      <c r="I99" s="27"/>
      <c r="J99" s="290"/>
      <c r="K99" s="44"/>
      <c r="L99" s="257"/>
      <c r="M99" s="27"/>
      <c r="O99" s="148"/>
    </row>
    <row r="100" spans="1:15" x14ac:dyDescent="0.2">
      <c r="A100" s="21" t="s">
        <v>10</v>
      </c>
      <c r="B100" s="295"/>
      <c r="C100" s="296"/>
      <c r="D100" s="166"/>
      <c r="E100" s="27"/>
      <c r="F100" s="235"/>
      <c r="G100" s="235"/>
      <c r="H100" s="166"/>
      <c r="I100" s="27"/>
      <c r="J100" s="290"/>
      <c r="K100" s="44"/>
      <c r="L100" s="257"/>
      <c r="M100" s="27"/>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c r="G107" s="145"/>
      <c r="H107" s="166"/>
      <c r="I107" s="27"/>
      <c r="J107" s="290"/>
      <c r="K107" s="44"/>
      <c r="L107" s="257"/>
      <c r="M107" s="27"/>
      <c r="O107" s="148"/>
    </row>
    <row r="108" spans="1:15" ht="15.75" x14ac:dyDescent="0.2">
      <c r="A108" s="21" t="s">
        <v>395</v>
      </c>
      <c r="B108" s="235"/>
      <c r="C108" s="235"/>
      <c r="D108" s="166"/>
      <c r="E108" s="27"/>
      <c r="F108" s="235"/>
      <c r="G108" s="235"/>
      <c r="H108" s="166"/>
      <c r="I108" s="27"/>
      <c r="J108" s="290"/>
      <c r="K108" s="44"/>
      <c r="L108" s="257"/>
      <c r="M108" s="27"/>
      <c r="O108" s="148"/>
    </row>
    <row r="109" spans="1:15" ht="15.75" x14ac:dyDescent="0.2">
      <c r="A109" s="21" t="s">
        <v>396</v>
      </c>
      <c r="B109" s="235"/>
      <c r="C109" s="235"/>
      <c r="D109" s="166"/>
      <c r="E109" s="27"/>
      <c r="F109" s="235"/>
      <c r="G109" s="235"/>
      <c r="H109" s="166"/>
      <c r="I109" s="27"/>
      <c r="J109" s="290"/>
      <c r="K109" s="44"/>
      <c r="L109" s="257"/>
      <c r="M109" s="27"/>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c r="C111" s="159"/>
      <c r="D111" s="171"/>
      <c r="E111" s="11"/>
      <c r="F111" s="311"/>
      <c r="G111" s="159"/>
      <c r="H111" s="171"/>
      <c r="I111" s="11"/>
      <c r="J111" s="312"/>
      <c r="K111" s="237"/>
      <c r="L111" s="432"/>
      <c r="M111" s="11"/>
      <c r="O111" s="148"/>
    </row>
    <row r="112" spans="1:15" x14ac:dyDescent="0.2">
      <c r="A112" s="21" t="s">
        <v>9</v>
      </c>
      <c r="B112" s="235"/>
      <c r="C112" s="145"/>
      <c r="D112" s="166"/>
      <c r="E112" s="27"/>
      <c r="F112" s="235"/>
      <c r="G112" s="145"/>
      <c r="H112" s="166"/>
      <c r="I112" s="27"/>
      <c r="J112" s="290"/>
      <c r="K112" s="44"/>
      <c r="L112" s="257"/>
      <c r="M112" s="27"/>
      <c r="O112" s="148"/>
    </row>
    <row r="113" spans="1:15" x14ac:dyDescent="0.2">
      <c r="A113" s="21" t="s">
        <v>10</v>
      </c>
      <c r="B113" s="235"/>
      <c r="C113" s="145"/>
      <c r="D113" s="166"/>
      <c r="E113" s="27"/>
      <c r="F113" s="235"/>
      <c r="G113" s="145"/>
      <c r="H113" s="166"/>
      <c r="I113" s="27"/>
      <c r="J113" s="290"/>
      <c r="K113" s="44"/>
      <c r="L113" s="257"/>
      <c r="M113" s="27"/>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c r="C116" s="235"/>
      <c r="D116" s="166"/>
      <c r="E116" s="27"/>
      <c r="F116" s="235"/>
      <c r="G116" s="235"/>
      <c r="H116" s="166"/>
      <c r="I116" s="27"/>
      <c r="J116" s="290"/>
      <c r="K116" s="44"/>
      <c r="L116" s="257"/>
      <c r="M116" s="27"/>
      <c r="O116" s="148"/>
    </row>
    <row r="117" spans="1:15" ht="15.75" x14ac:dyDescent="0.2">
      <c r="A117" s="21" t="s">
        <v>399</v>
      </c>
      <c r="B117" s="235"/>
      <c r="C117" s="235"/>
      <c r="D117" s="166"/>
      <c r="E117" s="27"/>
      <c r="F117" s="235"/>
      <c r="G117" s="235"/>
      <c r="H117" s="166"/>
      <c r="I117" s="27"/>
      <c r="J117" s="290"/>
      <c r="K117" s="44"/>
      <c r="L117" s="257"/>
      <c r="M117" s="27"/>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c r="C119" s="159"/>
      <c r="D119" s="171"/>
      <c r="E119" s="11"/>
      <c r="F119" s="311"/>
      <c r="G119" s="159"/>
      <c r="H119" s="171"/>
      <c r="I119" s="11"/>
      <c r="J119" s="312"/>
      <c r="K119" s="237"/>
      <c r="L119" s="432"/>
      <c r="M119" s="11"/>
      <c r="O119" s="148"/>
    </row>
    <row r="120" spans="1:15" x14ac:dyDescent="0.2">
      <c r="A120" s="21" t="s">
        <v>9</v>
      </c>
      <c r="B120" s="235"/>
      <c r="C120" s="145"/>
      <c r="D120" s="166"/>
      <c r="E120" s="27"/>
      <c r="F120" s="235"/>
      <c r="G120" s="145"/>
      <c r="H120" s="166"/>
      <c r="I120" s="27"/>
      <c r="J120" s="290"/>
      <c r="K120" s="44"/>
      <c r="L120" s="257"/>
      <c r="M120" s="27"/>
      <c r="O120" s="148"/>
    </row>
    <row r="121" spans="1:15" x14ac:dyDescent="0.2">
      <c r="A121" s="21" t="s">
        <v>10</v>
      </c>
      <c r="B121" s="235"/>
      <c r="C121" s="145"/>
      <c r="D121" s="166"/>
      <c r="E121" s="27"/>
      <c r="F121" s="235"/>
      <c r="G121" s="145"/>
      <c r="H121" s="166"/>
      <c r="I121" s="27"/>
      <c r="J121" s="290"/>
      <c r="K121" s="44"/>
      <c r="L121" s="257"/>
      <c r="M121" s="27"/>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c r="G125" s="235"/>
      <c r="H125" s="166"/>
      <c r="I125" s="27"/>
      <c r="J125" s="290"/>
      <c r="K125" s="44"/>
      <c r="L125" s="257"/>
      <c r="M125" s="27"/>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283" priority="132">
      <formula>kvartal &lt; 4</formula>
    </cfRule>
  </conditionalFormatting>
  <conditionalFormatting sqref="B69">
    <cfRule type="expression" dxfId="1282" priority="100">
      <formula>kvartal &lt; 4</formula>
    </cfRule>
  </conditionalFormatting>
  <conditionalFormatting sqref="C69">
    <cfRule type="expression" dxfId="1281" priority="99">
      <formula>kvartal &lt; 4</formula>
    </cfRule>
  </conditionalFormatting>
  <conditionalFormatting sqref="B72">
    <cfRule type="expression" dxfId="1280" priority="98">
      <formula>kvartal &lt; 4</formula>
    </cfRule>
  </conditionalFormatting>
  <conditionalFormatting sqref="C72">
    <cfRule type="expression" dxfId="1279" priority="97">
      <formula>kvartal &lt; 4</formula>
    </cfRule>
  </conditionalFormatting>
  <conditionalFormatting sqref="B80">
    <cfRule type="expression" dxfId="1278" priority="96">
      <formula>kvartal &lt; 4</formula>
    </cfRule>
  </conditionalFormatting>
  <conditionalFormatting sqref="C80">
    <cfRule type="expression" dxfId="1277" priority="95">
      <formula>kvartal &lt; 4</formula>
    </cfRule>
  </conditionalFormatting>
  <conditionalFormatting sqref="B83">
    <cfRule type="expression" dxfId="1276" priority="94">
      <formula>kvartal &lt; 4</formula>
    </cfRule>
  </conditionalFormatting>
  <conditionalFormatting sqref="C83">
    <cfRule type="expression" dxfId="1275" priority="93">
      <formula>kvartal &lt; 4</formula>
    </cfRule>
  </conditionalFormatting>
  <conditionalFormatting sqref="B90">
    <cfRule type="expression" dxfId="1274" priority="84">
      <formula>kvartal &lt; 4</formula>
    </cfRule>
  </conditionalFormatting>
  <conditionalFormatting sqref="C90">
    <cfRule type="expression" dxfId="1273" priority="83">
      <formula>kvartal &lt; 4</formula>
    </cfRule>
  </conditionalFormatting>
  <conditionalFormatting sqref="B93">
    <cfRule type="expression" dxfId="1272" priority="82">
      <formula>kvartal &lt; 4</formula>
    </cfRule>
  </conditionalFormatting>
  <conditionalFormatting sqref="C93">
    <cfRule type="expression" dxfId="1271" priority="81">
      <formula>kvartal &lt; 4</formula>
    </cfRule>
  </conditionalFormatting>
  <conditionalFormatting sqref="B101">
    <cfRule type="expression" dxfId="1270" priority="80">
      <formula>kvartal &lt; 4</formula>
    </cfRule>
  </conditionalFormatting>
  <conditionalFormatting sqref="C101">
    <cfRule type="expression" dxfId="1269" priority="79">
      <formula>kvartal &lt; 4</formula>
    </cfRule>
  </conditionalFormatting>
  <conditionalFormatting sqref="B104">
    <cfRule type="expression" dxfId="1268" priority="78">
      <formula>kvartal &lt; 4</formula>
    </cfRule>
  </conditionalFormatting>
  <conditionalFormatting sqref="C104">
    <cfRule type="expression" dxfId="1267" priority="77">
      <formula>kvartal &lt; 4</formula>
    </cfRule>
  </conditionalFormatting>
  <conditionalFormatting sqref="B115">
    <cfRule type="expression" dxfId="1266" priority="76">
      <formula>kvartal &lt; 4</formula>
    </cfRule>
  </conditionalFormatting>
  <conditionalFormatting sqref="C115">
    <cfRule type="expression" dxfId="1265" priority="75">
      <formula>kvartal &lt; 4</formula>
    </cfRule>
  </conditionalFormatting>
  <conditionalFormatting sqref="B123">
    <cfRule type="expression" dxfId="1264" priority="74">
      <formula>kvartal &lt; 4</formula>
    </cfRule>
  </conditionalFormatting>
  <conditionalFormatting sqref="C123">
    <cfRule type="expression" dxfId="1263" priority="73">
      <formula>kvartal &lt; 4</formula>
    </cfRule>
  </conditionalFormatting>
  <conditionalFormatting sqref="F70">
    <cfRule type="expression" dxfId="1262" priority="72">
      <formula>kvartal &lt; 4</formula>
    </cfRule>
  </conditionalFormatting>
  <conditionalFormatting sqref="G70">
    <cfRule type="expression" dxfId="1261" priority="71">
      <formula>kvartal &lt; 4</formula>
    </cfRule>
  </conditionalFormatting>
  <conditionalFormatting sqref="F71:G71">
    <cfRule type="expression" dxfId="1260" priority="70">
      <formula>kvartal &lt; 4</formula>
    </cfRule>
  </conditionalFormatting>
  <conditionalFormatting sqref="F73:G74">
    <cfRule type="expression" dxfId="1259" priority="69">
      <formula>kvartal &lt; 4</formula>
    </cfRule>
  </conditionalFormatting>
  <conditionalFormatting sqref="F81:G82">
    <cfRule type="expression" dxfId="1258" priority="68">
      <formula>kvartal &lt; 4</formula>
    </cfRule>
  </conditionalFormatting>
  <conditionalFormatting sqref="F84:G85">
    <cfRule type="expression" dxfId="1257" priority="67">
      <formula>kvartal &lt; 4</formula>
    </cfRule>
  </conditionalFormatting>
  <conditionalFormatting sqref="F91:G92">
    <cfRule type="expression" dxfId="1256" priority="62">
      <formula>kvartal &lt; 4</formula>
    </cfRule>
  </conditionalFormatting>
  <conditionalFormatting sqref="F94:G95">
    <cfRule type="expression" dxfId="1255" priority="61">
      <formula>kvartal &lt; 4</formula>
    </cfRule>
  </conditionalFormatting>
  <conditionalFormatting sqref="F102:G103">
    <cfRule type="expression" dxfId="1254" priority="60">
      <formula>kvartal &lt; 4</formula>
    </cfRule>
  </conditionalFormatting>
  <conditionalFormatting sqref="F105:G106">
    <cfRule type="expression" dxfId="1253" priority="59">
      <formula>kvartal &lt; 4</formula>
    </cfRule>
  </conditionalFormatting>
  <conditionalFormatting sqref="F115">
    <cfRule type="expression" dxfId="1252" priority="58">
      <formula>kvartal &lt; 4</formula>
    </cfRule>
  </conditionalFormatting>
  <conditionalFormatting sqref="G115">
    <cfRule type="expression" dxfId="1251" priority="57">
      <formula>kvartal &lt; 4</formula>
    </cfRule>
  </conditionalFormatting>
  <conditionalFormatting sqref="F123:G123">
    <cfRule type="expression" dxfId="1250" priority="56">
      <formula>kvartal &lt; 4</formula>
    </cfRule>
  </conditionalFormatting>
  <conditionalFormatting sqref="F69:G69">
    <cfRule type="expression" dxfId="1249" priority="55">
      <formula>kvartal &lt; 4</formula>
    </cfRule>
  </conditionalFormatting>
  <conditionalFormatting sqref="F72:G72">
    <cfRule type="expression" dxfId="1248" priority="54">
      <formula>kvartal &lt; 4</formula>
    </cfRule>
  </conditionalFormatting>
  <conditionalFormatting sqref="F80:G80">
    <cfRule type="expression" dxfId="1247" priority="53">
      <formula>kvartal &lt; 4</formula>
    </cfRule>
  </conditionalFormatting>
  <conditionalFormatting sqref="F83:G83">
    <cfRule type="expression" dxfId="1246" priority="52">
      <formula>kvartal &lt; 4</formula>
    </cfRule>
  </conditionalFormatting>
  <conditionalFormatting sqref="F90:G90">
    <cfRule type="expression" dxfId="1245" priority="46">
      <formula>kvartal &lt; 4</formula>
    </cfRule>
  </conditionalFormatting>
  <conditionalFormatting sqref="F93">
    <cfRule type="expression" dxfId="1244" priority="45">
      <formula>kvartal &lt; 4</formula>
    </cfRule>
  </conditionalFormatting>
  <conditionalFormatting sqref="G93">
    <cfRule type="expression" dxfId="1243" priority="44">
      <formula>kvartal &lt; 4</formula>
    </cfRule>
  </conditionalFormatting>
  <conditionalFormatting sqref="F101">
    <cfRule type="expression" dxfId="1242" priority="43">
      <formula>kvartal &lt; 4</formula>
    </cfRule>
  </conditionalFormatting>
  <conditionalFormatting sqref="G101">
    <cfRule type="expression" dxfId="1241" priority="42">
      <formula>kvartal &lt; 4</formula>
    </cfRule>
  </conditionalFormatting>
  <conditionalFormatting sqref="G104">
    <cfRule type="expression" dxfId="1240" priority="41">
      <formula>kvartal &lt; 4</formula>
    </cfRule>
  </conditionalFormatting>
  <conditionalFormatting sqref="F104">
    <cfRule type="expression" dxfId="1239" priority="40">
      <formula>kvartal &lt; 4</formula>
    </cfRule>
  </conditionalFormatting>
  <conditionalFormatting sqref="J69:K73">
    <cfRule type="expression" dxfId="1238" priority="39">
      <formula>kvartal &lt; 4</formula>
    </cfRule>
  </conditionalFormatting>
  <conditionalFormatting sqref="J74:K74">
    <cfRule type="expression" dxfId="1237" priority="38">
      <formula>kvartal &lt; 4</formula>
    </cfRule>
  </conditionalFormatting>
  <conditionalFormatting sqref="J80:K85">
    <cfRule type="expression" dxfId="1236" priority="37">
      <formula>kvartal &lt; 4</formula>
    </cfRule>
  </conditionalFormatting>
  <conditionalFormatting sqref="J90:K95">
    <cfRule type="expression" dxfId="1235" priority="34">
      <formula>kvartal &lt; 4</formula>
    </cfRule>
  </conditionalFormatting>
  <conditionalFormatting sqref="J101:K106">
    <cfRule type="expression" dxfId="1234" priority="33">
      <formula>kvartal &lt; 4</formula>
    </cfRule>
  </conditionalFormatting>
  <conditionalFormatting sqref="J115:K115">
    <cfRule type="expression" dxfId="1233" priority="32">
      <formula>kvartal &lt; 4</formula>
    </cfRule>
  </conditionalFormatting>
  <conditionalFormatting sqref="J123:K123">
    <cfRule type="expression" dxfId="1232" priority="31">
      <formula>kvartal &lt; 4</formula>
    </cfRule>
  </conditionalFormatting>
  <conditionalFormatting sqref="A50:A52">
    <cfRule type="expression" dxfId="1231" priority="12">
      <formula>kvartal &lt; 4</formula>
    </cfRule>
  </conditionalFormatting>
  <conditionalFormatting sqref="A69:A74">
    <cfRule type="expression" dxfId="1230" priority="10">
      <formula>kvartal &lt; 4</formula>
    </cfRule>
  </conditionalFormatting>
  <conditionalFormatting sqref="A80:A85">
    <cfRule type="expression" dxfId="1229" priority="9">
      <formula>kvartal &lt; 4</formula>
    </cfRule>
  </conditionalFormatting>
  <conditionalFormatting sqref="A90:A95">
    <cfRule type="expression" dxfId="1228" priority="6">
      <formula>kvartal &lt; 4</formula>
    </cfRule>
  </conditionalFormatting>
  <conditionalFormatting sqref="A101:A106">
    <cfRule type="expression" dxfId="1227" priority="5">
      <formula>kvartal &lt; 4</formula>
    </cfRule>
  </conditionalFormatting>
  <conditionalFormatting sqref="A115">
    <cfRule type="expression" dxfId="1226" priority="4">
      <formula>kvartal &lt; 4</formula>
    </cfRule>
  </conditionalFormatting>
  <conditionalFormatting sqref="A123">
    <cfRule type="expression" dxfId="1225" priority="3">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O144"/>
  <sheetViews>
    <sheetView showGridLines="0" zoomScale="90" zoomScaleNormal="90" zoomScaleSheetLayoutView="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136</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v>622466</v>
      </c>
      <c r="C7" s="310">
        <v>627679</v>
      </c>
      <c r="D7" s="354">
        <f>IF(B7=0, "    ---- ", IF(ABS(ROUND(100/B7*C7-100,1))&lt;999,ROUND(100/B7*C7-100,1),IF(ROUND(100/B7*C7-100,1)&gt;999,999,-999)))</f>
        <v>0.8</v>
      </c>
      <c r="E7" s="11">
        <f>IFERROR(100/'Skjema total MA'!C7*C7,0)</f>
        <v>17.848745618588147</v>
      </c>
      <c r="F7" s="309"/>
      <c r="G7" s="310"/>
      <c r="H7" s="354"/>
      <c r="I7" s="160"/>
      <c r="J7" s="311">
        <f t="shared" ref="J7:K9" si="0">SUM(B7,F7)</f>
        <v>622466</v>
      </c>
      <c r="K7" s="312">
        <f t="shared" si="0"/>
        <v>627679</v>
      </c>
      <c r="L7" s="431">
        <f>IF(J7=0, "    ---- ", IF(ABS(ROUND(100/J7*K7-100,1))&lt;999,ROUND(100/J7*K7-100,1),IF(ROUND(100/J7*K7-100,1)&gt;999,999,-999)))</f>
        <v>0.8</v>
      </c>
      <c r="M7" s="11">
        <f>IFERROR(100/'Skjema total MA'!I7*K7,0)</f>
        <v>6.9635224133743536</v>
      </c>
      <c r="O7" s="148"/>
    </row>
    <row r="8" spans="1:15" ht="15.75" x14ac:dyDescent="0.2">
      <c r="A8" s="21" t="s">
        <v>25</v>
      </c>
      <c r="B8" s="284">
        <v>359837</v>
      </c>
      <c r="C8" s="285">
        <v>370772</v>
      </c>
      <c r="D8" s="166">
        <f t="shared" ref="D8:D9" si="1">IF(B8=0, "    ---- ", IF(ABS(ROUND(100/B8*C8-100,1))&lt;999,ROUND(100/B8*C8-100,1),IF(ROUND(100/B8*C8-100,1)&gt;999,999,-999)))</f>
        <v>3</v>
      </c>
      <c r="E8" s="27">
        <f>IFERROR(100/'Skjema total MA'!C8*C8,0)</f>
        <v>17.627103463455299</v>
      </c>
      <c r="F8" s="288"/>
      <c r="G8" s="289"/>
      <c r="H8" s="166"/>
      <c r="I8" s="176"/>
      <c r="J8" s="235">
        <f t="shared" si="0"/>
        <v>359837</v>
      </c>
      <c r="K8" s="290">
        <f t="shared" si="0"/>
        <v>370772</v>
      </c>
      <c r="L8" s="432">
        <f t="shared" ref="L8:L9" si="2">IF(J8=0, "    ---- ", IF(ABS(ROUND(100/J8*K8-100,1))&lt;999,ROUND(100/J8*K8-100,1),IF(ROUND(100/J8*K8-100,1)&gt;999,999,-999)))</f>
        <v>3</v>
      </c>
      <c r="M8" s="27">
        <f>IFERROR(100/'Skjema total MA'!I8*K8,0)</f>
        <v>17.627103463455299</v>
      </c>
      <c r="O8" s="148"/>
    </row>
    <row r="9" spans="1:15" ht="15.75" x14ac:dyDescent="0.2">
      <c r="A9" s="21" t="s">
        <v>24</v>
      </c>
      <c r="B9" s="284">
        <v>262629</v>
      </c>
      <c r="C9" s="285">
        <v>256907</v>
      </c>
      <c r="D9" s="166">
        <f t="shared" si="1"/>
        <v>-2.2000000000000002</v>
      </c>
      <c r="E9" s="27">
        <f>IFERROR(100/'Skjema total MA'!C9*C9,0)</f>
        <v>32.860114954769159</v>
      </c>
      <c r="F9" s="288"/>
      <c r="G9" s="289"/>
      <c r="H9" s="166"/>
      <c r="I9" s="176"/>
      <c r="J9" s="235">
        <f t="shared" si="0"/>
        <v>262629</v>
      </c>
      <c r="K9" s="290">
        <f t="shared" si="0"/>
        <v>256907</v>
      </c>
      <c r="L9" s="432">
        <f t="shared" si="2"/>
        <v>-2.2000000000000002</v>
      </c>
      <c r="M9" s="27">
        <f>IFERROR(100/'Skjema total MA'!I9*K9,0)</f>
        <v>32.860114954769159</v>
      </c>
      <c r="O9" s="148"/>
    </row>
    <row r="10" spans="1:15" ht="15.75" x14ac:dyDescent="0.2">
      <c r="A10" s="13" t="s">
        <v>376</v>
      </c>
      <c r="B10" s="313"/>
      <c r="C10" s="314"/>
      <c r="D10" s="171"/>
      <c r="E10" s="11"/>
      <c r="F10" s="313"/>
      <c r="G10" s="314"/>
      <c r="H10" s="171"/>
      <c r="I10" s="160"/>
      <c r="J10" s="311"/>
      <c r="K10" s="312"/>
      <c r="L10" s="432"/>
      <c r="M10" s="11"/>
      <c r="O10" s="148"/>
    </row>
    <row r="11" spans="1:15" s="43" customFormat="1" ht="15.75" x14ac:dyDescent="0.2">
      <c r="A11" s="13" t="s">
        <v>377</v>
      </c>
      <c r="B11" s="313"/>
      <c r="C11" s="314"/>
      <c r="D11" s="171"/>
      <c r="E11" s="11"/>
      <c r="F11" s="313"/>
      <c r="G11" s="314"/>
      <c r="H11" s="171"/>
      <c r="I11" s="160"/>
      <c r="J11" s="311"/>
      <c r="K11" s="312"/>
      <c r="L11" s="432"/>
      <c r="M11" s="11"/>
      <c r="N11" s="143"/>
      <c r="O11" s="148"/>
    </row>
    <row r="12" spans="1:15" s="43" customFormat="1" ht="15.75" x14ac:dyDescent="0.2">
      <c r="A12" s="41" t="s">
        <v>378</v>
      </c>
      <c r="B12" s="315"/>
      <c r="C12" s="316"/>
      <c r="D12" s="169"/>
      <c r="E12" s="36"/>
      <c r="F12" s="315"/>
      <c r="G12" s="316"/>
      <c r="H12" s="169"/>
      <c r="I12" s="169"/>
      <c r="J12" s="317"/>
      <c r="K12" s="318"/>
      <c r="L12" s="433"/>
      <c r="M12" s="36"/>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c r="C22" s="319"/>
      <c r="D22" s="354"/>
      <c r="E22" s="11"/>
      <c r="F22" s="321"/>
      <c r="G22" s="321"/>
      <c r="H22" s="354"/>
      <c r="I22" s="11"/>
      <c r="J22" s="319"/>
      <c r="K22" s="319"/>
      <c r="L22" s="431"/>
      <c r="M22" s="24"/>
      <c r="O22" s="148"/>
    </row>
    <row r="23" spans="1:15" ht="15.75" x14ac:dyDescent="0.2">
      <c r="A23" s="619" t="s">
        <v>379</v>
      </c>
      <c r="B23" s="284"/>
      <c r="C23" s="284"/>
      <c r="D23" s="166"/>
      <c r="E23" s="11"/>
      <c r="F23" s="293"/>
      <c r="G23" s="293"/>
      <c r="H23" s="166"/>
      <c r="I23" s="421"/>
      <c r="J23" s="293"/>
      <c r="K23" s="293"/>
      <c r="L23" s="166"/>
      <c r="M23" s="23"/>
      <c r="O23" s="148"/>
    </row>
    <row r="24" spans="1:15" ht="15.75" x14ac:dyDescent="0.2">
      <c r="A24" s="619" t="s">
        <v>380</v>
      </c>
      <c r="B24" s="284"/>
      <c r="C24" s="284"/>
      <c r="D24" s="166"/>
      <c r="E24" s="11"/>
      <c r="F24" s="293"/>
      <c r="G24" s="293"/>
      <c r="H24" s="166"/>
      <c r="I24" s="421"/>
      <c r="J24" s="293"/>
      <c r="K24" s="293"/>
      <c r="L24" s="166"/>
      <c r="M24" s="23"/>
      <c r="O24" s="148"/>
    </row>
    <row r="25" spans="1:15" ht="15.75" x14ac:dyDescent="0.2">
      <c r="A25" s="619" t="s">
        <v>381</v>
      </c>
      <c r="B25" s="284"/>
      <c r="C25" s="284"/>
      <c r="D25" s="166"/>
      <c r="E25" s="11"/>
      <c r="F25" s="293"/>
      <c r="G25" s="293"/>
      <c r="H25" s="166"/>
      <c r="I25" s="421"/>
      <c r="J25" s="293"/>
      <c r="K25" s="293"/>
      <c r="L25" s="166"/>
      <c r="M25" s="23"/>
      <c r="O25" s="148"/>
    </row>
    <row r="26" spans="1:15" ht="15.75" x14ac:dyDescent="0.2">
      <c r="A26" s="619" t="s">
        <v>382</v>
      </c>
      <c r="B26" s="284"/>
      <c r="C26" s="284"/>
      <c r="D26" s="166"/>
      <c r="E26" s="11"/>
      <c r="F26" s="293"/>
      <c r="G26" s="293"/>
      <c r="H26" s="166"/>
      <c r="I26" s="421"/>
      <c r="J26" s="293"/>
      <c r="K26" s="293"/>
      <c r="L26" s="166"/>
      <c r="M26" s="23"/>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c r="C28" s="290"/>
      <c r="D28" s="166"/>
      <c r="E28" s="11"/>
      <c r="F28" s="235"/>
      <c r="G28" s="290"/>
      <c r="H28" s="166"/>
      <c r="I28" s="27"/>
      <c r="J28" s="44"/>
      <c r="K28" s="44"/>
      <c r="L28" s="257"/>
      <c r="M28" s="23"/>
      <c r="O28" s="148"/>
    </row>
    <row r="29" spans="1:15" s="3" customFormat="1" ht="15.75" x14ac:dyDescent="0.2">
      <c r="A29" s="13" t="s">
        <v>376</v>
      </c>
      <c r="B29" s="237"/>
      <c r="C29" s="237"/>
      <c r="D29" s="171"/>
      <c r="E29" s="11"/>
      <c r="F29" s="311"/>
      <c r="G29" s="311"/>
      <c r="H29" s="171"/>
      <c r="I29" s="11"/>
      <c r="J29" s="237"/>
      <c r="K29" s="237"/>
      <c r="L29" s="432"/>
      <c r="M29" s="24"/>
      <c r="N29" s="148"/>
      <c r="O29" s="148"/>
    </row>
    <row r="30" spans="1:15" s="3" customFormat="1" ht="15.75" x14ac:dyDescent="0.2">
      <c r="A30" s="619" t="s">
        <v>379</v>
      </c>
      <c r="B30" s="284"/>
      <c r="C30" s="284"/>
      <c r="D30" s="166"/>
      <c r="E30" s="11"/>
      <c r="F30" s="293"/>
      <c r="G30" s="293"/>
      <c r="H30" s="166"/>
      <c r="I30" s="421"/>
      <c r="J30" s="293"/>
      <c r="K30" s="293"/>
      <c r="L30" s="166"/>
      <c r="M30" s="23"/>
      <c r="N30" s="148"/>
      <c r="O30" s="148"/>
    </row>
    <row r="31" spans="1:15" s="3" customFormat="1" ht="15.75" x14ac:dyDescent="0.2">
      <c r="A31" s="619" t="s">
        <v>380</v>
      </c>
      <c r="B31" s="284"/>
      <c r="C31" s="284"/>
      <c r="D31" s="166"/>
      <c r="E31" s="11"/>
      <c r="F31" s="293"/>
      <c r="G31" s="293"/>
      <c r="H31" s="166"/>
      <c r="I31" s="421"/>
      <c r="J31" s="293"/>
      <c r="K31" s="293"/>
      <c r="L31" s="166"/>
      <c r="M31" s="23"/>
      <c r="N31" s="148"/>
      <c r="O31" s="148"/>
    </row>
    <row r="32" spans="1:15" ht="15.75" x14ac:dyDescent="0.2">
      <c r="A32" s="619" t="s">
        <v>381</v>
      </c>
      <c r="B32" s="284"/>
      <c r="C32" s="284"/>
      <c r="D32" s="166"/>
      <c r="E32" s="11"/>
      <c r="F32" s="293"/>
      <c r="G32" s="293"/>
      <c r="H32" s="166"/>
      <c r="I32" s="421"/>
      <c r="J32" s="293"/>
      <c r="K32" s="293"/>
      <c r="L32" s="166"/>
      <c r="M32" s="23"/>
      <c r="O32" s="148"/>
    </row>
    <row r="33" spans="1:15" ht="15.75" x14ac:dyDescent="0.2">
      <c r="A33" s="619" t="s">
        <v>382</v>
      </c>
      <c r="B33" s="284"/>
      <c r="C33" s="284"/>
      <c r="D33" s="166"/>
      <c r="E33" s="11"/>
      <c r="F33" s="293"/>
      <c r="G33" s="293"/>
      <c r="H33" s="166"/>
      <c r="I33" s="421"/>
      <c r="J33" s="293"/>
      <c r="K33" s="293"/>
      <c r="L33" s="166"/>
      <c r="M33" s="23"/>
      <c r="O33" s="148"/>
    </row>
    <row r="34" spans="1:15" ht="15.75" x14ac:dyDescent="0.2">
      <c r="A34" s="13" t="s">
        <v>377</v>
      </c>
      <c r="B34" s="237"/>
      <c r="C34" s="312"/>
      <c r="D34" s="171"/>
      <c r="E34" s="11"/>
      <c r="F34" s="311"/>
      <c r="G34" s="312"/>
      <c r="H34" s="171"/>
      <c r="I34" s="11"/>
      <c r="J34" s="237"/>
      <c r="K34" s="237"/>
      <c r="L34" s="432"/>
      <c r="M34" s="24"/>
      <c r="O34" s="148"/>
    </row>
    <row r="35" spans="1:15" ht="15.75" x14ac:dyDescent="0.2">
      <c r="A35" s="13" t="s">
        <v>378</v>
      </c>
      <c r="B35" s="237"/>
      <c r="C35" s="312"/>
      <c r="D35" s="171"/>
      <c r="E35" s="11"/>
      <c r="F35" s="311"/>
      <c r="G35" s="312"/>
      <c r="H35" s="171"/>
      <c r="I35" s="11"/>
      <c r="J35" s="237"/>
      <c r="K35" s="237"/>
      <c r="L35" s="432"/>
      <c r="M35" s="24"/>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v>723015</v>
      </c>
      <c r="C47" s="314">
        <v>749136</v>
      </c>
      <c r="D47" s="431">
        <f t="shared" ref="D47:D57" si="3">IF(B47=0, "    ---- ", IF(ABS(ROUND(100/B47*C47-100,1))&lt;999,ROUND(100/B47*C47-100,1),IF(ROUND(100/B47*C47-100,1)&gt;999,999,-999)))</f>
        <v>3.6</v>
      </c>
      <c r="E47" s="11">
        <f>IFERROR(100/'Skjema total MA'!C47*C47,0)</f>
        <v>20.3024846664409</v>
      </c>
      <c r="F47" s="145"/>
      <c r="G47" s="33"/>
      <c r="H47" s="159"/>
      <c r="I47" s="159"/>
      <c r="J47" s="37"/>
      <c r="K47" s="37"/>
      <c r="L47" s="159"/>
      <c r="M47" s="159"/>
      <c r="N47" s="148"/>
      <c r="O47" s="148"/>
    </row>
    <row r="48" spans="1:15" s="3" customFormat="1" ht="15.75" x14ac:dyDescent="0.2">
      <c r="A48" s="38" t="s">
        <v>387</v>
      </c>
      <c r="B48" s="284">
        <v>431422</v>
      </c>
      <c r="C48" s="285">
        <v>442283</v>
      </c>
      <c r="D48" s="257">
        <f t="shared" si="3"/>
        <v>2.5</v>
      </c>
      <c r="E48" s="27">
        <f>IFERROR(100/'Skjema total MA'!C48*C48,0)</f>
        <v>21.167973089897274</v>
      </c>
      <c r="F48" s="145"/>
      <c r="G48" s="33"/>
      <c r="H48" s="145"/>
      <c r="I48" s="145"/>
      <c r="J48" s="33"/>
      <c r="K48" s="33"/>
      <c r="L48" s="159"/>
      <c r="M48" s="159"/>
      <c r="N48" s="148"/>
      <c r="O48" s="148"/>
    </row>
    <row r="49" spans="1:15" s="3" customFormat="1" ht="15.75" x14ac:dyDescent="0.2">
      <c r="A49" s="38" t="s">
        <v>388</v>
      </c>
      <c r="B49" s="44">
        <v>291593</v>
      </c>
      <c r="C49" s="290">
        <v>306853</v>
      </c>
      <c r="D49" s="257">
        <f>IF(B49=0, "    ---- ", IF(ABS(ROUND(100/B49*C49-100,1))&lt;999,ROUND(100/B49*C49-100,1),IF(ROUND(100/B49*C49-100,1)&gt;999,999,-999)))</f>
        <v>5.2</v>
      </c>
      <c r="E49" s="27">
        <f>IFERROR(100/'Skjema total MA'!C49*C49,0)</f>
        <v>19.172603050514777</v>
      </c>
      <c r="F49" s="145"/>
      <c r="G49" s="33"/>
      <c r="H49" s="145"/>
      <c r="I49" s="145"/>
      <c r="J49" s="37"/>
      <c r="K49" s="37"/>
      <c r="L49" s="159"/>
      <c r="M49" s="159"/>
      <c r="N49" s="148"/>
      <c r="O49" s="148"/>
    </row>
    <row r="50" spans="1:15" s="3" customFormat="1" x14ac:dyDescent="0.2">
      <c r="A50" s="299" t="s">
        <v>6</v>
      </c>
      <c r="B50" s="293" t="s">
        <v>422</v>
      </c>
      <c r="C50" s="294" t="s">
        <v>422</v>
      </c>
      <c r="D50" s="257"/>
      <c r="E50" s="23"/>
      <c r="F50" s="145"/>
      <c r="G50" s="33"/>
      <c r="H50" s="145"/>
      <c r="I50" s="145"/>
      <c r="J50" s="33"/>
      <c r="K50" s="33"/>
      <c r="L50" s="159"/>
      <c r="M50" s="159"/>
      <c r="N50" s="148"/>
      <c r="O50" s="148"/>
    </row>
    <row r="51" spans="1:15" s="3" customFormat="1" x14ac:dyDescent="0.2">
      <c r="A51" s="299" t="s">
        <v>7</v>
      </c>
      <c r="B51" s="293" t="s">
        <v>422</v>
      </c>
      <c r="C51" s="294" t="s">
        <v>422</v>
      </c>
      <c r="D51" s="257"/>
      <c r="E51" s="23"/>
      <c r="F51" s="145"/>
      <c r="G51" s="33"/>
      <c r="H51" s="145"/>
      <c r="I51" s="145"/>
      <c r="J51" s="33"/>
      <c r="K51" s="33"/>
      <c r="L51" s="159"/>
      <c r="M51" s="159"/>
      <c r="N51" s="148"/>
      <c r="O51" s="148"/>
    </row>
    <row r="52" spans="1:15" s="3" customFormat="1" x14ac:dyDescent="0.2">
      <c r="A52" s="299" t="s">
        <v>8</v>
      </c>
      <c r="B52" s="293" t="s">
        <v>422</v>
      </c>
      <c r="C52" s="294" t="s">
        <v>422</v>
      </c>
      <c r="D52" s="257"/>
      <c r="E52" s="23"/>
      <c r="F52" s="145"/>
      <c r="G52" s="33"/>
      <c r="H52" s="145"/>
      <c r="I52" s="145"/>
      <c r="J52" s="33"/>
      <c r="K52" s="33"/>
      <c r="L52" s="159"/>
      <c r="M52" s="159"/>
      <c r="N52" s="148"/>
      <c r="O52" s="148"/>
    </row>
    <row r="53" spans="1:15" s="3" customFormat="1" ht="15.75" x14ac:dyDescent="0.2">
      <c r="A53" s="39" t="s">
        <v>389</v>
      </c>
      <c r="B53" s="313">
        <v>102260</v>
      </c>
      <c r="C53" s="314">
        <v>51605</v>
      </c>
      <c r="D53" s="432">
        <f t="shared" si="3"/>
        <v>-49.5</v>
      </c>
      <c r="E53" s="11">
        <f>IFERROR(100/'Skjema total MA'!C53*C53,0)</f>
        <v>52.838679604963886</v>
      </c>
      <c r="F53" s="145"/>
      <c r="G53" s="33"/>
      <c r="H53" s="145"/>
      <c r="I53" s="145"/>
      <c r="J53" s="33"/>
      <c r="K53" s="33"/>
      <c r="L53" s="159"/>
      <c r="M53" s="159"/>
      <c r="N53" s="148"/>
      <c r="O53" s="148"/>
    </row>
    <row r="54" spans="1:15" s="3" customFormat="1" ht="15.75" x14ac:dyDescent="0.2">
      <c r="A54" s="38" t="s">
        <v>387</v>
      </c>
      <c r="B54" s="284">
        <v>47094</v>
      </c>
      <c r="C54" s="285">
        <v>51605</v>
      </c>
      <c r="D54" s="257">
        <f t="shared" si="3"/>
        <v>9.6</v>
      </c>
      <c r="E54" s="27">
        <f>IFERROR(100/'Skjema total MA'!C54*C54,0)</f>
        <v>52.838679604963886</v>
      </c>
      <c r="F54" s="145"/>
      <c r="G54" s="33"/>
      <c r="H54" s="145"/>
      <c r="I54" s="145"/>
      <c r="J54" s="33"/>
      <c r="K54" s="33"/>
      <c r="L54" s="159"/>
      <c r="M54" s="159"/>
      <c r="N54" s="148"/>
      <c r="O54" s="148"/>
    </row>
    <row r="55" spans="1:15" s="3" customFormat="1" ht="15.75" x14ac:dyDescent="0.2">
      <c r="A55" s="38" t="s">
        <v>388</v>
      </c>
      <c r="B55" s="284">
        <v>55166</v>
      </c>
      <c r="C55" s="285">
        <v>0</v>
      </c>
      <c r="D55" s="257">
        <f t="shared" si="3"/>
        <v>-100</v>
      </c>
      <c r="E55" s="27">
        <f>IFERROR(100/'Skjema total MA'!C55*C55,0)</f>
        <v>0</v>
      </c>
      <c r="F55" s="145"/>
      <c r="G55" s="33"/>
      <c r="H55" s="145"/>
      <c r="I55" s="145"/>
      <c r="J55" s="33"/>
      <c r="K55" s="33"/>
      <c r="L55" s="159"/>
      <c r="M55" s="159"/>
      <c r="N55" s="148"/>
      <c r="O55" s="148"/>
    </row>
    <row r="56" spans="1:15" s="3" customFormat="1" ht="15.75" x14ac:dyDescent="0.2">
      <c r="A56" s="39" t="s">
        <v>390</v>
      </c>
      <c r="B56" s="313">
        <v>37502</v>
      </c>
      <c r="C56" s="314">
        <v>40257</v>
      </c>
      <c r="D56" s="432">
        <f t="shared" si="3"/>
        <v>7.3</v>
      </c>
      <c r="E56" s="11">
        <f>IFERROR(100/'Skjema total MA'!C56*C56,0)</f>
        <v>37.799760778978737</v>
      </c>
      <c r="F56" s="145"/>
      <c r="G56" s="33"/>
      <c r="H56" s="145"/>
      <c r="I56" s="145"/>
      <c r="J56" s="33"/>
      <c r="K56" s="33"/>
      <c r="L56" s="159"/>
      <c r="M56" s="159"/>
      <c r="N56" s="148"/>
      <c r="O56" s="148"/>
    </row>
    <row r="57" spans="1:15" s="3" customFormat="1" ht="15.75" x14ac:dyDescent="0.2">
      <c r="A57" s="38" t="s">
        <v>387</v>
      </c>
      <c r="B57" s="284">
        <v>37502</v>
      </c>
      <c r="C57" s="285">
        <v>40257</v>
      </c>
      <c r="D57" s="257">
        <f t="shared" si="3"/>
        <v>7.3</v>
      </c>
      <c r="E57" s="27">
        <f>IFERROR(100/'Skjema total MA'!C57*C57,0)</f>
        <v>37.80092248448392</v>
      </c>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c r="C66" s="357"/>
      <c r="D66" s="354"/>
      <c r="E66" s="11"/>
      <c r="F66" s="356"/>
      <c r="G66" s="356"/>
      <c r="H66" s="354"/>
      <c r="I66" s="11"/>
      <c r="J66" s="312"/>
      <c r="K66" s="319"/>
      <c r="L66" s="432"/>
      <c r="M66" s="11"/>
      <c r="O66" s="148"/>
    </row>
    <row r="67" spans="1:15" x14ac:dyDescent="0.2">
      <c r="A67" s="423" t="s">
        <v>9</v>
      </c>
      <c r="B67" s="44"/>
      <c r="C67" s="145"/>
      <c r="D67" s="166"/>
      <c r="E67" s="27"/>
      <c r="F67" s="235"/>
      <c r="G67" s="145"/>
      <c r="H67" s="166"/>
      <c r="I67" s="27"/>
      <c r="J67" s="290"/>
      <c r="K67" s="44"/>
      <c r="L67" s="257"/>
      <c r="M67" s="27"/>
      <c r="O67" s="148"/>
    </row>
    <row r="68" spans="1:15" x14ac:dyDescent="0.2">
      <c r="A68" s="21" t="s">
        <v>10</v>
      </c>
      <c r="B68" s="295"/>
      <c r="C68" s="296"/>
      <c r="D68" s="166"/>
      <c r="E68" s="27"/>
      <c r="F68" s="295"/>
      <c r="G68" s="296"/>
      <c r="H68" s="166"/>
      <c r="I68" s="27"/>
      <c r="J68" s="290"/>
      <c r="K68" s="44"/>
      <c r="L68" s="257"/>
      <c r="M68" s="27"/>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c r="C77" s="235"/>
      <c r="D77" s="166"/>
      <c r="E77" s="27"/>
      <c r="F77" s="235"/>
      <c r="G77" s="145"/>
      <c r="H77" s="166"/>
      <c r="I77" s="27"/>
      <c r="J77" s="290"/>
      <c r="K77" s="44"/>
      <c r="L77" s="257"/>
      <c r="M77" s="27"/>
      <c r="O77" s="148"/>
    </row>
    <row r="78" spans="1:15" x14ac:dyDescent="0.2">
      <c r="A78" s="21" t="s">
        <v>9</v>
      </c>
      <c r="B78" s="235"/>
      <c r="C78" s="145"/>
      <c r="D78" s="166"/>
      <c r="E78" s="27"/>
      <c r="F78" s="235"/>
      <c r="G78" s="145"/>
      <c r="H78" s="166"/>
      <c r="I78" s="27"/>
      <c r="J78" s="290"/>
      <c r="K78" s="44"/>
      <c r="L78" s="257"/>
      <c r="M78" s="27"/>
      <c r="O78" s="148"/>
    </row>
    <row r="79" spans="1:15" x14ac:dyDescent="0.2">
      <c r="A79" s="21" t="s">
        <v>10</v>
      </c>
      <c r="B79" s="295"/>
      <c r="C79" s="296"/>
      <c r="D79" s="166"/>
      <c r="E79" s="27"/>
      <c r="F79" s="295"/>
      <c r="G79" s="296"/>
      <c r="H79" s="166"/>
      <c r="I79" s="27"/>
      <c r="J79" s="290"/>
      <c r="K79" s="44"/>
      <c r="L79" s="257"/>
      <c r="M79" s="27"/>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c r="G86" s="145"/>
      <c r="H86" s="166"/>
      <c r="I86" s="27"/>
      <c r="J86" s="290"/>
      <c r="K86" s="44"/>
      <c r="L86" s="257"/>
      <c r="M86" s="27"/>
      <c r="O86" s="148"/>
    </row>
    <row r="87" spans="1:15" ht="15.75" x14ac:dyDescent="0.2">
      <c r="A87" s="13" t="s">
        <v>376</v>
      </c>
      <c r="B87" s="357"/>
      <c r="C87" s="357"/>
      <c r="D87" s="171"/>
      <c r="E87" s="11"/>
      <c r="F87" s="356"/>
      <c r="G87" s="356"/>
      <c r="H87" s="171"/>
      <c r="I87" s="11"/>
      <c r="J87" s="312"/>
      <c r="K87" s="237"/>
      <c r="L87" s="432"/>
      <c r="M87" s="11"/>
      <c r="O87" s="148"/>
    </row>
    <row r="88" spans="1:15" x14ac:dyDescent="0.2">
      <c r="A88" s="21" t="s">
        <v>9</v>
      </c>
      <c r="B88" s="235"/>
      <c r="C88" s="145"/>
      <c r="D88" s="166"/>
      <c r="E88" s="27"/>
      <c r="F88" s="235"/>
      <c r="G88" s="145"/>
      <c r="H88" s="166"/>
      <c r="I88" s="27"/>
      <c r="J88" s="290"/>
      <c r="K88" s="44"/>
      <c r="L88" s="257"/>
      <c r="M88" s="27"/>
      <c r="O88" s="148"/>
    </row>
    <row r="89" spans="1:15" x14ac:dyDescent="0.2">
      <c r="A89" s="21" t="s">
        <v>10</v>
      </c>
      <c r="B89" s="235"/>
      <c r="C89" s="145"/>
      <c r="D89" s="166"/>
      <c r="E89" s="27"/>
      <c r="F89" s="235"/>
      <c r="G89" s="145"/>
      <c r="H89" s="166"/>
      <c r="I89" s="27"/>
      <c r="J89" s="290"/>
      <c r="K89" s="44"/>
      <c r="L89" s="257"/>
      <c r="M89" s="27"/>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c r="C98" s="235"/>
      <c r="D98" s="166"/>
      <c r="E98" s="27"/>
      <c r="F98" s="295"/>
      <c r="G98" s="295"/>
      <c r="H98" s="166"/>
      <c r="I98" s="27"/>
      <c r="J98" s="290"/>
      <c r="K98" s="44"/>
      <c r="L98" s="257"/>
      <c r="M98" s="27"/>
      <c r="O98" s="148"/>
    </row>
    <row r="99" spans="1:15" x14ac:dyDescent="0.2">
      <c r="A99" s="21" t="s">
        <v>9</v>
      </c>
      <c r="B99" s="295"/>
      <c r="C99" s="296"/>
      <c r="D99" s="166"/>
      <c r="E99" s="27"/>
      <c r="F99" s="235"/>
      <c r="G99" s="145"/>
      <c r="H99" s="166"/>
      <c r="I99" s="27"/>
      <c r="J99" s="290"/>
      <c r="K99" s="44"/>
      <c r="L99" s="257"/>
      <c r="M99" s="27"/>
      <c r="O99" s="148"/>
    </row>
    <row r="100" spans="1:15" x14ac:dyDescent="0.2">
      <c r="A100" s="21" t="s">
        <v>10</v>
      </c>
      <c r="B100" s="295"/>
      <c r="C100" s="296"/>
      <c r="D100" s="166"/>
      <c r="E100" s="27"/>
      <c r="F100" s="235"/>
      <c r="G100" s="235"/>
      <c r="H100" s="166"/>
      <c r="I100" s="27"/>
      <c r="J100" s="290"/>
      <c r="K100" s="44"/>
      <c r="L100" s="257"/>
      <c r="M100" s="27"/>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c r="G107" s="145"/>
      <c r="H107" s="166"/>
      <c r="I107" s="27"/>
      <c r="J107" s="290"/>
      <c r="K107" s="44"/>
      <c r="L107" s="257"/>
      <c r="M107" s="27"/>
      <c r="O107" s="148"/>
    </row>
    <row r="108" spans="1:15" ht="15.75" x14ac:dyDescent="0.2">
      <c r="A108" s="21" t="s">
        <v>395</v>
      </c>
      <c r="B108" s="235"/>
      <c r="C108" s="235"/>
      <c r="D108" s="166"/>
      <c r="E108" s="27"/>
      <c r="F108" s="235"/>
      <c r="G108" s="235"/>
      <c r="H108" s="166"/>
      <c r="I108" s="27"/>
      <c r="J108" s="290"/>
      <c r="K108" s="44"/>
      <c r="L108" s="257"/>
      <c r="M108" s="27"/>
      <c r="O108" s="148"/>
    </row>
    <row r="109" spans="1:15" ht="15.75" x14ac:dyDescent="0.2">
      <c r="A109" s="21" t="s">
        <v>396</v>
      </c>
      <c r="B109" s="235"/>
      <c r="C109" s="235"/>
      <c r="D109" s="166"/>
      <c r="E109" s="27"/>
      <c r="F109" s="235"/>
      <c r="G109" s="235"/>
      <c r="H109" s="166"/>
      <c r="I109" s="27"/>
      <c r="J109" s="290"/>
      <c r="K109" s="44"/>
      <c r="L109" s="257"/>
      <c r="M109" s="27"/>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c r="C111" s="159"/>
      <c r="D111" s="171"/>
      <c r="E111" s="11"/>
      <c r="F111" s="311"/>
      <c r="G111" s="159"/>
      <c r="H111" s="171"/>
      <c r="I111" s="11"/>
      <c r="J111" s="312"/>
      <c r="K111" s="237"/>
      <c r="L111" s="432"/>
      <c r="M111" s="11"/>
      <c r="O111" s="148"/>
    </row>
    <row r="112" spans="1:15" x14ac:dyDescent="0.2">
      <c r="A112" s="21" t="s">
        <v>9</v>
      </c>
      <c r="B112" s="235"/>
      <c r="C112" s="145"/>
      <c r="D112" s="166"/>
      <c r="E112" s="27"/>
      <c r="F112" s="235"/>
      <c r="G112" s="145"/>
      <c r="H112" s="166"/>
      <c r="I112" s="27"/>
      <c r="J112" s="290"/>
      <c r="K112" s="44"/>
      <c r="L112" s="257"/>
      <c r="M112" s="27"/>
      <c r="O112" s="148"/>
    </row>
    <row r="113" spans="1:15" x14ac:dyDescent="0.2">
      <c r="A113" s="21" t="s">
        <v>10</v>
      </c>
      <c r="B113" s="235"/>
      <c r="C113" s="145"/>
      <c r="D113" s="166"/>
      <c r="E113" s="27"/>
      <c r="F113" s="235"/>
      <c r="G113" s="145"/>
      <c r="H113" s="166"/>
      <c r="I113" s="27"/>
      <c r="J113" s="290"/>
      <c r="K113" s="44"/>
      <c r="L113" s="257"/>
      <c r="M113" s="27"/>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c r="C116" s="235"/>
      <c r="D116" s="166"/>
      <c r="E116" s="27"/>
      <c r="F116" s="235"/>
      <c r="G116" s="235"/>
      <c r="H116" s="166"/>
      <c r="I116" s="27"/>
      <c r="J116" s="290"/>
      <c r="K116" s="44"/>
      <c r="L116" s="257"/>
      <c r="M116" s="27"/>
      <c r="O116" s="148"/>
    </row>
    <row r="117" spans="1:15" ht="15.75" x14ac:dyDescent="0.2">
      <c r="A117" s="21" t="s">
        <v>399</v>
      </c>
      <c r="B117" s="235"/>
      <c r="C117" s="235"/>
      <c r="D117" s="166"/>
      <c r="E117" s="27"/>
      <c r="F117" s="235"/>
      <c r="G117" s="235"/>
      <c r="H117" s="166"/>
      <c r="I117" s="27"/>
      <c r="J117" s="290"/>
      <c r="K117" s="44"/>
      <c r="L117" s="257"/>
      <c r="M117" s="27"/>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c r="C119" s="159"/>
      <c r="D119" s="171"/>
      <c r="E119" s="11"/>
      <c r="F119" s="311"/>
      <c r="G119" s="159"/>
      <c r="H119" s="171"/>
      <c r="I119" s="11"/>
      <c r="J119" s="312"/>
      <c r="K119" s="237"/>
      <c r="L119" s="432"/>
      <c r="M119" s="11"/>
      <c r="O119" s="148"/>
    </row>
    <row r="120" spans="1:15" x14ac:dyDescent="0.2">
      <c r="A120" s="21" t="s">
        <v>9</v>
      </c>
      <c r="B120" s="235"/>
      <c r="C120" s="145"/>
      <c r="D120" s="166"/>
      <c r="E120" s="27"/>
      <c r="F120" s="235"/>
      <c r="G120" s="145"/>
      <c r="H120" s="166"/>
      <c r="I120" s="27"/>
      <c r="J120" s="290"/>
      <c r="K120" s="44"/>
      <c r="L120" s="257"/>
      <c r="M120" s="27"/>
      <c r="O120" s="148"/>
    </row>
    <row r="121" spans="1:15" x14ac:dyDescent="0.2">
      <c r="A121" s="21" t="s">
        <v>10</v>
      </c>
      <c r="B121" s="235"/>
      <c r="C121" s="145"/>
      <c r="D121" s="166"/>
      <c r="E121" s="27"/>
      <c r="F121" s="235"/>
      <c r="G121" s="145"/>
      <c r="H121" s="166"/>
      <c r="I121" s="27"/>
      <c r="J121" s="290"/>
      <c r="K121" s="44"/>
      <c r="L121" s="257"/>
      <c r="M121" s="27"/>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c r="G125" s="235"/>
      <c r="H125" s="166"/>
      <c r="I125" s="27"/>
      <c r="J125" s="290"/>
      <c r="K125" s="44"/>
      <c r="L125" s="257"/>
      <c r="M125" s="27"/>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224" priority="132">
      <formula>kvartal &lt; 4</formula>
    </cfRule>
  </conditionalFormatting>
  <conditionalFormatting sqref="B69">
    <cfRule type="expression" dxfId="1223" priority="100">
      <formula>kvartal &lt; 4</formula>
    </cfRule>
  </conditionalFormatting>
  <conditionalFormatting sqref="C69">
    <cfRule type="expression" dxfId="1222" priority="99">
      <formula>kvartal &lt; 4</formula>
    </cfRule>
  </conditionalFormatting>
  <conditionalFormatting sqref="B72">
    <cfRule type="expression" dxfId="1221" priority="98">
      <formula>kvartal &lt; 4</formula>
    </cfRule>
  </conditionalFormatting>
  <conditionalFormatting sqref="C72">
    <cfRule type="expression" dxfId="1220" priority="97">
      <formula>kvartal &lt; 4</formula>
    </cfRule>
  </conditionalFormatting>
  <conditionalFormatting sqref="B80">
    <cfRule type="expression" dxfId="1219" priority="96">
      <formula>kvartal &lt; 4</formula>
    </cfRule>
  </conditionalFormatting>
  <conditionalFormatting sqref="C80">
    <cfRule type="expression" dxfId="1218" priority="95">
      <formula>kvartal &lt; 4</formula>
    </cfRule>
  </conditionalFormatting>
  <conditionalFormatting sqref="B83">
    <cfRule type="expression" dxfId="1217" priority="94">
      <formula>kvartal &lt; 4</formula>
    </cfRule>
  </conditionalFormatting>
  <conditionalFormatting sqref="C83">
    <cfRule type="expression" dxfId="1216" priority="93">
      <formula>kvartal &lt; 4</formula>
    </cfRule>
  </conditionalFormatting>
  <conditionalFormatting sqref="B90">
    <cfRule type="expression" dxfId="1215" priority="84">
      <formula>kvartal &lt; 4</formula>
    </cfRule>
  </conditionalFormatting>
  <conditionalFormatting sqref="C90">
    <cfRule type="expression" dxfId="1214" priority="83">
      <formula>kvartal &lt; 4</formula>
    </cfRule>
  </conditionalFormatting>
  <conditionalFormatting sqref="B93">
    <cfRule type="expression" dxfId="1213" priority="82">
      <formula>kvartal &lt; 4</formula>
    </cfRule>
  </conditionalFormatting>
  <conditionalFormatting sqref="C93">
    <cfRule type="expression" dxfId="1212" priority="81">
      <formula>kvartal &lt; 4</formula>
    </cfRule>
  </conditionalFormatting>
  <conditionalFormatting sqref="B101">
    <cfRule type="expression" dxfId="1211" priority="80">
      <formula>kvartal &lt; 4</formula>
    </cfRule>
  </conditionalFormatting>
  <conditionalFormatting sqref="C101">
    <cfRule type="expression" dxfId="1210" priority="79">
      <formula>kvartal &lt; 4</formula>
    </cfRule>
  </conditionalFormatting>
  <conditionalFormatting sqref="B104">
    <cfRule type="expression" dxfId="1209" priority="78">
      <formula>kvartal &lt; 4</formula>
    </cfRule>
  </conditionalFormatting>
  <conditionalFormatting sqref="C104">
    <cfRule type="expression" dxfId="1208" priority="77">
      <formula>kvartal &lt; 4</formula>
    </cfRule>
  </conditionalFormatting>
  <conditionalFormatting sqref="B115">
    <cfRule type="expression" dxfId="1207" priority="76">
      <formula>kvartal &lt; 4</formula>
    </cfRule>
  </conditionalFormatting>
  <conditionalFormatting sqref="C115">
    <cfRule type="expression" dxfId="1206" priority="75">
      <formula>kvartal &lt; 4</formula>
    </cfRule>
  </conditionalFormatting>
  <conditionalFormatting sqref="B123">
    <cfRule type="expression" dxfId="1205" priority="74">
      <formula>kvartal &lt; 4</formula>
    </cfRule>
  </conditionalFormatting>
  <conditionalFormatting sqref="C123">
    <cfRule type="expression" dxfId="1204" priority="73">
      <formula>kvartal &lt; 4</formula>
    </cfRule>
  </conditionalFormatting>
  <conditionalFormatting sqref="F70">
    <cfRule type="expression" dxfId="1203" priority="72">
      <formula>kvartal &lt; 4</formula>
    </cfRule>
  </conditionalFormatting>
  <conditionalFormatting sqref="G70">
    <cfRule type="expression" dxfId="1202" priority="71">
      <formula>kvartal &lt; 4</formula>
    </cfRule>
  </conditionalFormatting>
  <conditionalFormatting sqref="F71:G71">
    <cfRule type="expression" dxfId="1201" priority="70">
      <formula>kvartal &lt; 4</formula>
    </cfRule>
  </conditionalFormatting>
  <conditionalFormatting sqref="F73:G74">
    <cfRule type="expression" dxfId="1200" priority="69">
      <formula>kvartal &lt; 4</formula>
    </cfRule>
  </conditionalFormatting>
  <conditionalFormatting sqref="F81:G82">
    <cfRule type="expression" dxfId="1199" priority="68">
      <formula>kvartal &lt; 4</formula>
    </cfRule>
  </conditionalFormatting>
  <conditionalFormatting sqref="F84:G85">
    <cfRule type="expression" dxfId="1198" priority="67">
      <formula>kvartal &lt; 4</formula>
    </cfRule>
  </conditionalFormatting>
  <conditionalFormatting sqref="F91:G92">
    <cfRule type="expression" dxfId="1197" priority="62">
      <formula>kvartal &lt; 4</formula>
    </cfRule>
  </conditionalFormatting>
  <conditionalFormatting sqref="F94:G95">
    <cfRule type="expression" dxfId="1196" priority="61">
      <formula>kvartal &lt; 4</formula>
    </cfRule>
  </conditionalFormatting>
  <conditionalFormatting sqref="F102:G103">
    <cfRule type="expression" dxfId="1195" priority="60">
      <formula>kvartal &lt; 4</formula>
    </cfRule>
  </conditionalFormatting>
  <conditionalFormatting sqref="F105:G106">
    <cfRule type="expression" dxfId="1194" priority="59">
      <formula>kvartal &lt; 4</formula>
    </cfRule>
  </conditionalFormatting>
  <conditionalFormatting sqref="F115">
    <cfRule type="expression" dxfId="1193" priority="58">
      <formula>kvartal &lt; 4</formula>
    </cfRule>
  </conditionalFormatting>
  <conditionalFormatting sqref="G115">
    <cfRule type="expression" dxfId="1192" priority="57">
      <formula>kvartal &lt; 4</formula>
    </cfRule>
  </conditionalFormatting>
  <conditionalFormatting sqref="F123:G123">
    <cfRule type="expression" dxfId="1191" priority="56">
      <formula>kvartal &lt; 4</formula>
    </cfRule>
  </conditionalFormatting>
  <conditionalFormatting sqref="F69:G69">
    <cfRule type="expression" dxfId="1190" priority="55">
      <formula>kvartal &lt; 4</formula>
    </cfRule>
  </conditionalFormatting>
  <conditionalFormatting sqref="F72:G72">
    <cfRule type="expression" dxfId="1189" priority="54">
      <formula>kvartal &lt; 4</formula>
    </cfRule>
  </conditionalFormatting>
  <conditionalFormatting sqref="F80:G80">
    <cfRule type="expression" dxfId="1188" priority="53">
      <formula>kvartal &lt; 4</formula>
    </cfRule>
  </conditionalFormatting>
  <conditionalFormatting sqref="F83:G83">
    <cfRule type="expression" dxfId="1187" priority="52">
      <formula>kvartal &lt; 4</formula>
    </cfRule>
  </conditionalFormatting>
  <conditionalFormatting sqref="F90:G90">
    <cfRule type="expression" dxfId="1186" priority="46">
      <formula>kvartal &lt; 4</formula>
    </cfRule>
  </conditionalFormatting>
  <conditionalFormatting sqref="F93">
    <cfRule type="expression" dxfId="1185" priority="45">
      <formula>kvartal &lt; 4</formula>
    </cfRule>
  </conditionalFormatting>
  <conditionalFormatting sqref="G93">
    <cfRule type="expression" dxfId="1184" priority="44">
      <formula>kvartal &lt; 4</formula>
    </cfRule>
  </conditionalFormatting>
  <conditionalFormatting sqref="F101">
    <cfRule type="expression" dxfId="1183" priority="43">
      <formula>kvartal &lt; 4</formula>
    </cfRule>
  </conditionalFormatting>
  <conditionalFormatting sqref="G101">
    <cfRule type="expression" dxfId="1182" priority="42">
      <formula>kvartal &lt; 4</formula>
    </cfRule>
  </conditionalFormatting>
  <conditionalFormatting sqref="G104">
    <cfRule type="expression" dxfId="1181" priority="41">
      <formula>kvartal &lt; 4</formula>
    </cfRule>
  </conditionalFormatting>
  <conditionalFormatting sqref="F104">
    <cfRule type="expression" dxfId="1180" priority="40">
      <formula>kvartal &lt; 4</formula>
    </cfRule>
  </conditionalFormatting>
  <conditionalFormatting sqref="J69:K73">
    <cfRule type="expression" dxfId="1179" priority="39">
      <formula>kvartal &lt; 4</formula>
    </cfRule>
  </conditionalFormatting>
  <conditionalFormatting sqref="J74:K74">
    <cfRule type="expression" dxfId="1178" priority="38">
      <formula>kvartal &lt; 4</formula>
    </cfRule>
  </conditionalFormatting>
  <conditionalFormatting sqref="J80:K85">
    <cfRule type="expression" dxfId="1177" priority="37">
      <formula>kvartal &lt; 4</formula>
    </cfRule>
  </conditionalFormatting>
  <conditionalFormatting sqref="J90:K95">
    <cfRule type="expression" dxfId="1176" priority="34">
      <formula>kvartal &lt; 4</formula>
    </cfRule>
  </conditionalFormatting>
  <conditionalFormatting sqref="J101:K106">
    <cfRule type="expression" dxfId="1175" priority="33">
      <formula>kvartal &lt; 4</formula>
    </cfRule>
  </conditionalFormatting>
  <conditionalFormatting sqref="J115:K115">
    <cfRule type="expression" dxfId="1174" priority="32">
      <formula>kvartal &lt; 4</formula>
    </cfRule>
  </conditionalFormatting>
  <conditionalFormatting sqref="J123:K123">
    <cfRule type="expression" dxfId="1173" priority="31">
      <formula>kvartal &lt; 4</formula>
    </cfRule>
  </conditionalFormatting>
  <conditionalFormatting sqref="A50:A52">
    <cfRule type="expression" dxfId="1172" priority="12">
      <formula>kvartal &lt; 4</formula>
    </cfRule>
  </conditionalFormatting>
  <conditionalFormatting sqref="A69:A74">
    <cfRule type="expression" dxfId="1171" priority="10">
      <formula>kvartal &lt; 4</formula>
    </cfRule>
  </conditionalFormatting>
  <conditionalFormatting sqref="A80:A85">
    <cfRule type="expression" dxfId="1170" priority="9">
      <formula>kvartal &lt; 4</formula>
    </cfRule>
  </conditionalFormatting>
  <conditionalFormatting sqref="A90:A95">
    <cfRule type="expression" dxfId="1169" priority="6">
      <formula>kvartal &lt; 4</formula>
    </cfRule>
  </conditionalFormatting>
  <conditionalFormatting sqref="A101:A106">
    <cfRule type="expression" dxfId="1168" priority="5">
      <formula>kvartal &lt; 4</formula>
    </cfRule>
  </conditionalFormatting>
  <conditionalFormatting sqref="A115">
    <cfRule type="expression" dxfId="1167" priority="4">
      <formula>kvartal &lt; 4</formula>
    </cfRule>
  </conditionalFormatting>
  <conditionalFormatting sqref="A123">
    <cfRule type="expression" dxfId="1166" priority="3">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O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137</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c r="C7" s="310"/>
      <c r="D7" s="354"/>
      <c r="E7" s="11"/>
      <c r="F7" s="309">
        <v>115363.40399999999</v>
      </c>
      <c r="G7" s="310">
        <v>71622</v>
      </c>
      <c r="H7" s="354">
        <f>IF(F7=0, "    ---- ", IF(ABS(ROUND(100/F7*G7-100,1))&lt;999,ROUND(100/F7*G7-100,1),IF(ROUND(100/F7*G7-100,1)&gt;999,999,-999)))</f>
        <v>-37.9</v>
      </c>
      <c r="I7" s="160">
        <f>IFERROR(100/'Skjema total MA'!F7*G7,0)</f>
        <v>1.3028913006602176</v>
      </c>
      <c r="J7" s="311">
        <f t="shared" ref="J7:K12" si="0">SUM(B7,F7)</f>
        <v>115363.40399999999</v>
      </c>
      <c r="K7" s="312">
        <f t="shared" si="0"/>
        <v>71622</v>
      </c>
      <c r="L7" s="431">
        <f>IF(J7=0, "    ---- ", IF(ABS(ROUND(100/J7*K7-100,1))&lt;999,ROUND(100/J7*K7-100,1),IF(ROUND(100/J7*K7-100,1)&gt;999,999,-999)))</f>
        <v>-37.9</v>
      </c>
      <c r="M7" s="11">
        <f>IFERROR(100/'Skjema total MA'!I7*K7,0)</f>
        <v>0.79458035443387143</v>
      </c>
      <c r="O7" s="148"/>
    </row>
    <row r="8" spans="1:15" ht="15.75" x14ac:dyDescent="0.2">
      <c r="A8" s="21" t="s">
        <v>25</v>
      </c>
      <c r="B8" s="284"/>
      <c r="C8" s="285"/>
      <c r="D8" s="166"/>
      <c r="E8" s="27"/>
      <c r="F8" s="288"/>
      <c r="G8" s="289"/>
      <c r="H8" s="166"/>
      <c r="I8" s="176"/>
      <c r="J8" s="235"/>
      <c r="K8" s="290"/>
      <c r="L8" s="257"/>
      <c r="M8" s="27"/>
      <c r="O8" s="148"/>
    </row>
    <row r="9" spans="1:15" ht="15.75" x14ac:dyDescent="0.2">
      <c r="A9" s="21" t="s">
        <v>24</v>
      </c>
      <c r="B9" s="284"/>
      <c r="C9" s="285"/>
      <c r="D9" s="166"/>
      <c r="E9" s="27"/>
      <c r="F9" s="288"/>
      <c r="G9" s="289"/>
      <c r="H9" s="166"/>
      <c r="I9" s="176"/>
      <c r="J9" s="235"/>
      <c r="K9" s="290"/>
      <c r="L9" s="257"/>
      <c r="M9" s="27"/>
      <c r="O9" s="148"/>
    </row>
    <row r="10" spans="1:15" ht="15.75" x14ac:dyDescent="0.2">
      <c r="A10" s="13" t="s">
        <v>376</v>
      </c>
      <c r="B10" s="313"/>
      <c r="C10" s="314"/>
      <c r="D10" s="171"/>
      <c r="E10" s="11"/>
      <c r="F10" s="313">
        <v>483002.04</v>
      </c>
      <c r="G10" s="314">
        <v>572648</v>
      </c>
      <c r="H10" s="171">
        <f t="shared" ref="H10:H12" si="1">IF(F10=0, "    ---- ", IF(ABS(ROUND(100/F10*G10-100,1))&lt;999,ROUND(100/F10*G10-100,1),IF(ROUND(100/F10*G10-100,1)&gt;999,999,-999)))</f>
        <v>18.600000000000001</v>
      </c>
      <c r="I10" s="160">
        <f>IFERROR(100/'Skjema total MA'!F10*G10,0)</f>
        <v>1.2837710176604371</v>
      </c>
      <c r="J10" s="311">
        <f t="shared" si="0"/>
        <v>483002.04</v>
      </c>
      <c r="K10" s="312">
        <f t="shared" si="0"/>
        <v>572648</v>
      </c>
      <c r="L10" s="432">
        <f t="shared" ref="L10:L12" si="2">IF(J10=0, "    ---- ", IF(ABS(ROUND(100/J10*K10-100,1))&lt;999,ROUND(100/J10*K10-100,1),IF(ROUND(100/J10*K10-100,1)&gt;999,999,-999)))</f>
        <v>18.600000000000001</v>
      </c>
      <c r="M10" s="11">
        <f>IFERROR(100/'Skjema total MA'!I10*K10,0)</f>
        <v>0.87004522350623703</v>
      </c>
      <c r="O10" s="148"/>
    </row>
    <row r="11" spans="1:15" s="43" customFormat="1" ht="15.75" x14ac:dyDescent="0.2">
      <c r="A11" s="13" t="s">
        <v>377</v>
      </c>
      <c r="B11" s="313"/>
      <c r="C11" s="314"/>
      <c r="D11" s="171"/>
      <c r="E11" s="11"/>
      <c r="F11" s="313">
        <v>5825.2030000000004</v>
      </c>
      <c r="G11" s="314">
        <v>3991</v>
      </c>
      <c r="H11" s="171">
        <f t="shared" si="1"/>
        <v>-31.5</v>
      </c>
      <c r="I11" s="160">
        <f>IFERROR(100/'Skjema total MA'!F11*G11,0)</f>
        <v>1.9433576878671421</v>
      </c>
      <c r="J11" s="311">
        <f t="shared" si="0"/>
        <v>5825.2030000000004</v>
      </c>
      <c r="K11" s="312">
        <f t="shared" si="0"/>
        <v>3991</v>
      </c>
      <c r="L11" s="432">
        <f t="shared" si="2"/>
        <v>-31.5</v>
      </c>
      <c r="M11" s="11">
        <f>IFERROR(100/'Skjema total MA'!I11*K11,0)</f>
        <v>1.7511512809612122</v>
      </c>
      <c r="N11" s="143"/>
      <c r="O11" s="148"/>
    </row>
    <row r="12" spans="1:15" s="43" customFormat="1" ht="15.75" x14ac:dyDescent="0.2">
      <c r="A12" s="41" t="s">
        <v>378</v>
      </c>
      <c r="B12" s="315"/>
      <c r="C12" s="316"/>
      <c r="D12" s="169"/>
      <c r="E12" s="36"/>
      <c r="F12" s="315">
        <v>609.69600000000003</v>
      </c>
      <c r="G12" s="316">
        <v>2092</v>
      </c>
      <c r="H12" s="169">
        <f t="shared" si="1"/>
        <v>243.1</v>
      </c>
      <c r="I12" s="169">
        <f>IFERROR(100/'Skjema total MA'!F12*G12,0)</f>
        <v>1.2071635724143339</v>
      </c>
      <c r="J12" s="317">
        <f t="shared" si="0"/>
        <v>609.69600000000003</v>
      </c>
      <c r="K12" s="318">
        <f t="shared" si="0"/>
        <v>2092</v>
      </c>
      <c r="L12" s="433">
        <f t="shared" si="2"/>
        <v>243.1</v>
      </c>
      <c r="M12" s="36">
        <f>IFERROR(100/'Skjema total MA'!I12*K12,0)</f>
        <v>1.2066135255136425</v>
      </c>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v>246436.33199999999</v>
      </c>
      <c r="C22" s="319">
        <v>273881</v>
      </c>
      <c r="D22" s="354">
        <f t="shared" ref="D22:D29" si="3">IF(B22=0, "    ---- ", IF(ABS(ROUND(100/B22*C22-100,1))&lt;999,ROUND(100/B22*C22-100,1),IF(ROUND(100/B22*C22-100,1)&gt;999,999,-999)))</f>
        <v>11.1</v>
      </c>
      <c r="E22" s="11">
        <f>IFERROR(100/'Skjema total MA'!C22*C22,0)</f>
        <v>22.812015269211855</v>
      </c>
      <c r="F22" s="321">
        <v>5658.4430000000002</v>
      </c>
      <c r="G22" s="321">
        <v>37167</v>
      </c>
      <c r="H22" s="354">
        <f t="shared" ref="H22:H35" si="4">IF(F22=0, "    ---- ", IF(ABS(ROUND(100/F22*G22-100,1))&lt;999,ROUND(100/F22*G22-100,1),IF(ROUND(100/F22*G22-100,1)&gt;999,999,-999)))</f>
        <v>556.79999999999995</v>
      </c>
      <c r="I22" s="11">
        <f>IFERROR(100/'Skjema total MA'!F22*G22,0)</f>
        <v>4.8170907626792268</v>
      </c>
      <c r="J22" s="319">
        <f t="shared" ref="J22:K35" si="5">SUM(B22,F22)</f>
        <v>252094.77499999999</v>
      </c>
      <c r="K22" s="319">
        <f t="shared" si="5"/>
        <v>311048</v>
      </c>
      <c r="L22" s="431">
        <f t="shared" ref="L22:L35" si="6">IF(J22=0, "    ---- ", IF(ABS(ROUND(100/J22*K22-100,1))&lt;999,ROUND(100/J22*K22-100,1),IF(ROUND(100/J22*K22-100,1)&gt;999,999,-999)))</f>
        <v>23.4</v>
      </c>
      <c r="M22" s="24">
        <f>IFERROR(100/'Skjema total MA'!I22*K22,0)</f>
        <v>15.771905166861293</v>
      </c>
      <c r="O22" s="148"/>
    </row>
    <row r="23" spans="1:15" ht="15.75" x14ac:dyDescent="0.2">
      <c r="A23" s="619" t="s">
        <v>379</v>
      </c>
      <c r="B23" s="284"/>
      <c r="C23" s="284"/>
      <c r="D23" s="166"/>
      <c r="E23" s="11"/>
      <c r="F23" s="293"/>
      <c r="G23" s="293">
        <v>11</v>
      </c>
      <c r="H23" s="166" t="str">
        <f t="shared" si="4"/>
        <v xml:space="preserve">    ---- </v>
      </c>
      <c r="I23" s="421">
        <f>IFERROR(100/'Skjema total MA'!F23*G23,0)</f>
        <v>8.6783512290041359E-3</v>
      </c>
      <c r="J23" s="293"/>
      <c r="K23" s="293">
        <f t="shared" ref="K23:K26" si="7">SUM(C23,G23)</f>
        <v>11</v>
      </c>
      <c r="L23" s="257" t="str">
        <f t="shared" si="6"/>
        <v xml:space="preserve">    ---- </v>
      </c>
      <c r="M23" s="23">
        <f>IFERROR(100/'Skjema total MA'!I23*K23,0)</f>
        <v>1.0990487775101286E-3</v>
      </c>
      <c r="O23" s="148"/>
    </row>
    <row r="24" spans="1:15" ht="15.75" x14ac:dyDescent="0.2">
      <c r="A24" s="619" t="s">
        <v>380</v>
      </c>
      <c r="B24" s="284"/>
      <c r="C24" s="284"/>
      <c r="D24" s="166"/>
      <c r="E24" s="11"/>
      <c r="F24" s="293"/>
      <c r="G24" s="293"/>
      <c r="H24" s="166"/>
      <c r="I24" s="421"/>
      <c r="J24" s="293"/>
      <c r="K24" s="293"/>
      <c r="L24" s="166"/>
      <c r="M24" s="23"/>
      <c r="O24" s="148"/>
    </row>
    <row r="25" spans="1:15" ht="15.75" x14ac:dyDescent="0.2">
      <c r="A25" s="619" t="s">
        <v>381</v>
      </c>
      <c r="B25" s="284"/>
      <c r="C25" s="284"/>
      <c r="D25" s="166"/>
      <c r="E25" s="11"/>
      <c r="F25" s="293"/>
      <c r="G25" s="293">
        <v>333</v>
      </c>
      <c r="H25" s="166" t="str">
        <f t="shared" si="4"/>
        <v xml:space="preserve">    ---- </v>
      </c>
      <c r="I25" s="421">
        <f>IFERROR(100/'Skjema total MA'!F25*G25,0)</f>
        <v>0.35956726270407036</v>
      </c>
      <c r="J25" s="293"/>
      <c r="K25" s="293">
        <f t="shared" si="7"/>
        <v>333</v>
      </c>
      <c r="L25" s="257" t="str">
        <f t="shared" si="6"/>
        <v xml:space="preserve">    ---- </v>
      </c>
      <c r="M25" s="23">
        <f>IFERROR(100/'Skjema total MA'!I25*K25,0)</f>
        <v>0.28400047925430544</v>
      </c>
      <c r="O25" s="148"/>
    </row>
    <row r="26" spans="1:15" ht="15.75" x14ac:dyDescent="0.2">
      <c r="A26" s="619" t="s">
        <v>382</v>
      </c>
      <c r="B26" s="284"/>
      <c r="C26" s="284"/>
      <c r="D26" s="166"/>
      <c r="E26" s="11"/>
      <c r="F26" s="293"/>
      <c r="G26" s="293">
        <v>36823</v>
      </c>
      <c r="H26" s="166" t="str">
        <f t="shared" si="4"/>
        <v xml:space="preserve">    ---- </v>
      </c>
      <c r="I26" s="421">
        <f>IFERROR(100/'Skjema total MA'!F26*G26,0)</f>
        <v>6.6686975861627635</v>
      </c>
      <c r="J26" s="293"/>
      <c r="K26" s="293">
        <f t="shared" si="7"/>
        <v>36823</v>
      </c>
      <c r="L26" s="257" t="str">
        <f t="shared" si="6"/>
        <v xml:space="preserve">    ---- </v>
      </c>
      <c r="M26" s="23">
        <f>IFERROR(100/'Skjema total MA'!I26*K26,0)</f>
        <v>6.6686975861627635</v>
      </c>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v>246436.33199999999</v>
      </c>
      <c r="C28" s="290">
        <v>273881</v>
      </c>
      <c r="D28" s="166">
        <f t="shared" si="3"/>
        <v>11.1</v>
      </c>
      <c r="E28" s="11">
        <f>IFERROR(100/'Skjema total MA'!C28*C28,0)</f>
        <v>19.149351724109597</v>
      </c>
      <c r="F28" s="235"/>
      <c r="G28" s="290"/>
      <c r="H28" s="166"/>
      <c r="I28" s="27"/>
      <c r="J28" s="44">
        <f t="shared" si="5"/>
        <v>246436.33199999999</v>
      </c>
      <c r="K28" s="44">
        <f t="shared" si="5"/>
        <v>273881</v>
      </c>
      <c r="L28" s="257">
        <f t="shared" si="6"/>
        <v>11.1</v>
      </c>
      <c r="M28" s="23">
        <f>IFERROR(100/'Skjema total MA'!I28*K28,0)</f>
        <v>19.149351724109597</v>
      </c>
      <c r="O28" s="148"/>
    </row>
    <row r="29" spans="1:15" s="3" customFormat="1" ht="15.75" x14ac:dyDescent="0.2">
      <c r="A29" s="13" t="s">
        <v>376</v>
      </c>
      <c r="B29" s="237">
        <v>1232535.9369999999</v>
      </c>
      <c r="C29" s="237">
        <v>1522695</v>
      </c>
      <c r="D29" s="171">
        <f t="shared" si="3"/>
        <v>23.5</v>
      </c>
      <c r="E29" s="11">
        <f>IFERROR(100/'Skjema total MA'!C29*C29,0)</f>
        <v>3.1599594300825613</v>
      </c>
      <c r="F29" s="311">
        <v>1567718.0319999999</v>
      </c>
      <c r="G29" s="311">
        <v>1569348</v>
      </c>
      <c r="H29" s="171">
        <f t="shared" si="4"/>
        <v>0.1</v>
      </c>
      <c r="I29" s="11">
        <f>IFERROR(100/'Skjema total MA'!F29*G29,0)</f>
        <v>7.6183981840145627</v>
      </c>
      <c r="J29" s="237">
        <f t="shared" si="5"/>
        <v>2800253.9689999996</v>
      </c>
      <c r="K29" s="237">
        <f t="shared" si="5"/>
        <v>3092043</v>
      </c>
      <c r="L29" s="432">
        <f t="shared" si="6"/>
        <v>10.4</v>
      </c>
      <c r="M29" s="24">
        <f>IFERROR(100/'Skjema total MA'!I29*K29,0)</f>
        <v>4.4951228968674801</v>
      </c>
      <c r="N29" s="148"/>
      <c r="O29" s="148"/>
    </row>
    <row r="30" spans="1:15" s="3" customFormat="1" ht="15.75" x14ac:dyDescent="0.2">
      <c r="A30" s="619" t="s">
        <v>379</v>
      </c>
      <c r="B30" s="284"/>
      <c r="C30" s="284"/>
      <c r="D30" s="166"/>
      <c r="E30" s="11"/>
      <c r="F30" s="293"/>
      <c r="G30" s="293">
        <v>31061</v>
      </c>
      <c r="H30" s="166" t="str">
        <f t="shared" si="4"/>
        <v xml:space="preserve">    ---- </v>
      </c>
      <c r="I30" s="421">
        <f>IFERROR(100/'Skjema total MA'!F30*G30,0)</f>
        <v>0.70442737095025132</v>
      </c>
      <c r="J30" s="293"/>
      <c r="K30" s="293">
        <f t="shared" ref="K30:K33" si="8">SUM(C30,G30)</f>
        <v>31061</v>
      </c>
      <c r="L30" s="166" t="str">
        <f t="shared" si="6"/>
        <v xml:space="preserve">    ---- </v>
      </c>
      <c r="M30" s="23">
        <f>IFERROR(100/'Skjema total MA'!I30*K30,0)</f>
        <v>0.17622906140247752</v>
      </c>
      <c r="N30" s="148"/>
      <c r="O30" s="148"/>
    </row>
    <row r="31" spans="1:15" s="3" customFormat="1" ht="15.75" x14ac:dyDescent="0.2">
      <c r="A31" s="619" t="s">
        <v>380</v>
      </c>
      <c r="B31" s="284"/>
      <c r="C31" s="284"/>
      <c r="D31" s="166"/>
      <c r="E31" s="11"/>
      <c r="F31" s="293"/>
      <c r="G31" s="293">
        <v>1293555</v>
      </c>
      <c r="H31" s="166" t="str">
        <f t="shared" si="4"/>
        <v xml:space="preserve">    ---- </v>
      </c>
      <c r="I31" s="421">
        <f>IFERROR(100/'Skjema total MA'!F31*G31,0)</f>
        <v>12.384083644894034</v>
      </c>
      <c r="J31" s="293"/>
      <c r="K31" s="293">
        <f t="shared" si="8"/>
        <v>1293555</v>
      </c>
      <c r="L31" s="166" t="str">
        <f t="shared" si="6"/>
        <v xml:space="preserve">    ---- </v>
      </c>
      <c r="M31" s="23">
        <f>IFERROR(100/'Skjema total MA'!I31*K31,0)</f>
        <v>3.1207415077843144</v>
      </c>
      <c r="N31" s="148"/>
      <c r="O31" s="148"/>
    </row>
    <row r="32" spans="1:15" ht="15.75" x14ac:dyDescent="0.2">
      <c r="A32" s="619" t="s">
        <v>381</v>
      </c>
      <c r="B32" s="284"/>
      <c r="C32" s="284"/>
      <c r="D32" s="166"/>
      <c r="E32" s="11"/>
      <c r="F32" s="293"/>
      <c r="G32" s="293">
        <v>124813</v>
      </c>
      <c r="H32" s="166" t="str">
        <f t="shared" si="4"/>
        <v xml:space="preserve">    ---- </v>
      </c>
      <c r="I32" s="421">
        <f>IFERROR(100/'Skjema total MA'!F32*G32,0)</f>
        <v>2.9038533024853899</v>
      </c>
      <c r="J32" s="293"/>
      <c r="K32" s="293">
        <f t="shared" si="8"/>
        <v>124813</v>
      </c>
      <c r="L32" s="166" t="str">
        <f t="shared" si="6"/>
        <v xml:space="preserve">    ---- </v>
      </c>
      <c r="M32" s="23">
        <f>IFERROR(100/'Skjema total MA'!I32*K32,0)</f>
        <v>1.8792529515720371</v>
      </c>
      <c r="O32" s="148"/>
    </row>
    <row r="33" spans="1:15" ht="15.75" x14ac:dyDescent="0.2">
      <c r="A33" s="619" t="s">
        <v>382</v>
      </c>
      <c r="B33" s="284"/>
      <c r="C33" s="284"/>
      <c r="D33" s="166"/>
      <c r="E33" s="11"/>
      <c r="F33" s="293"/>
      <c r="G33" s="293">
        <v>119919</v>
      </c>
      <c r="H33" s="166" t="str">
        <f t="shared" si="4"/>
        <v xml:space="preserve">    ---- </v>
      </c>
      <c r="I33" s="421">
        <f>IFERROR(100/'Skjema total MA'!F34*G33,0)</f>
        <v>238.76503501149693</v>
      </c>
      <c r="J33" s="293"/>
      <c r="K33" s="293">
        <f t="shared" si="8"/>
        <v>119919</v>
      </c>
      <c r="L33" s="166" t="str">
        <f t="shared" si="6"/>
        <v xml:space="preserve">    ---- </v>
      </c>
      <c r="M33" s="23">
        <f>IFERROR(100/'Skjema total MA'!I34*K33,0)</f>
        <v>167.8617115502538</v>
      </c>
      <c r="O33" s="148"/>
    </row>
    <row r="34" spans="1:15" ht="15.75" x14ac:dyDescent="0.2">
      <c r="A34" s="13" t="s">
        <v>377</v>
      </c>
      <c r="B34" s="237"/>
      <c r="C34" s="312"/>
      <c r="D34" s="171"/>
      <c r="E34" s="11"/>
      <c r="F34" s="311">
        <v>18725.77</v>
      </c>
      <c r="G34" s="312">
        <v>7439</v>
      </c>
      <c r="H34" s="171">
        <f t="shared" si="4"/>
        <v>-60.3</v>
      </c>
      <c r="I34" s="11">
        <f>IFERROR(100/'Skjema total MA'!F34*G34,0)</f>
        <v>14.811440184212058</v>
      </c>
      <c r="J34" s="237">
        <f t="shared" si="5"/>
        <v>18725.77</v>
      </c>
      <c r="K34" s="237">
        <f t="shared" si="5"/>
        <v>7439</v>
      </c>
      <c r="L34" s="432">
        <f t="shared" si="6"/>
        <v>-60.3</v>
      </c>
      <c r="M34" s="24">
        <f>IFERROR(100/'Skjema total MA'!I34*K34,0)</f>
        <v>10.41305608137441</v>
      </c>
      <c r="O34" s="148"/>
    </row>
    <row r="35" spans="1:15" ht="15.75" x14ac:dyDescent="0.2">
      <c r="A35" s="13" t="s">
        <v>378</v>
      </c>
      <c r="B35" s="237"/>
      <c r="C35" s="312"/>
      <c r="D35" s="171"/>
      <c r="E35" s="11"/>
      <c r="F35" s="311">
        <v>3910.3270000000002</v>
      </c>
      <c r="G35" s="312">
        <v>5390</v>
      </c>
      <c r="H35" s="171">
        <f t="shared" si="4"/>
        <v>37.799999999999997</v>
      </c>
      <c r="I35" s="11">
        <f>IFERROR(100/'Skjema total MA'!F35*G35,0)</f>
        <v>6.7813744048363711</v>
      </c>
      <c r="J35" s="237">
        <f t="shared" si="5"/>
        <v>3910.3270000000002</v>
      </c>
      <c r="K35" s="237">
        <f t="shared" si="5"/>
        <v>5390</v>
      </c>
      <c r="L35" s="432">
        <f t="shared" si="6"/>
        <v>37.799999999999997</v>
      </c>
      <c r="M35" s="24">
        <f>IFERROR(100/'Skjema total MA'!I35*K35,0)</f>
        <v>9.7627958505949177</v>
      </c>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c r="C47" s="314"/>
      <c r="D47" s="431"/>
      <c r="E47" s="11"/>
      <c r="F47" s="145"/>
      <c r="G47" s="33"/>
      <c r="H47" s="159"/>
      <c r="I47" s="159"/>
      <c r="J47" s="37"/>
      <c r="K47" s="37"/>
      <c r="L47" s="159"/>
      <c r="M47" s="159"/>
      <c r="N47" s="148"/>
      <c r="O47" s="148"/>
    </row>
    <row r="48" spans="1:15" s="3" customFormat="1" ht="15.75" x14ac:dyDescent="0.2">
      <c r="A48" s="38" t="s">
        <v>387</v>
      </c>
      <c r="B48" s="284"/>
      <c r="C48" s="285"/>
      <c r="D48" s="257"/>
      <c r="E48" s="27"/>
      <c r="F48" s="145"/>
      <c r="G48" s="33"/>
      <c r="H48" s="145"/>
      <c r="I48" s="145"/>
      <c r="J48" s="33"/>
      <c r="K48" s="33"/>
      <c r="L48" s="159"/>
      <c r="M48" s="159"/>
      <c r="N48" s="148"/>
      <c r="O48" s="148"/>
    </row>
    <row r="49" spans="1:15" s="3" customFormat="1" ht="15.75" x14ac:dyDescent="0.2">
      <c r="A49" s="38" t="s">
        <v>388</v>
      </c>
      <c r="B49" s="44"/>
      <c r="C49" s="290"/>
      <c r="D49" s="257"/>
      <c r="E49" s="27"/>
      <c r="F49" s="145"/>
      <c r="G49" s="33"/>
      <c r="H49" s="145"/>
      <c r="I49" s="145"/>
      <c r="J49" s="37"/>
      <c r="K49" s="37"/>
      <c r="L49" s="159"/>
      <c r="M49" s="159"/>
      <c r="N49" s="148"/>
      <c r="O49" s="148"/>
    </row>
    <row r="50" spans="1:15" s="3" customFormat="1" x14ac:dyDescent="0.2">
      <c r="A50" s="299" t="s">
        <v>6</v>
      </c>
      <c r="B50" s="293"/>
      <c r="C50" s="294"/>
      <c r="D50" s="257"/>
      <c r="E50" s="23"/>
      <c r="F50" s="145"/>
      <c r="G50" s="33"/>
      <c r="H50" s="145"/>
      <c r="I50" s="145"/>
      <c r="J50" s="33"/>
      <c r="K50" s="33"/>
      <c r="L50" s="159"/>
      <c r="M50" s="159"/>
      <c r="N50" s="148"/>
      <c r="O50" s="148"/>
    </row>
    <row r="51" spans="1:15" s="3" customFormat="1" x14ac:dyDescent="0.2">
      <c r="A51" s="299" t="s">
        <v>7</v>
      </c>
      <c r="B51" s="293"/>
      <c r="C51" s="294"/>
      <c r="D51" s="257"/>
      <c r="E51" s="23"/>
      <c r="F51" s="145"/>
      <c r="G51" s="33"/>
      <c r="H51" s="145"/>
      <c r="I51" s="145"/>
      <c r="J51" s="33"/>
      <c r="K51" s="33"/>
      <c r="L51" s="159"/>
      <c r="M51" s="159"/>
      <c r="N51" s="148"/>
      <c r="O51" s="148"/>
    </row>
    <row r="52" spans="1:15" s="3" customFormat="1" x14ac:dyDescent="0.2">
      <c r="A52" s="299" t="s">
        <v>8</v>
      </c>
      <c r="B52" s="293"/>
      <c r="C52" s="294"/>
      <c r="D52" s="257"/>
      <c r="E52" s="23"/>
      <c r="F52" s="145"/>
      <c r="G52" s="33"/>
      <c r="H52" s="145"/>
      <c r="I52" s="145"/>
      <c r="J52" s="33"/>
      <c r="K52" s="33"/>
      <c r="L52" s="159"/>
      <c r="M52" s="159"/>
      <c r="N52" s="148"/>
      <c r="O52" s="148"/>
    </row>
    <row r="53" spans="1:15" s="3" customFormat="1" ht="15.75" x14ac:dyDescent="0.2">
      <c r="A53" s="39" t="s">
        <v>389</v>
      </c>
      <c r="B53" s="313"/>
      <c r="C53" s="314"/>
      <c r="D53" s="432"/>
      <c r="E53" s="11"/>
      <c r="F53" s="145"/>
      <c r="G53" s="33"/>
      <c r="H53" s="145"/>
      <c r="I53" s="145"/>
      <c r="J53" s="33"/>
      <c r="K53" s="33"/>
      <c r="L53" s="159"/>
      <c r="M53" s="159"/>
      <c r="N53" s="148"/>
      <c r="O53" s="148"/>
    </row>
    <row r="54" spans="1:15" s="3" customFormat="1" ht="15.75" x14ac:dyDescent="0.2">
      <c r="A54" s="38" t="s">
        <v>387</v>
      </c>
      <c r="B54" s="284"/>
      <c r="C54" s="285"/>
      <c r="D54" s="257"/>
      <c r="E54" s="27"/>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c r="C56" s="314"/>
      <c r="D56" s="432"/>
      <c r="E56" s="11"/>
      <c r="F56" s="145"/>
      <c r="G56" s="33"/>
      <c r="H56" s="145"/>
      <c r="I56" s="145"/>
      <c r="J56" s="33"/>
      <c r="K56" s="33"/>
      <c r="L56" s="159"/>
      <c r="M56" s="159"/>
      <c r="N56" s="148"/>
      <c r="O56" s="148"/>
    </row>
    <row r="57" spans="1:15" s="3" customFormat="1" ht="15.75" x14ac:dyDescent="0.2">
      <c r="A57" s="38" t="s">
        <v>387</v>
      </c>
      <c r="B57" s="284"/>
      <c r="C57" s="285"/>
      <c r="D57" s="257"/>
      <c r="E57" s="27"/>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v>151213.027</v>
      </c>
      <c r="C66" s="357">
        <v>174469</v>
      </c>
      <c r="D66" s="354">
        <f t="shared" ref="D66:D111" si="9">IF(B66=0, "    ---- ", IF(ABS(ROUND(100/B66*C66-100,1))&lt;999,ROUND(100/B66*C66-100,1),IF(ROUND(100/B66*C66-100,1)&gt;999,999,-999)))</f>
        <v>15.4</v>
      </c>
      <c r="E66" s="11">
        <f>IFERROR(100/'Skjema total MA'!C66*C66,0)</f>
        <v>2.424409511617359</v>
      </c>
      <c r="F66" s="356">
        <v>1730311.4369999999</v>
      </c>
      <c r="G66" s="356">
        <v>1966285</v>
      </c>
      <c r="H66" s="354">
        <f t="shared" ref="H66:H111" si="10">IF(F66=0, "    ---- ", IF(ABS(ROUND(100/F66*G66-100,1))&lt;999,ROUND(100/F66*G66-100,1),IF(ROUND(100/F66*G66-100,1)&gt;999,999,-999)))</f>
        <v>13.6</v>
      </c>
      <c r="I66" s="11">
        <f>IFERROR(100/'Skjema total MA'!F66*G66,0)</f>
        <v>9.1528723047192138</v>
      </c>
      <c r="J66" s="312">
        <f t="shared" ref="J66:K79" si="11">SUM(B66,F66)</f>
        <v>1881524.4639999999</v>
      </c>
      <c r="K66" s="319">
        <f t="shared" si="11"/>
        <v>2140754</v>
      </c>
      <c r="L66" s="432">
        <f t="shared" ref="L66:L111" si="12">IF(J66=0, "    ---- ", IF(ABS(ROUND(100/J66*K66-100,1))&lt;999,ROUND(100/J66*K66-100,1),IF(ROUND(100/J66*K66-100,1)&gt;999,999,-999)))</f>
        <v>13.8</v>
      </c>
      <c r="M66" s="11">
        <f>IFERROR(100/'Skjema total MA'!I66*K66,0)</f>
        <v>7.4645193828391614</v>
      </c>
      <c r="O66" s="148"/>
    </row>
    <row r="67" spans="1:15" x14ac:dyDescent="0.2">
      <c r="A67" s="423" t="s">
        <v>9</v>
      </c>
      <c r="B67" s="44">
        <v>151213.027</v>
      </c>
      <c r="C67" s="145">
        <v>174469</v>
      </c>
      <c r="D67" s="166">
        <f t="shared" si="9"/>
        <v>15.4</v>
      </c>
      <c r="E67" s="27">
        <f>IFERROR(100/'Skjema total MA'!C67*C67,0)</f>
        <v>3.008060098584143</v>
      </c>
      <c r="F67" s="235"/>
      <c r="G67" s="145"/>
      <c r="H67" s="166"/>
      <c r="I67" s="27"/>
      <c r="J67" s="290">
        <f t="shared" si="11"/>
        <v>151213.027</v>
      </c>
      <c r="K67" s="44">
        <f t="shared" si="11"/>
        <v>174469</v>
      </c>
      <c r="L67" s="257">
        <f t="shared" si="12"/>
        <v>15.4</v>
      </c>
      <c r="M67" s="27">
        <f>IFERROR(100/'Skjema total MA'!I67*K67,0)</f>
        <v>3.008060098584143</v>
      </c>
      <c r="O67" s="148"/>
    </row>
    <row r="68" spans="1:15" x14ac:dyDescent="0.2">
      <c r="A68" s="21" t="s">
        <v>10</v>
      </c>
      <c r="B68" s="295"/>
      <c r="C68" s="296"/>
      <c r="D68" s="166"/>
      <c r="E68" s="27"/>
      <c r="F68" s="295">
        <v>1730311.4369999999</v>
      </c>
      <c r="G68" s="296">
        <v>1966285</v>
      </c>
      <c r="H68" s="166">
        <f t="shared" si="10"/>
        <v>13.6</v>
      </c>
      <c r="I68" s="27">
        <f>IFERROR(100/'Skjema total MA'!F68*G68,0)</f>
        <v>9.2845344516921315</v>
      </c>
      <c r="J68" s="290">
        <f t="shared" si="11"/>
        <v>1730311.4369999999</v>
      </c>
      <c r="K68" s="44">
        <f t="shared" si="11"/>
        <v>1966285</v>
      </c>
      <c r="L68" s="257">
        <f t="shared" si="12"/>
        <v>13.6</v>
      </c>
      <c r="M68" s="27">
        <f>IFERROR(100/'Skjema total MA'!I68*K68,0)</f>
        <v>9.2268201192369101</v>
      </c>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v>151213.027</v>
      </c>
      <c r="C77" s="235">
        <v>174469</v>
      </c>
      <c r="D77" s="166">
        <f t="shared" si="9"/>
        <v>15.4</v>
      </c>
      <c r="E77" s="27">
        <f>IFERROR(100/'Skjema total MA'!C77*C77,0)</f>
        <v>2.9943130390215895</v>
      </c>
      <c r="F77" s="235">
        <v>1730311.4369999999</v>
      </c>
      <c r="G77" s="145">
        <v>1966285</v>
      </c>
      <c r="H77" s="166">
        <f t="shared" si="10"/>
        <v>13.6</v>
      </c>
      <c r="I77" s="27">
        <f>IFERROR(100/'Skjema total MA'!F77*G77,0)</f>
        <v>9.2887841150820716</v>
      </c>
      <c r="J77" s="290">
        <f t="shared" si="11"/>
        <v>1881524.4639999999</v>
      </c>
      <c r="K77" s="44">
        <f t="shared" si="11"/>
        <v>2140754</v>
      </c>
      <c r="L77" s="257">
        <f t="shared" si="12"/>
        <v>13.8</v>
      </c>
      <c r="M77" s="27">
        <f>IFERROR(100/'Skjema total MA'!I77*K77,0)</f>
        <v>7.9301702041623825</v>
      </c>
      <c r="O77" s="148"/>
    </row>
    <row r="78" spans="1:15" x14ac:dyDescent="0.2">
      <c r="A78" s="21" t="s">
        <v>9</v>
      </c>
      <c r="B78" s="235">
        <v>151213.027</v>
      </c>
      <c r="C78" s="145">
        <v>174469</v>
      </c>
      <c r="D78" s="166">
        <f t="shared" si="9"/>
        <v>15.4</v>
      </c>
      <c r="E78" s="27">
        <f>IFERROR(100/'Skjema total MA'!C78*C78,0)</f>
        <v>3.0622901024114424</v>
      </c>
      <c r="F78" s="235"/>
      <c r="G78" s="145"/>
      <c r="H78" s="166"/>
      <c r="I78" s="27"/>
      <c r="J78" s="290">
        <f t="shared" si="11"/>
        <v>151213.027</v>
      </c>
      <c r="K78" s="44">
        <f t="shared" si="11"/>
        <v>174469</v>
      </c>
      <c r="L78" s="257">
        <f t="shared" si="12"/>
        <v>15.4</v>
      </c>
      <c r="M78" s="27">
        <f>IFERROR(100/'Skjema total MA'!I78*K78,0)</f>
        <v>3.0622901024114424</v>
      </c>
      <c r="O78" s="148"/>
    </row>
    <row r="79" spans="1:15" x14ac:dyDescent="0.2">
      <c r="A79" s="21" t="s">
        <v>10</v>
      </c>
      <c r="B79" s="295"/>
      <c r="C79" s="296"/>
      <c r="D79" s="166"/>
      <c r="E79" s="27"/>
      <c r="F79" s="295">
        <v>1730311.4369999999</v>
      </c>
      <c r="G79" s="296">
        <v>1966285</v>
      </c>
      <c r="H79" s="166">
        <f t="shared" si="10"/>
        <v>13.6</v>
      </c>
      <c r="I79" s="27">
        <f>IFERROR(100/'Skjema total MA'!F79*G79,0)</f>
        <v>9.2887841150820716</v>
      </c>
      <c r="J79" s="290">
        <f t="shared" si="11"/>
        <v>1730311.4369999999</v>
      </c>
      <c r="K79" s="44">
        <f t="shared" si="11"/>
        <v>1966285</v>
      </c>
      <c r="L79" s="257">
        <f t="shared" si="12"/>
        <v>13.6</v>
      </c>
      <c r="M79" s="27">
        <f>IFERROR(100/'Skjema total MA'!I79*K79,0)</f>
        <v>9.2323732324257826</v>
      </c>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c r="G86" s="145"/>
      <c r="H86" s="166"/>
      <c r="I86" s="27"/>
      <c r="J86" s="290"/>
      <c r="K86" s="44"/>
      <c r="L86" s="257"/>
      <c r="M86" s="27"/>
      <c r="O86" s="148"/>
    </row>
    <row r="87" spans="1:15" ht="15.75" x14ac:dyDescent="0.2">
      <c r="A87" s="13" t="s">
        <v>376</v>
      </c>
      <c r="B87" s="357">
        <v>4617282.1409999998</v>
      </c>
      <c r="C87" s="357">
        <v>4951558</v>
      </c>
      <c r="D87" s="171">
        <f t="shared" si="9"/>
        <v>7.2</v>
      </c>
      <c r="E87" s="11">
        <f>IFERROR(100/'Skjema total MA'!C87*C87,0)</f>
        <v>1.2836102462451513</v>
      </c>
      <c r="F87" s="356">
        <v>19400500.418000001</v>
      </c>
      <c r="G87" s="356">
        <v>23095230</v>
      </c>
      <c r="H87" s="171">
        <f t="shared" si="10"/>
        <v>19</v>
      </c>
      <c r="I87" s="11">
        <f>IFERROR(100/'Skjema total MA'!F87*G87,0)</f>
        <v>8.8968928507647931</v>
      </c>
      <c r="J87" s="312">
        <f t="shared" ref="J87:K111" si="13">SUM(B87,F87)</f>
        <v>24017782.559</v>
      </c>
      <c r="K87" s="237">
        <f t="shared" si="13"/>
        <v>28046788</v>
      </c>
      <c r="L87" s="432">
        <f t="shared" si="12"/>
        <v>16.8</v>
      </c>
      <c r="M87" s="11">
        <f>IFERROR(100/'Skjema total MA'!I87*K87,0)</f>
        <v>4.3460479812887547</v>
      </c>
      <c r="O87" s="148"/>
    </row>
    <row r="88" spans="1:15" x14ac:dyDescent="0.2">
      <c r="A88" s="21" t="s">
        <v>9</v>
      </c>
      <c r="B88" s="235">
        <v>4617282.1409999998</v>
      </c>
      <c r="C88" s="145">
        <v>4951558</v>
      </c>
      <c r="D88" s="166">
        <f t="shared" si="9"/>
        <v>7.2</v>
      </c>
      <c r="E88" s="27">
        <f>IFERROR(100/'Skjema total MA'!C88*C88,0)</f>
        <v>1.3133375659443758</v>
      </c>
      <c r="F88" s="235"/>
      <c r="G88" s="145"/>
      <c r="H88" s="166"/>
      <c r="I88" s="27"/>
      <c r="J88" s="290">
        <f t="shared" si="13"/>
        <v>4617282.1409999998</v>
      </c>
      <c r="K88" s="44">
        <f t="shared" si="13"/>
        <v>4951558</v>
      </c>
      <c r="L88" s="257">
        <f t="shared" si="12"/>
        <v>7.2</v>
      </c>
      <c r="M88" s="27">
        <f>IFERROR(100/'Skjema total MA'!I88*K88,0)</f>
        <v>1.3133375659443758</v>
      </c>
      <c r="O88" s="148"/>
    </row>
    <row r="89" spans="1:15" x14ac:dyDescent="0.2">
      <c r="A89" s="21" t="s">
        <v>10</v>
      </c>
      <c r="B89" s="235"/>
      <c r="C89" s="145"/>
      <c r="D89" s="166"/>
      <c r="E89" s="27"/>
      <c r="F89" s="235">
        <v>19400500.418000001</v>
      </c>
      <c r="G89" s="145">
        <v>23095230</v>
      </c>
      <c r="H89" s="166">
        <f t="shared" si="10"/>
        <v>19</v>
      </c>
      <c r="I89" s="27">
        <f>IFERROR(100/'Skjema total MA'!F89*G89,0)</f>
        <v>8.9323847120177327</v>
      </c>
      <c r="J89" s="290">
        <f t="shared" si="13"/>
        <v>19400500.418000001</v>
      </c>
      <c r="K89" s="44">
        <f t="shared" si="13"/>
        <v>23095230</v>
      </c>
      <c r="L89" s="257">
        <f t="shared" si="12"/>
        <v>19</v>
      </c>
      <c r="M89" s="27">
        <f>IFERROR(100/'Skjema total MA'!I89*K89,0)</f>
        <v>8.8422060276984134</v>
      </c>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v>4617282.1409999998</v>
      </c>
      <c r="C98" s="235">
        <v>4951558</v>
      </c>
      <c r="D98" s="166">
        <f t="shared" si="9"/>
        <v>7.2</v>
      </c>
      <c r="E98" s="27">
        <f>IFERROR(100/'Skjema total MA'!C98*C98,0)</f>
        <v>1.3211186354252022</v>
      </c>
      <c r="F98" s="295">
        <v>19400500.418000001</v>
      </c>
      <c r="G98" s="295">
        <v>23095230</v>
      </c>
      <c r="H98" s="166">
        <f t="shared" si="10"/>
        <v>19</v>
      </c>
      <c r="I98" s="27">
        <f>IFERROR(100/'Skjema total MA'!F98*G98,0)</f>
        <v>8.9567188849554498</v>
      </c>
      <c r="J98" s="290">
        <f t="shared" si="13"/>
        <v>24017782.559</v>
      </c>
      <c r="K98" s="44">
        <f t="shared" si="13"/>
        <v>28046788</v>
      </c>
      <c r="L98" s="257">
        <f t="shared" si="12"/>
        <v>16.8</v>
      </c>
      <c r="M98" s="27">
        <f>IFERROR(100/'Skjema total MA'!I98*K98,0)</f>
        <v>4.4331947397058906</v>
      </c>
      <c r="O98" s="148"/>
    </row>
    <row r="99" spans="1:15" x14ac:dyDescent="0.2">
      <c r="A99" s="21" t="s">
        <v>9</v>
      </c>
      <c r="B99" s="295">
        <v>4617282.1409999998</v>
      </c>
      <c r="C99" s="296">
        <v>4951558</v>
      </c>
      <c r="D99" s="166">
        <f t="shared" si="9"/>
        <v>7.2</v>
      </c>
      <c r="E99" s="27">
        <f>IFERROR(100/'Skjema total MA'!C99*C99,0)</f>
        <v>1.3304792896645969</v>
      </c>
      <c r="F99" s="235"/>
      <c r="G99" s="145"/>
      <c r="H99" s="166"/>
      <c r="I99" s="27"/>
      <c r="J99" s="290">
        <f t="shared" si="13"/>
        <v>4617282.1409999998</v>
      </c>
      <c r="K99" s="44">
        <f t="shared" si="13"/>
        <v>4951558</v>
      </c>
      <c r="L99" s="257">
        <f t="shared" si="12"/>
        <v>7.2</v>
      </c>
      <c r="M99" s="27">
        <f>IFERROR(100/'Skjema total MA'!I99*K99,0)</f>
        <v>1.3304792896645969</v>
      </c>
      <c r="O99" s="148"/>
    </row>
    <row r="100" spans="1:15" x14ac:dyDescent="0.2">
      <c r="A100" s="21" t="s">
        <v>10</v>
      </c>
      <c r="B100" s="295"/>
      <c r="C100" s="296"/>
      <c r="D100" s="166"/>
      <c r="E100" s="27"/>
      <c r="F100" s="235">
        <v>19400500.418000001</v>
      </c>
      <c r="G100" s="235">
        <v>23095230</v>
      </c>
      <c r="H100" s="166">
        <f t="shared" si="10"/>
        <v>19</v>
      </c>
      <c r="I100" s="27">
        <f>IFERROR(100/'Skjema total MA'!F100*G100,0)</f>
        <v>8.9567188849554498</v>
      </c>
      <c r="J100" s="290">
        <f t="shared" si="13"/>
        <v>19400500.418000001</v>
      </c>
      <c r="K100" s="44">
        <f t="shared" si="13"/>
        <v>23095230</v>
      </c>
      <c r="L100" s="257">
        <f t="shared" si="12"/>
        <v>19</v>
      </c>
      <c r="M100" s="27">
        <f>IFERROR(100/'Skjema total MA'!I100*K100,0)</f>
        <v>8.8660506839813866</v>
      </c>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c r="G107" s="145"/>
      <c r="H107" s="166"/>
      <c r="I107" s="27"/>
      <c r="J107" s="290"/>
      <c r="K107" s="44"/>
      <c r="L107" s="257"/>
      <c r="M107" s="27"/>
      <c r="O107" s="148"/>
    </row>
    <row r="108" spans="1:15" ht="15.75" x14ac:dyDescent="0.2">
      <c r="A108" s="21" t="s">
        <v>395</v>
      </c>
      <c r="B108" s="235">
        <v>3915118.58</v>
      </c>
      <c r="C108" s="235">
        <v>4068614</v>
      </c>
      <c r="D108" s="166">
        <f t="shared" si="9"/>
        <v>3.9</v>
      </c>
      <c r="E108" s="27">
        <f>IFERROR(100/'Skjema total MA'!C108*C108,0)</f>
        <v>1.3174069315569581</v>
      </c>
      <c r="F108" s="235"/>
      <c r="G108" s="235"/>
      <c r="H108" s="166"/>
      <c r="I108" s="27"/>
      <c r="J108" s="290">
        <f t="shared" si="13"/>
        <v>3915118.58</v>
      </c>
      <c r="K108" s="44">
        <f t="shared" si="13"/>
        <v>4068614</v>
      </c>
      <c r="L108" s="257">
        <f t="shared" si="12"/>
        <v>3.9</v>
      </c>
      <c r="M108" s="27">
        <f>IFERROR(100/'Skjema total MA'!I108*K108,0)</f>
        <v>1.2518010794324252</v>
      </c>
      <c r="O108" s="148"/>
    </row>
    <row r="109" spans="1:15" ht="15.75" x14ac:dyDescent="0.2">
      <c r="A109" s="21" t="s">
        <v>396</v>
      </c>
      <c r="B109" s="235"/>
      <c r="C109" s="235"/>
      <c r="D109" s="166"/>
      <c r="E109" s="27"/>
      <c r="F109" s="235">
        <v>6452549.3470000001</v>
      </c>
      <c r="G109" s="235">
        <v>7945919</v>
      </c>
      <c r="H109" s="166">
        <f t="shared" si="10"/>
        <v>23.1</v>
      </c>
      <c r="I109" s="27">
        <f>IFERROR(100/'Skjema total MA'!F109*G109,0)</f>
        <v>9.6603367312734019</v>
      </c>
      <c r="J109" s="290">
        <f t="shared" si="13"/>
        <v>6452549.3470000001</v>
      </c>
      <c r="K109" s="44">
        <f t="shared" si="13"/>
        <v>7945919</v>
      </c>
      <c r="L109" s="257">
        <f t="shared" si="12"/>
        <v>23.1</v>
      </c>
      <c r="M109" s="27">
        <f>IFERROR(100/'Skjema total MA'!I109*K109,0)</f>
        <v>9.5534408093334431</v>
      </c>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v>67875.861000000004</v>
      </c>
      <c r="C111" s="159">
        <v>46155</v>
      </c>
      <c r="D111" s="171">
        <f t="shared" si="9"/>
        <v>-32</v>
      </c>
      <c r="E111" s="11">
        <f>IFERROR(100/'Skjema total MA'!C111*C111,0)</f>
        <v>12.914916448340264</v>
      </c>
      <c r="F111" s="311">
        <v>1610289.064</v>
      </c>
      <c r="G111" s="159">
        <v>1232085</v>
      </c>
      <c r="H111" s="171">
        <f t="shared" si="10"/>
        <v>-23.5</v>
      </c>
      <c r="I111" s="11">
        <f>IFERROR(100/'Skjema total MA'!F111*G111,0)</f>
        <v>11.393767595770358</v>
      </c>
      <c r="J111" s="312">
        <f t="shared" si="13"/>
        <v>1678164.925</v>
      </c>
      <c r="K111" s="237">
        <f t="shared" si="13"/>
        <v>1278240</v>
      </c>
      <c r="L111" s="432">
        <f t="shared" si="12"/>
        <v>-23.8</v>
      </c>
      <c r="M111" s="11">
        <f>IFERROR(100/'Skjema total MA'!I111*K111,0)</f>
        <v>11.442431256618761</v>
      </c>
      <c r="O111" s="148"/>
    </row>
    <row r="112" spans="1:15" x14ac:dyDescent="0.2">
      <c r="A112" s="21" t="s">
        <v>9</v>
      </c>
      <c r="B112" s="235">
        <v>67875.861000000004</v>
      </c>
      <c r="C112" s="145">
        <v>46155</v>
      </c>
      <c r="D112" s="166">
        <f t="shared" ref="D112:D120" si="14">IF(B112=0, "    ---- ", IF(ABS(ROUND(100/B112*C112-100,1))&lt;999,ROUND(100/B112*C112-100,1),IF(ROUND(100/B112*C112-100,1)&gt;999,999,-999)))</f>
        <v>-32</v>
      </c>
      <c r="E112" s="27">
        <f>IFERROR(100/'Skjema total MA'!C112*C112,0)</f>
        <v>15.045691863106267</v>
      </c>
      <c r="F112" s="235"/>
      <c r="G112" s="145"/>
      <c r="H112" s="166"/>
      <c r="I112" s="27"/>
      <c r="J112" s="290">
        <f t="shared" ref="J112:K125" si="15">SUM(B112,F112)</f>
        <v>67875.861000000004</v>
      </c>
      <c r="K112" s="44">
        <f t="shared" si="15"/>
        <v>46155</v>
      </c>
      <c r="L112" s="257">
        <f t="shared" ref="L112:L125" si="16">IF(J112=0, "    ---- ", IF(ABS(ROUND(100/J112*K112-100,1))&lt;999,ROUND(100/J112*K112-100,1),IF(ROUND(100/J112*K112-100,1)&gt;999,999,-999)))</f>
        <v>-32</v>
      </c>
      <c r="M112" s="27">
        <f>IFERROR(100/'Skjema total MA'!I112*K112,0)</f>
        <v>14.97528902007849</v>
      </c>
      <c r="O112" s="148"/>
    </row>
    <row r="113" spans="1:15" x14ac:dyDescent="0.2">
      <c r="A113" s="21" t="s">
        <v>10</v>
      </c>
      <c r="B113" s="235"/>
      <c r="C113" s="145"/>
      <c r="D113" s="166"/>
      <c r="E113" s="27"/>
      <c r="F113" s="235">
        <v>1610289.064</v>
      </c>
      <c r="G113" s="145">
        <v>1232085</v>
      </c>
      <c r="H113" s="166">
        <f t="shared" ref="H113:H125" si="17">IF(F113=0, "    ---- ", IF(ABS(ROUND(100/F113*G113-100,1))&lt;999,ROUND(100/F113*G113-100,1),IF(ROUND(100/F113*G113-100,1)&gt;999,999,-999)))</f>
        <v>-23.5</v>
      </c>
      <c r="I113" s="27">
        <f>IFERROR(100/'Skjema total MA'!F113*G113,0)</f>
        <v>11.436766882071739</v>
      </c>
      <c r="J113" s="290">
        <f t="shared" si="15"/>
        <v>1610289.064</v>
      </c>
      <c r="K113" s="44">
        <f t="shared" si="15"/>
        <v>1232085</v>
      </c>
      <c r="L113" s="257">
        <f t="shared" si="16"/>
        <v>-23.5</v>
      </c>
      <c r="M113" s="27">
        <f>IFERROR(100/'Skjema total MA'!I113*K113,0)</f>
        <v>11.434606201543708</v>
      </c>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v>17179.537</v>
      </c>
      <c r="C116" s="235">
        <v>5910</v>
      </c>
      <c r="D116" s="166">
        <f t="shared" si="14"/>
        <v>-65.599999999999994</v>
      </c>
      <c r="E116" s="27">
        <f>IFERROR(100/'Skjema total MA'!C116*C116,0)</f>
        <v>3.8588743532336003</v>
      </c>
      <c r="F116" s="235"/>
      <c r="G116" s="235"/>
      <c r="H116" s="166"/>
      <c r="I116" s="27"/>
      <c r="J116" s="290">
        <f t="shared" si="15"/>
        <v>17179.537</v>
      </c>
      <c r="K116" s="44">
        <f t="shared" si="15"/>
        <v>5910</v>
      </c>
      <c r="L116" s="257">
        <f t="shared" si="16"/>
        <v>-65.599999999999994</v>
      </c>
      <c r="M116" s="27">
        <f>IFERROR(100/'Skjema total MA'!I116*K116,0)</f>
        <v>3.8040175402630867</v>
      </c>
      <c r="O116" s="148"/>
    </row>
    <row r="117" spans="1:15" ht="15.75" x14ac:dyDescent="0.2">
      <c r="A117" s="21" t="s">
        <v>399</v>
      </c>
      <c r="B117" s="235"/>
      <c r="C117" s="235"/>
      <c r="D117" s="166"/>
      <c r="E117" s="27"/>
      <c r="F117" s="235">
        <v>150261.96599999999</v>
      </c>
      <c r="G117" s="235">
        <v>157817</v>
      </c>
      <c r="H117" s="166">
        <f t="shared" si="17"/>
        <v>5</v>
      </c>
      <c r="I117" s="27">
        <f>IFERROR(100/'Skjema total MA'!F117*G117,0)</f>
        <v>9.5904998564408626</v>
      </c>
      <c r="J117" s="290">
        <f t="shared" si="15"/>
        <v>150261.96599999999</v>
      </c>
      <c r="K117" s="44">
        <f t="shared" si="15"/>
        <v>157817</v>
      </c>
      <c r="L117" s="257">
        <f t="shared" si="16"/>
        <v>5</v>
      </c>
      <c r="M117" s="27">
        <f>IFERROR(100/'Skjema total MA'!I117*K117,0)</f>
        <v>9.5904998564408626</v>
      </c>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v>37828.28</v>
      </c>
      <c r="C119" s="159">
        <v>14768</v>
      </c>
      <c r="D119" s="171">
        <f t="shared" si="14"/>
        <v>-61</v>
      </c>
      <c r="E119" s="11">
        <f>IFERROR(100/'Skjema total MA'!C119*C119,0)</f>
        <v>1.8597201058165407</v>
      </c>
      <c r="F119" s="311">
        <v>865575.62100000004</v>
      </c>
      <c r="G119" s="159">
        <v>1001883</v>
      </c>
      <c r="H119" s="171">
        <f t="shared" si="17"/>
        <v>15.7</v>
      </c>
      <c r="I119" s="11">
        <f>IFERROR(100/'Skjema total MA'!F119*G119,0)</f>
        <v>9.1969794412235952</v>
      </c>
      <c r="J119" s="312">
        <f t="shared" si="15"/>
        <v>903403.90100000007</v>
      </c>
      <c r="K119" s="237">
        <f t="shared" si="15"/>
        <v>1016651</v>
      </c>
      <c r="L119" s="432">
        <f t="shared" si="16"/>
        <v>12.5</v>
      </c>
      <c r="M119" s="11">
        <f>IFERROR(100/'Skjema total MA'!I119*K119,0)</f>
        <v>8.6984639672249671</v>
      </c>
      <c r="O119" s="148"/>
    </row>
    <row r="120" spans="1:15" x14ac:dyDescent="0.2">
      <c r="A120" s="21" t="s">
        <v>9</v>
      </c>
      <c r="B120" s="235">
        <v>37828.28</v>
      </c>
      <c r="C120" s="145">
        <v>14768</v>
      </c>
      <c r="D120" s="166">
        <f t="shared" si="14"/>
        <v>-61</v>
      </c>
      <c r="E120" s="27">
        <f>IFERROR(100/'Skjema total MA'!C120*C120,0)</f>
        <v>3.9111551224117052</v>
      </c>
      <c r="F120" s="235"/>
      <c r="G120" s="145"/>
      <c r="H120" s="166"/>
      <c r="I120" s="27"/>
      <c r="J120" s="290">
        <f t="shared" si="15"/>
        <v>37828.28</v>
      </c>
      <c r="K120" s="44">
        <f t="shared" si="15"/>
        <v>14768</v>
      </c>
      <c r="L120" s="257">
        <f t="shared" si="16"/>
        <v>-61</v>
      </c>
      <c r="M120" s="27">
        <f>IFERROR(100/'Skjema total MA'!I120*K120,0)</f>
        <v>3.9111551224117052</v>
      </c>
      <c r="O120" s="148"/>
    </row>
    <row r="121" spans="1:15" x14ac:dyDescent="0.2">
      <c r="A121" s="21" t="s">
        <v>10</v>
      </c>
      <c r="B121" s="235"/>
      <c r="C121" s="145"/>
      <c r="D121" s="166"/>
      <c r="E121" s="27"/>
      <c r="F121" s="235">
        <v>865575.62100000004</v>
      </c>
      <c r="G121" s="145">
        <v>1001883</v>
      </c>
      <c r="H121" s="166">
        <f t="shared" si="17"/>
        <v>15.7</v>
      </c>
      <c r="I121" s="27">
        <f>IFERROR(100/'Skjema total MA'!F121*G121,0)</f>
        <v>9.1969794412235952</v>
      </c>
      <c r="J121" s="290">
        <f t="shared" si="15"/>
        <v>865575.62100000004</v>
      </c>
      <c r="K121" s="44">
        <f t="shared" si="15"/>
        <v>1001883</v>
      </c>
      <c r="L121" s="257">
        <f t="shared" si="16"/>
        <v>15.7</v>
      </c>
      <c r="M121" s="27">
        <f>IFERROR(100/'Skjema total MA'!I121*K121,0)</f>
        <v>9.1740514372518742</v>
      </c>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v>164183.34299999999</v>
      </c>
      <c r="G125" s="235">
        <v>197082</v>
      </c>
      <c r="H125" s="166">
        <f t="shared" si="17"/>
        <v>20</v>
      </c>
      <c r="I125" s="27">
        <f>IFERROR(100/'Skjema total MA'!F125*G125,0)</f>
        <v>12.671972107326724</v>
      </c>
      <c r="J125" s="290">
        <f t="shared" si="15"/>
        <v>164183.34299999999</v>
      </c>
      <c r="K125" s="44">
        <f t="shared" si="15"/>
        <v>197082</v>
      </c>
      <c r="L125" s="257">
        <f t="shared" si="16"/>
        <v>20</v>
      </c>
      <c r="M125" s="27">
        <f>IFERROR(100/'Skjema total MA'!I125*K125,0)</f>
        <v>12.651017964637468</v>
      </c>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165" priority="132">
      <formula>kvartal &lt; 4</formula>
    </cfRule>
  </conditionalFormatting>
  <conditionalFormatting sqref="B69">
    <cfRule type="expression" dxfId="1164" priority="100">
      <formula>kvartal &lt; 4</formula>
    </cfRule>
  </conditionalFormatting>
  <conditionalFormatting sqref="C69">
    <cfRule type="expression" dxfId="1163" priority="99">
      <formula>kvartal &lt; 4</formula>
    </cfRule>
  </conditionalFormatting>
  <conditionalFormatting sqref="B72">
    <cfRule type="expression" dxfId="1162" priority="98">
      <formula>kvartal &lt; 4</formula>
    </cfRule>
  </conditionalFormatting>
  <conditionalFormatting sqref="C72">
    <cfRule type="expression" dxfId="1161" priority="97">
      <formula>kvartal &lt; 4</formula>
    </cfRule>
  </conditionalFormatting>
  <conditionalFormatting sqref="B80">
    <cfRule type="expression" dxfId="1160" priority="96">
      <formula>kvartal &lt; 4</formula>
    </cfRule>
  </conditionalFormatting>
  <conditionalFormatting sqref="C80">
    <cfRule type="expression" dxfId="1159" priority="95">
      <formula>kvartal &lt; 4</formula>
    </cfRule>
  </conditionalFormatting>
  <conditionalFormatting sqref="B83">
    <cfRule type="expression" dxfId="1158" priority="94">
      <formula>kvartal &lt; 4</formula>
    </cfRule>
  </conditionalFormatting>
  <conditionalFormatting sqref="C83">
    <cfRule type="expression" dxfId="1157" priority="93">
      <formula>kvartal &lt; 4</formula>
    </cfRule>
  </conditionalFormatting>
  <conditionalFormatting sqref="B90">
    <cfRule type="expression" dxfId="1156" priority="84">
      <formula>kvartal &lt; 4</formula>
    </cfRule>
  </conditionalFormatting>
  <conditionalFormatting sqref="C90">
    <cfRule type="expression" dxfId="1155" priority="83">
      <formula>kvartal &lt; 4</formula>
    </cfRule>
  </conditionalFormatting>
  <conditionalFormatting sqref="B93">
    <cfRule type="expression" dxfId="1154" priority="82">
      <formula>kvartal &lt; 4</formula>
    </cfRule>
  </conditionalFormatting>
  <conditionalFormatting sqref="C93">
    <cfRule type="expression" dxfId="1153" priority="81">
      <formula>kvartal &lt; 4</formula>
    </cfRule>
  </conditionalFormatting>
  <conditionalFormatting sqref="B101">
    <cfRule type="expression" dxfId="1152" priority="80">
      <formula>kvartal &lt; 4</formula>
    </cfRule>
  </conditionalFormatting>
  <conditionalFormatting sqref="C101">
    <cfRule type="expression" dxfId="1151" priority="79">
      <formula>kvartal &lt; 4</formula>
    </cfRule>
  </conditionalFormatting>
  <conditionalFormatting sqref="B104">
    <cfRule type="expression" dxfId="1150" priority="78">
      <formula>kvartal &lt; 4</formula>
    </cfRule>
  </conditionalFormatting>
  <conditionalFormatting sqref="C104">
    <cfRule type="expression" dxfId="1149" priority="77">
      <formula>kvartal &lt; 4</formula>
    </cfRule>
  </conditionalFormatting>
  <conditionalFormatting sqref="B115">
    <cfRule type="expression" dxfId="1148" priority="76">
      <formula>kvartal &lt; 4</formula>
    </cfRule>
  </conditionalFormatting>
  <conditionalFormatting sqref="C115">
    <cfRule type="expression" dxfId="1147" priority="75">
      <formula>kvartal &lt; 4</formula>
    </cfRule>
  </conditionalFormatting>
  <conditionalFormatting sqref="B123">
    <cfRule type="expression" dxfId="1146" priority="74">
      <formula>kvartal &lt; 4</formula>
    </cfRule>
  </conditionalFormatting>
  <conditionalFormatting sqref="C123">
    <cfRule type="expression" dxfId="1145" priority="73">
      <formula>kvartal &lt; 4</formula>
    </cfRule>
  </conditionalFormatting>
  <conditionalFormatting sqref="F70">
    <cfRule type="expression" dxfId="1144" priority="72">
      <formula>kvartal &lt; 4</formula>
    </cfRule>
  </conditionalFormatting>
  <conditionalFormatting sqref="G70">
    <cfRule type="expression" dxfId="1143" priority="71">
      <formula>kvartal &lt; 4</formula>
    </cfRule>
  </conditionalFormatting>
  <conditionalFormatting sqref="F71:G71">
    <cfRule type="expression" dxfId="1142" priority="70">
      <formula>kvartal &lt; 4</formula>
    </cfRule>
  </conditionalFormatting>
  <conditionalFormatting sqref="F73:G74">
    <cfRule type="expression" dxfId="1141" priority="69">
      <formula>kvartal &lt; 4</formula>
    </cfRule>
  </conditionalFormatting>
  <conditionalFormatting sqref="F81:G82">
    <cfRule type="expression" dxfId="1140" priority="68">
      <formula>kvartal &lt; 4</formula>
    </cfRule>
  </conditionalFormatting>
  <conditionalFormatting sqref="F84:G85">
    <cfRule type="expression" dxfId="1139" priority="67">
      <formula>kvartal &lt; 4</formula>
    </cfRule>
  </conditionalFormatting>
  <conditionalFormatting sqref="F91:G92">
    <cfRule type="expression" dxfId="1138" priority="62">
      <formula>kvartal &lt; 4</formula>
    </cfRule>
  </conditionalFormatting>
  <conditionalFormatting sqref="F94:G95">
    <cfRule type="expression" dxfId="1137" priority="61">
      <formula>kvartal &lt; 4</formula>
    </cfRule>
  </conditionalFormatting>
  <conditionalFormatting sqref="F102:G103">
    <cfRule type="expression" dxfId="1136" priority="60">
      <formula>kvartal &lt; 4</formula>
    </cfRule>
  </conditionalFormatting>
  <conditionalFormatting sqref="F105:G106">
    <cfRule type="expression" dxfId="1135" priority="59">
      <formula>kvartal &lt; 4</formula>
    </cfRule>
  </conditionalFormatting>
  <conditionalFormatting sqref="F115">
    <cfRule type="expression" dxfId="1134" priority="58">
      <formula>kvartal &lt; 4</formula>
    </cfRule>
  </conditionalFormatting>
  <conditionalFormatting sqref="G115">
    <cfRule type="expression" dxfId="1133" priority="57">
      <formula>kvartal &lt; 4</formula>
    </cfRule>
  </conditionalFormatting>
  <conditionalFormatting sqref="F123:G123">
    <cfRule type="expression" dxfId="1132" priority="56">
      <formula>kvartal &lt; 4</formula>
    </cfRule>
  </conditionalFormatting>
  <conditionalFormatting sqref="F69:G69">
    <cfRule type="expression" dxfId="1131" priority="55">
      <formula>kvartal &lt; 4</formula>
    </cfRule>
  </conditionalFormatting>
  <conditionalFormatting sqref="F72:G72">
    <cfRule type="expression" dxfId="1130" priority="54">
      <formula>kvartal &lt; 4</formula>
    </cfRule>
  </conditionalFormatting>
  <conditionalFormatting sqref="F80:G80">
    <cfRule type="expression" dxfId="1129" priority="53">
      <formula>kvartal &lt; 4</formula>
    </cfRule>
  </conditionalFormatting>
  <conditionalFormatting sqref="F83:G83">
    <cfRule type="expression" dxfId="1128" priority="52">
      <formula>kvartal &lt; 4</formula>
    </cfRule>
  </conditionalFormatting>
  <conditionalFormatting sqref="F90:G90">
    <cfRule type="expression" dxfId="1127" priority="46">
      <formula>kvartal &lt; 4</formula>
    </cfRule>
  </conditionalFormatting>
  <conditionalFormatting sqref="F93">
    <cfRule type="expression" dxfId="1126" priority="45">
      <formula>kvartal &lt; 4</formula>
    </cfRule>
  </conditionalFormatting>
  <conditionalFormatting sqref="G93">
    <cfRule type="expression" dxfId="1125" priority="44">
      <formula>kvartal &lt; 4</formula>
    </cfRule>
  </conditionalFormatting>
  <conditionalFormatting sqref="F101">
    <cfRule type="expression" dxfId="1124" priority="43">
      <formula>kvartal &lt; 4</formula>
    </cfRule>
  </conditionalFormatting>
  <conditionalFormatting sqref="G101">
    <cfRule type="expression" dxfId="1123" priority="42">
      <formula>kvartal &lt; 4</formula>
    </cfRule>
  </conditionalFormatting>
  <conditionalFormatting sqref="G104">
    <cfRule type="expression" dxfId="1122" priority="41">
      <formula>kvartal &lt; 4</formula>
    </cfRule>
  </conditionalFormatting>
  <conditionalFormatting sqref="F104">
    <cfRule type="expression" dxfId="1121" priority="40">
      <formula>kvartal &lt; 4</formula>
    </cfRule>
  </conditionalFormatting>
  <conditionalFormatting sqref="J69:K73">
    <cfRule type="expression" dxfId="1120" priority="39">
      <formula>kvartal &lt; 4</formula>
    </cfRule>
  </conditionalFormatting>
  <conditionalFormatting sqref="J74:K74">
    <cfRule type="expression" dxfId="1119" priority="38">
      <formula>kvartal &lt; 4</formula>
    </cfRule>
  </conditionalFormatting>
  <conditionalFormatting sqref="J80:K85">
    <cfRule type="expression" dxfId="1118" priority="37">
      <formula>kvartal &lt; 4</formula>
    </cfRule>
  </conditionalFormatting>
  <conditionalFormatting sqref="J90:K95">
    <cfRule type="expression" dxfId="1117" priority="34">
      <formula>kvartal &lt; 4</formula>
    </cfRule>
  </conditionalFormatting>
  <conditionalFormatting sqref="J101:K106">
    <cfRule type="expression" dxfId="1116" priority="33">
      <formula>kvartal &lt; 4</formula>
    </cfRule>
  </conditionalFormatting>
  <conditionalFormatting sqref="J115:K115">
    <cfRule type="expression" dxfId="1115" priority="32">
      <formula>kvartal &lt; 4</formula>
    </cfRule>
  </conditionalFormatting>
  <conditionalFormatting sqref="J123:K123">
    <cfRule type="expression" dxfId="1114" priority="31">
      <formula>kvartal &lt; 4</formula>
    </cfRule>
  </conditionalFormatting>
  <conditionalFormatting sqref="A50:A52">
    <cfRule type="expression" dxfId="1113" priority="12">
      <formula>kvartal &lt; 4</formula>
    </cfRule>
  </conditionalFormatting>
  <conditionalFormatting sqref="A69:A74">
    <cfRule type="expression" dxfId="1112" priority="10">
      <formula>kvartal &lt; 4</formula>
    </cfRule>
  </conditionalFormatting>
  <conditionalFormatting sqref="A80:A85">
    <cfRule type="expression" dxfId="1111" priority="9">
      <formula>kvartal &lt; 4</formula>
    </cfRule>
  </conditionalFormatting>
  <conditionalFormatting sqref="A90:A95">
    <cfRule type="expression" dxfId="1110" priority="6">
      <formula>kvartal &lt; 4</formula>
    </cfRule>
  </conditionalFormatting>
  <conditionalFormatting sqref="A101:A106">
    <cfRule type="expression" dxfId="1109" priority="5">
      <formula>kvartal &lt; 4</formula>
    </cfRule>
  </conditionalFormatting>
  <conditionalFormatting sqref="A115">
    <cfRule type="expression" dxfId="1108" priority="4">
      <formula>kvartal &lt; 4</formula>
    </cfRule>
  </conditionalFormatting>
  <conditionalFormatting sqref="A123">
    <cfRule type="expression" dxfId="1107" priority="3">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O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95</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v>28590</v>
      </c>
      <c r="C7" s="310">
        <v>27508</v>
      </c>
      <c r="D7" s="354">
        <f>IF(B7=0, "    ---- ", IF(ABS(ROUND(100/B7*C7-100,1))&lt;999,ROUND(100/B7*C7-100,1),IF(ROUND(100/B7*C7-100,1)&gt;999,999,-999)))</f>
        <v>-3.8</v>
      </c>
      <c r="E7" s="11">
        <f>IFERROR(100/'Skjema total MA'!C7*C7,0)</f>
        <v>0.78222036180296417</v>
      </c>
      <c r="F7" s="309"/>
      <c r="G7" s="310"/>
      <c r="H7" s="354"/>
      <c r="I7" s="160"/>
      <c r="J7" s="311">
        <f t="shared" ref="J7:K10" si="0">SUM(B7,F7)</f>
        <v>28590</v>
      </c>
      <c r="K7" s="312">
        <f t="shared" si="0"/>
        <v>27508</v>
      </c>
      <c r="L7" s="431">
        <f>IF(J7=0, "    ---- ", IF(ABS(ROUND(100/J7*K7-100,1))&lt;999,ROUND(100/J7*K7-100,1),IF(ROUND(100/J7*K7-100,1)&gt;999,999,-999)))</f>
        <v>-3.8</v>
      </c>
      <c r="M7" s="11">
        <f>IFERROR(100/'Skjema total MA'!I7*K7,0)</f>
        <v>0.30517601281403667</v>
      </c>
      <c r="O7" s="148"/>
    </row>
    <row r="8" spans="1:15" ht="15.75" x14ac:dyDescent="0.2">
      <c r="A8" s="21" t="s">
        <v>25</v>
      </c>
      <c r="B8" s="284">
        <v>10708</v>
      </c>
      <c r="C8" s="285">
        <v>14744</v>
      </c>
      <c r="D8" s="166">
        <f t="shared" ref="D8:D10" si="1">IF(B8=0, "    ---- ", IF(ABS(ROUND(100/B8*C8-100,1))&lt;999,ROUND(100/B8*C8-100,1),IF(ROUND(100/B8*C8-100,1)&gt;999,999,-999)))</f>
        <v>37.700000000000003</v>
      </c>
      <c r="E8" s="27">
        <f>IFERROR(100/'Skjema total MA'!C8*C8,0)</f>
        <v>0.70095372213971097</v>
      </c>
      <c r="F8" s="288"/>
      <c r="G8" s="289"/>
      <c r="H8" s="166"/>
      <c r="I8" s="176"/>
      <c r="J8" s="235">
        <f t="shared" si="0"/>
        <v>10708</v>
      </c>
      <c r="K8" s="290">
        <f t="shared" si="0"/>
        <v>14744</v>
      </c>
      <c r="L8" s="432">
        <f t="shared" ref="L8:L10" si="2">IF(J8=0, "    ---- ", IF(ABS(ROUND(100/J8*K8-100,1))&lt;999,ROUND(100/J8*K8-100,1),IF(ROUND(100/J8*K8-100,1)&gt;999,999,-999)))</f>
        <v>37.700000000000003</v>
      </c>
      <c r="M8" s="27">
        <f>IFERROR(100/'Skjema total MA'!I8*K8,0)</f>
        <v>0.70095372213971097</v>
      </c>
      <c r="O8" s="148"/>
    </row>
    <row r="9" spans="1:15" ht="15.75" x14ac:dyDescent="0.2">
      <c r="A9" s="21" t="s">
        <v>24</v>
      </c>
      <c r="B9" s="284">
        <v>17470</v>
      </c>
      <c r="C9" s="285">
        <v>8989</v>
      </c>
      <c r="D9" s="166">
        <f t="shared" si="1"/>
        <v>-48.5</v>
      </c>
      <c r="E9" s="27">
        <f>IFERROR(100/'Skjema total MA'!C9*C9,0)</f>
        <v>1.1497529196496006</v>
      </c>
      <c r="F9" s="288"/>
      <c r="G9" s="289"/>
      <c r="H9" s="166"/>
      <c r="I9" s="176"/>
      <c r="J9" s="235">
        <f t="shared" si="0"/>
        <v>17470</v>
      </c>
      <c r="K9" s="290">
        <f t="shared" si="0"/>
        <v>8989</v>
      </c>
      <c r="L9" s="432">
        <f t="shared" si="2"/>
        <v>-48.5</v>
      </c>
      <c r="M9" s="27">
        <f>IFERROR(100/'Skjema total MA'!I9*K9,0)</f>
        <v>1.1497529196496006</v>
      </c>
      <c r="O9" s="148"/>
    </row>
    <row r="10" spans="1:15" ht="15.75" x14ac:dyDescent="0.2">
      <c r="A10" s="13" t="s">
        <v>376</v>
      </c>
      <c r="B10" s="313">
        <v>22431</v>
      </c>
      <c r="C10" s="314">
        <v>21090</v>
      </c>
      <c r="D10" s="171">
        <f t="shared" si="1"/>
        <v>-6</v>
      </c>
      <c r="E10" s="11">
        <f>IFERROR(100/'Skjema total MA'!C10*C10,0)</f>
        <v>9.9427295670126273E-2</v>
      </c>
      <c r="F10" s="313"/>
      <c r="G10" s="314"/>
      <c r="H10" s="171"/>
      <c r="I10" s="160"/>
      <c r="J10" s="311">
        <f t="shared" si="0"/>
        <v>22431</v>
      </c>
      <c r="K10" s="312">
        <f t="shared" si="0"/>
        <v>21090</v>
      </c>
      <c r="L10" s="432">
        <f t="shared" si="2"/>
        <v>-6</v>
      </c>
      <c r="M10" s="11">
        <f>IFERROR(100/'Skjema total MA'!I10*K10,0)</f>
        <v>3.2042814719944086E-2</v>
      </c>
      <c r="O10" s="148"/>
    </row>
    <row r="11" spans="1:15" s="43" customFormat="1" ht="15.75" x14ac:dyDescent="0.2">
      <c r="A11" s="13" t="s">
        <v>377</v>
      </c>
      <c r="B11" s="313"/>
      <c r="C11" s="314"/>
      <c r="D11" s="171"/>
      <c r="E11" s="11"/>
      <c r="F11" s="313"/>
      <c r="G11" s="314"/>
      <c r="H11" s="171"/>
      <c r="I11" s="160"/>
      <c r="J11" s="311"/>
      <c r="K11" s="312"/>
      <c r="L11" s="432"/>
      <c r="M11" s="11"/>
      <c r="N11" s="143"/>
      <c r="O11" s="148"/>
    </row>
    <row r="12" spans="1:15" s="43" customFormat="1" ht="15.75" x14ac:dyDescent="0.2">
      <c r="A12" s="41" t="s">
        <v>378</v>
      </c>
      <c r="B12" s="315"/>
      <c r="C12" s="316"/>
      <c r="D12" s="169"/>
      <c r="E12" s="36"/>
      <c r="F12" s="315"/>
      <c r="G12" s="316"/>
      <c r="H12" s="169"/>
      <c r="I12" s="169"/>
      <c r="J12" s="317"/>
      <c r="K12" s="318"/>
      <c r="L12" s="433"/>
      <c r="M12" s="36"/>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v>182</v>
      </c>
      <c r="C22" s="319">
        <v>164</v>
      </c>
      <c r="D22" s="354">
        <f t="shared" ref="D22:D31" si="3">IF(B22=0, "    ---- ", IF(ABS(ROUND(100/B22*C22-100,1))&lt;999,ROUND(100/B22*C22-100,1),IF(ROUND(100/B22*C22-100,1)&gt;999,999,-999)))</f>
        <v>-9.9</v>
      </c>
      <c r="E22" s="11">
        <f>IFERROR(100/'Skjema total MA'!C22*C22,0)</f>
        <v>1.3659839507489545E-2</v>
      </c>
      <c r="F22" s="321"/>
      <c r="G22" s="321"/>
      <c r="H22" s="354"/>
      <c r="I22" s="11"/>
      <c r="J22" s="319">
        <f t="shared" ref="J22:K29" si="4">SUM(B22,F22)</f>
        <v>182</v>
      </c>
      <c r="K22" s="319">
        <f t="shared" si="4"/>
        <v>164</v>
      </c>
      <c r="L22" s="431">
        <f t="shared" ref="L22:L31" si="5">IF(J22=0, "    ---- ", IF(ABS(ROUND(100/J22*K22-100,1))&lt;999,ROUND(100/J22*K22-100,1),IF(ROUND(100/J22*K22-100,1)&gt;999,999,-999)))</f>
        <v>-9.9</v>
      </c>
      <c r="M22" s="24">
        <f>IFERROR(100/'Skjema total MA'!I22*K22,0)</f>
        <v>8.3157340582972784E-3</v>
      </c>
      <c r="O22" s="148"/>
    </row>
    <row r="23" spans="1:15" ht="15.75" x14ac:dyDescent="0.2">
      <c r="A23" s="619" t="s">
        <v>379</v>
      </c>
      <c r="B23" s="284"/>
      <c r="C23" s="284"/>
      <c r="D23" s="166"/>
      <c r="E23" s="11"/>
      <c r="F23" s="293"/>
      <c r="G23" s="293"/>
      <c r="H23" s="166"/>
      <c r="I23" s="421"/>
      <c r="J23" s="293"/>
      <c r="K23" s="293"/>
      <c r="L23" s="166"/>
      <c r="M23" s="23"/>
      <c r="O23" s="148"/>
    </row>
    <row r="24" spans="1:15" ht="15.75" x14ac:dyDescent="0.2">
      <c r="A24" s="619" t="s">
        <v>380</v>
      </c>
      <c r="B24" s="284"/>
      <c r="C24" s="284">
        <v>164</v>
      </c>
      <c r="D24" s="166" t="str">
        <f t="shared" si="3"/>
        <v xml:space="preserve">    ---- </v>
      </c>
      <c r="E24" s="11">
        <f>IFERROR(100/'Skjema total MA'!C24*C24,0)</f>
        <v>1.5474960143021386</v>
      </c>
      <c r="F24" s="293"/>
      <c r="G24" s="293"/>
      <c r="H24" s="166"/>
      <c r="I24" s="421"/>
      <c r="J24" s="293"/>
      <c r="K24" s="293">
        <f t="shared" ref="K24" si="6">SUM(C24,G24)</f>
        <v>164</v>
      </c>
      <c r="L24" s="257" t="str">
        <f t="shared" si="5"/>
        <v xml:space="preserve">    ---- </v>
      </c>
      <c r="M24" s="23">
        <f>IFERROR(100/'Skjema total MA'!I24*K24,0)</f>
        <v>1.5438447457505069</v>
      </c>
      <c r="O24" s="148"/>
    </row>
    <row r="25" spans="1:15" ht="15.75" x14ac:dyDescent="0.2">
      <c r="A25" s="619" t="s">
        <v>381</v>
      </c>
      <c r="B25" s="284"/>
      <c r="C25" s="284"/>
      <c r="D25" s="166"/>
      <c r="E25" s="11"/>
      <c r="F25" s="293"/>
      <c r="G25" s="293"/>
      <c r="H25" s="166"/>
      <c r="I25" s="421"/>
      <c r="J25" s="293"/>
      <c r="K25" s="293"/>
      <c r="L25" s="166"/>
      <c r="M25" s="23"/>
      <c r="O25" s="148"/>
    </row>
    <row r="26" spans="1:15" ht="15.75" x14ac:dyDescent="0.2">
      <c r="A26" s="619" t="s">
        <v>382</v>
      </c>
      <c r="B26" s="284"/>
      <c r="C26" s="284"/>
      <c r="D26" s="166"/>
      <c r="E26" s="11"/>
      <c r="F26" s="293"/>
      <c r="G26" s="293"/>
      <c r="H26" s="166"/>
      <c r="I26" s="421"/>
      <c r="J26" s="293"/>
      <c r="K26" s="293"/>
      <c r="L26" s="166"/>
      <c r="M26" s="23"/>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v>182</v>
      </c>
      <c r="C28" s="290">
        <v>164</v>
      </c>
      <c r="D28" s="166">
        <f t="shared" si="3"/>
        <v>-9.9</v>
      </c>
      <c r="E28" s="11">
        <f>IFERROR(100/'Skjema total MA'!C28*C28,0)</f>
        <v>1.1466635811735657E-2</v>
      </c>
      <c r="F28" s="235"/>
      <c r="G28" s="290"/>
      <c r="H28" s="166"/>
      <c r="I28" s="27"/>
      <c r="J28" s="44">
        <f t="shared" si="4"/>
        <v>182</v>
      </c>
      <c r="K28" s="44">
        <f t="shared" si="4"/>
        <v>164</v>
      </c>
      <c r="L28" s="257">
        <f t="shared" si="5"/>
        <v>-9.9</v>
      </c>
      <c r="M28" s="23">
        <f>IFERROR(100/'Skjema total MA'!I28*K28,0)</f>
        <v>1.1466635811735657E-2</v>
      </c>
      <c r="O28" s="148"/>
    </row>
    <row r="29" spans="1:15" s="3" customFormat="1" ht="15.75" x14ac:dyDescent="0.2">
      <c r="A29" s="13" t="s">
        <v>376</v>
      </c>
      <c r="B29" s="237">
        <v>2320</v>
      </c>
      <c r="C29" s="237">
        <v>1869</v>
      </c>
      <c r="D29" s="171">
        <f t="shared" si="3"/>
        <v>-19.399999999999999</v>
      </c>
      <c r="E29" s="11">
        <f>IFERROR(100/'Skjema total MA'!C29*C29,0)</f>
        <v>3.8786258409099048E-3</v>
      </c>
      <c r="F29" s="311"/>
      <c r="G29" s="311"/>
      <c r="H29" s="171"/>
      <c r="I29" s="11"/>
      <c r="J29" s="237">
        <f t="shared" si="4"/>
        <v>2320</v>
      </c>
      <c r="K29" s="237">
        <f t="shared" si="4"/>
        <v>1869</v>
      </c>
      <c r="L29" s="432">
        <f t="shared" si="5"/>
        <v>-19.399999999999999</v>
      </c>
      <c r="M29" s="24">
        <f>IFERROR(100/'Skjema total MA'!I29*K29,0)</f>
        <v>2.7170982726454065E-3</v>
      </c>
      <c r="N29" s="148"/>
      <c r="O29" s="148"/>
    </row>
    <row r="30" spans="1:15" s="3" customFormat="1" ht="15.75" x14ac:dyDescent="0.2">
      <c r="A30" s="619" t="s">
        <v>379</v>
      </c>
      <c r="B30" s="284"/>
      <c r="C30" s="284"/>
      <c r="D30" s="166"/>
      <c r="E30" s="11"/>
      <c r="F30" s="293"/>
      <c r="G30" s="293"/>
      <c r="H30" s="166"/>
      <c r="I30" s="421"/>
      <c r="J30" s="293"/>
      <c r="K30" s="293"/>
      <c r="L30" s="166"/>
      <c r="M30" s="23"/>
      <c r="N30" s="148"/>
      <c r="O30" s="148"/>
    </row>
    <row r="31" spans="1:15" s="3" customFormat="1" ht="15.75" x14ac:dyDescent="0.2">
      <c r="A31" s="619" t="s">
        <v>380</v>
      </c>
      <c r="B31" s="284"/>
      <c r="C31" s="284">
        <v>1869</v>
      </c>
      <c r="D31" s="166" t="str">
        <f t="shared" si="3"/>
        <v xml:space="preserve">    ---- </v>
      </c>
      <c r="E31" s="11">
        <f>IFERROR(100/'Skjema total MA'!C31*C31,0)</f>
        <v>6.0280711768202593E-3</v>
      </c>
      <c r="F31" s="293"/>
      <c r="G31" s="293"/>
      <c r="H31" s="166"/>
      <c r="I31" s="421"/>
      <c r="J31" s="293"/>
      <c r="K31" s="293">
        <f t="shared" ref="K31" si="7">SUM(C31,G31)</f>
        <v>1869</v>
      </c>
      <c r="L31" s="257" t="str">
        <f t="shared" si="5"/>
        <v xml:space="preserve">    ---- </v>
      </c>
      <c r="M31" s="23">
        <f>IFERROR(100/'Skjema total MA'!I31*K31,0)</f>
        <v>4.509020395768934E-3</v>
      </c>
      <c r="N31" s="148"/>
      <c r="O31" s="148"/>
    </row>
    <row r="32" spans="1:15" ht="15.75" x14ac:dyDescent="0.2">
      <c r="A32" s="619" t="s">
        <v>381</v>
      </c>
      <c r="B32" s="284"/>
      <c r="C32" s="284"/>
      <c r="D32" s="166"/>
      <c r="E32" s="11"/>
      <c r="F32" s="293"/>
      <c r="G32" s="293"/>
      <c r="H32" s="166"/>
      <c r="I32" s="421"/>
      <c r="J32" s="293"/>
      <c r="K32" s="293"/>
      <c r="L32" s="166"/>
      <c r="M32" s="23"/>
      <c r="O32" s="148"/>
    </row>
    <row r="33" spans="1:15" ht="15.75" x14ac:dyDescent="0.2">
      <c r="A33" s="619" t="s">
        <v>382</v>
      </c>
      <c r="B33" s="284"/>
      <c r="C33" s="284"/>
      <c r="D33" s="166"/>
      <c r="E33" s="11"/>
      <c r="F33" s="293"/>
      <c r="G33" s="293"/>
      <c r="H33" s="166"/>
      <c r="I33" s="421"/>
      <c r="J33" s="293"/>
      <c r="K33" s="293"/>
      <c r="L33" s="166"/>
      <c r="M33" s="23"/>
      <c r="O33" s="148"/>
    </row>
    <row r="34" spans="1:15" ht="15.75" x14ac:dyDescent="0.2">
      <c r="A34" s="13" t="s">
        <v>377</v>
      </c>
      <c r="B34" s="237"/>
      <c r="C34" s="312"/>
      <c r="D34" s="171"/>
      <c r="E34" s="11"/>
      <c r="F34" s="311"/>
      <c r="G34" s="312"/>
      <c r="H34" s="171"/>
      <c r="I34" s="11"/>
      <c r="J34" s="237"/>
      <c r="K34" s="237"/>
      <c r="L34" s="432"/>
      <c r="M34" s="24"/>
      <c r="O34" s="148"/>
    </row>
    <row r="35" spans="1:15" ht="15.75" x14ac:dyDescent="0.2">
      <c r="A35" s="13" t="s">
        <v>378</v>
      </c>
      <c r="B35" s="237"/>
      <c r="C35" s="312"/>
      <c r="D35" s="171"/>
      <c r="E35" s="11"/>
      <c r="F35" s="311"/>
      <c r="G35" s="312"/>
      <c r="H35" s="171"/>
      <c r="I35" s="11"/>
      <c r="J35" s="237"/>
      <c r="K35" s="237"/>
      <c r="L35" s="432"/>
      <c r="M35" s="24"/>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c r="C47" s="314"/>
      <c r="D47" s="431"/>
      <c r="E47" s="11"/>
      <c r="F47" s="145"/>
      <c r="G47" s="33"/>
      <c r="H47" s="159"/>
      <c r="I47" s="159"/>
      <c r="J47" s="37"/>
      <c r="K47" s="37"/>
      <c r="L47" s="159"/>
      <c r="M47" s="159"/>
      <c r="N47" s="148"/>
      <c r="O47" s="148"/>
    </row>
    <row r="48" spans="1:15" s="3" customFormat="1" ht="15.75" x14ac:dyDescent="0.2">
      <c r="A48" s="38" t="s">
        <v>387</v>
      </c>
      <c r="B48" s="284"/>
      <c r="C48" s="285"/>
      <c r="D48" s="257"/>
      <c r="E48" s="27"/>
      <c r="F48" s="145"/>
      <c r="G48" s="33"/>
      <c r="H48" s="145"/>
      <c r="I48" s="145"/>
      <c r="J48" s="33"/>
      <c r="K48" s="33"/>
      <c r="L48" s="159"/>
      <c r="M48" s="159"/>
      <c r="N48" s="148"/>
      <c r="O48" s="148"/>
    </row>
    <row r="49" spans="1:15" s="3" customFormat="1" ht="15.75" x14ac:dyDescent="0.2">
      <c r="A49" s="38" t="s">
        <v>388</v>
      </c>
      <c r="B49" s="44"/>
      <c r="C49" s="290"/>
      <c r="D49" s="257"/>
      <c r="E49" s="27"/>
      <c r="F49" s="145"/>
      <c r="G49" s="33"/>
      <c r="H49" s="145"/>
      <c r="I49" s="145"/>
      <c r="J49" s="37"/>
      <c r="K49" s="37"/>
      <c r="L49" s="159"/>
      <c r="M49" s="159"/>
      <c r="N49" s="148"/>
      <c r="O49" s="148"/>
    </row>
    <row r="50" spans="1:15" s="3" customFormat="1" x14ac:dyDescent="0.2">
      <c r="A50" s="299" t="s">
        <v>6</v>
      </c>
      <c r="B50" s="293"/>
      <c r="C50" s="294"/>
      <c r="D50" s="257"/>
      <c r="E50" s="23"/>
      <c r="F50" s="145"/>
      <c r="G50" s="33"/>
      <c r="H50" s="145"/>
      <c r="I50" s="145"/>
      <c r="J50" s="33"/>
      <c r="K50" s="33"/>
      <c r="L50" s="159"/>
      <c r="M50" s="159"/>
      <c r="N50" s="148"/>
      <c r="O50" s="148"/>
    </row>
    <row r="51" spans="1:15" s="3" customFormat="1" x14ac:dyDescent="0.2">
      <c r="A51" s="299" t="s">
        <v>7</v>
      </c>
      <c r="B51" s="293"/>
      <c r="C51" s="294"/>
      <c r="D51" s="257"/>
      <c r="E51" s="23"/>
      <c r="F51" s="145"/>
      <c r="G51" s="33"/>
      <c r="H51" s="145"/>
      <c r="I51" s="145"/>
      <c r="J51" s="33"/>
      <c r="K51" s="33"/>
      <c r="L51" s="159"/>
      <c r="M51" s="159"/>
      <c r="N51" s="148"/>
      <c r="O51" s="148"/>
    </row>
    <row r="52" spans="1:15" s="3" customFormat="1" x14ac:dyDescent="0.2">
      <c r="A52" s="299" t="s">
        <v>8</v>
      </c>
      <c r="B52" s="293"/>
      <c r="C52" s="294"/>
      <c r="D52" s="257"/>
      <c r="E52" s="23"/>
      <c r="F52" s="145"/>
      <c r="G52" s="33"/>
      <c r="H52" s="145"/>
      <c r="I52" s="145"/>
      <c r="J52" s="33"/>
      <c r="K52" s="33"/>
      <c r="L52" s="159"/>
      <c r="M52" s="159"/>
      <c r="N52" s="148"/>
      <c r="O52" s="148"/>
    </row>
    <row r="53" spans="1:15" s="3" customFormat="1" ht="15.75" x14ac:dyDescent="0.2">
      <c r="A53" s="39" t="s">
        <v>389</v>
      </c>
      <c r="B53" s="313"/>
      <c r="C53" s="314"/>
      <c r="D53" s="432"/>
      <c r="E53" s="11"/>
      <c r="F53" s="145"/>
      <c r="G53" s="33"/>
      <c r="H53" s="145"/>
      <c r="I53" s="145"/>
      <c r="J53" s="33"/>
      <c r="K53" s="33"/>
      <c r="L53" s="159"/>
      <c r="M53" s="159"/>
      <c r="N53" s="148"/>
      <c r="O53" s="148"/>
    </row>
    <row r="54" spans="1:15" s="3" customFormat="1" ht="15.75" x14ac:dyDescent="0.2">
      <c r="A54" s="38" t="s">
        <v>387</v>
      </c>
      <c r="B54" s="284"/>
      <c r="C54" s="285"/>
      <c r="D54" s="257"/>
      <c r="E54" s="27"/>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c r="C56" s="314"/>
      <c r="D56" s="432"/>
      <c r="E56" s="11"/>
      <c r="F56" s="145"/>
      <c r="G56" s="33"/>
      <c r="H56" s="145"/>
      <c r="I56" s="145"/>
      <c r="J56" s="33"/>
      <c r="K56" s="33"/>
      <c r="L56" s="159"/>
      <c r="M56" s="159"/>
      <c r="N56" s="148"/>
      <c r="O56" s="148"/>
    </row>
    <row r="57" spans="1:15" s="3" customFormat="1" ht="15.75" x14ac:dyDescent="0.2">
      <c r="A57" s="38" t="s">
        <v>387</v>
      </c>
      <c r="B57" s="284"/>
      <c r="C57" s="285"/>
      <c r="D57" s="257"/>
      <c r="E57" s="27"/>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c r="C66" s="357"/>
      <c r="D66" s="354"/>
      <c r="E66" s="11"/>
      <c r="F66" s="356"/>
      <c r="G66" s="356"/>
      <c r="H66" s="354"/>
      <c r="I66" s="11"/>
      <c r="J66" s="312"/>
      <c r="K66" s="319"/>
      <c r="L66" s="432"/>
      <c r="M66" s="11"/>
      <c r="O66" s="148"/>
    </row>
    <row r="67" spans="1:15" x14ac:dyDescent="0.2">
      <c r="A67" s="423" t="s">
        <v>9</v>
      </c>
      <c r="B67" s="44"/>
      <c r="C67" s="145"/>
      <c r="D67" s="166"/>
      <c r="E67" s="27"/>
      <c r="F67" s="235"/>
      <c r="G67" s="145"/>
      <c r="H67" s="166"/>
      <c r="I67" s="27"/>
      <c r="J67" s="290"/>
      <c r="K67" s="44"/>
      <c r="L67" s="257"/>
      <c r="M67" s="27"/>
      <c r="O67" s="148"/>
    </row>
    <row r="68" spans="1:15" x14ac:dyDescent="0.2">
      <c r="A68" s="21" t="s">
        <v>10</v>
      </c>
      <c r="B68" s="295"/>
      <c r="C68" s="296"/>
      <c r="D68" s="166"/>
      <c r="E68" s="27"/>
      <c r="F68" s="295"/>
      <c r="G68" s="296"/>
      <c r="H68" s="166"/>
      <c r="I68" s="27"/>
      <c r="J68" s="290"/>
      <c r="K68" s="44"/>
      <c r="L68" s="257"/>
      <c r="M68" s="27"/>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c r="C77" s="235"/>
      <c r="D77" s="166"/>
      <c r="E77" s="27"/>
      <c r="F77" s="235"/>
      <c r="G77" s="145"/>
      <c r="H77" s="166"/>
      <c r="I77" s="27"/>
      <c r="J77" s="290"/>
      <c r="K77" s="44"/>
      <c r="L77" s="257"/>
      <c r="M77" s="27"/>
      <c r="O77" s="148"/>
    </row>
    <row r="78" spans="1:15" x14ac:dyDescent="0.2">
      <c r="A78" s="21" t="s">
        <v>9</v>
      </c>
      <c r="B78" s="235"/>
      <c r="C78" s="145"/>
      <c r="D78" s="166"/>
      <c r="E78" s="27"/>
      <c r="F78" s="235"/>
      <c r="G78" s="145"/>
      <c r="H78" s="166"/>
      <c r="I78" s="27"/>
      <c r="J78" s="290"/>
      <c r="K78" s="44"/>
      <c r="L78" s="257"/>
      <c r="M78" s="27"/>
      <c r="O78" s="148"/>
    </row>
    <row r="79" spans="1:15" x14ac:dyDescent="0.2">
      <c r="A79" s="21" t="s">
        <v>10</v>
      </c>
      <c r="B79" s="295"/>
      <c r="C79" s="296"/>
      <c r="D79" s="166"/>
      <c r="E79" s="27"/>
      <c r="F79" s="295"/>
      <c r="G79" s="296"/>
      <c r="H79" s="166"/>
      <c r="I79" s="27"/>
      <c r="J79" s="290"/>
      <c r="K79" s="44"/>
      <c r="L79" s="257"/>
      <c r="M79" s="27"/>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c r="G86" s="145"/>
      <c r="H86" s="166"/>
      <c r="I86" s="27"/>
      <c r="J86" s="290"/>
      <c r="K86" s="44"/>
      <c r="L86" s="257"/>
      <c r="M86" s="27"/>
      <c r="O86" s="148"/>
    </row>
    <row r="87" spans="1:15" ht="15.75" x14ac:dyDescent="0.2">
      <c r="A87" s="13" t="s">
        <v>376</v>
      </c>
      <c r="B87" s="357"/>
      <c r="C87" s="357"/>
      <c r="D87" s="171"/>
      <c r="E87" s="11"/>
      <c r="F87" s="356"/>
      <c r="G87" s="356"/>
      <c r="H87" s="171"/>
      <c r="I87" s="11"/>
      <c r="J87" s="312"/>
      <c r="K87" s="237"/>
      <c r="L87" s="432"/>
      <c r="M87" s="11"/>
      <c r="O87" s="148"/>
    </row>
    <row r="88" spans="1:15" x14ac:dyDescent="0.2">
      <c r="A88" s="21" t="s">
        <v>9</v>
      </c>
      <c r="B88" s="235"/>
      <c r="C88" s="145"/>
      <c r="D88" s="166"/>
      <c r="E88" s="27"/>
      <c r="F88" s="235"/>
      <c r="G88" s="145"/>
      <c r="H88" s="166"/>
      <c r="I88" s="27"/>
      <c r="J88" s="290"/>
      <c r="K88" s="44"/>
      <c r="L88" s="257"/>
      <c r="M88" s="27"/>
      <c r="O88" s="148"/>
    </row>
    <row r="89" spans="1:15" x14ac:dyDescent="0.2">
      <c r="A89" s="21" t="s">
        <v>10</v>
      </c>
      <c r="B89" s="235"/>
      <c r="C89" s="145"/>
      <c r="D89" s="166"/>
      <c r="E89" s="27"/>
      <c r="F89" s="235"/>
      <c r="G89" s="145"/>
      <c r="H89" s="166"/>
      <c r="I89" s="27"/>
      <c r="J89" s="290"/>
      <c r="K89" s="44"/>
      <c r="L89" s="257"/>
      <c r="M89" s="27"/>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c r="C98" s="235"/>
      <c r="D98" s="166"/>
      <c r="E98" s="27"/>
      <c r="F98" s="295"/>
      <c r="G98" s="295"/>
      <c r="H98" s="166"/>
      <c r="I98" s="27"/>
      <c r="J98" s="290"/>
      <c r="K98" s="44"/>
      <c r="L98" s="257"/>
      <c r="M98" s="27"/>
      <c r="O98" s="148"/>
    </row>
    <row r="99" spans="1:15" x14ac:dyDescent="0.2">
      <c r="A99" s="21" t="s">
        <v>9</v>
      </c>
      <c r="B99" s="295"/>
      <c r="C99" s="296"/>
      <c r="D99" s="166"/>
      <c r="E99" s="27"/>
      <c r="F99" s="235"/>
      <c r="G99" s="145"/>
      <c r="H99" s="166"/>
      <c r="I99" s="27"/>
      <c r="J99" s="290"/>
      <c r="K99" s="44"/>
      <c r="L99" s="257"/>
      <c r="M99" s="27"/>
      <c r="O99" s="148"/>
    </row>
    <row r="100" spans="1:15" x14ac:dyDescent="0.2">
      <c r="A100" s="21" t="s">
        <v>10</v>
      </c>
      <c r="B100" s="295"/>
      <c r="C100" s="296"/>
      <c r="D100" s="166"/>
      <c r="E100" s="27"/>
      <c r="F100" s="235"/>
      <c r="G100" s="235"/>
      <c r="H100" s="166"/>
      <c r="I100" s="27"/>
      <c r="J100" s="290"/>
      <c r="K100" s="44"/>
      <c r="L100" s="257"/>
      <c r="M100" s="27"/>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c r="G107" s="145"/>
      <c r="H107" s="166"/>
      <c r="I107" s="27"/>
      <c r="J107" s="290"/>
      <c r="K107" s="44"/>
      <c r="L107" s="257"/>
      <c r="M107" s="27"/>
      <c r="O107" s="148"/>
    </row>
    <row r="108" spans="1:15" ht="15.75" x14ac:dyDescent="0.2">
      <c r="A108" s="21" t="s">
        <v>395</v>
      </c>
      <c r="B108" s="235"/>
      <c r="C108" s="235"/>
      <c r="D108" s="166"/>
      <c r="E108" s="27"/>
      <c r="F108" s="235"/>
      <c r="G108" s="235"/>
      <c r="H108" s="166"/>
      <c r="I108" s="27"/>
      <c r="J108" s="290"/>
      <c r="K108" s="44"/>
      <c r="L108" s="257"/>
      <c r="M108" s="27"/>
      <c r="O108" s="148"/>
    </row>
    <row r="109" spans="1:15" ht="15.75" x14ac:dyDescent="0.2">
      <c r="A109" s="21" t="s">
        <v>396</v>
      </c>
      <c r="B109" s="235"/>
      <c r="C109" s="235"/>
      <c r="D109" s="166"/>
      <c r="E109" s="27"/>
      <c r="F109" s="235"/>
      <c r="G109" s="235"/>
      <c r="H109" s="166"/>
      <c r="I109" s="27"/>
      <c r="J109" s="290"/>
      <c r="K109" s="44"/>
      <c r="L109" s="257"/>
      <c r="M109" s="27"/>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c r="C111" s="159"/>
      <c r="D111" s="171"/>
      <c r="E111" s="11"/>
      <c r="F111" s="311"/>
      <c r="G111" s="159"/>
      <c r="H111" s="171"/>
      <c r="I111" s="11"/>
      <c r="J111" s="312"/>
      <c r="K111" s="237"/>
      <c r="L111" s="432"/>
      <c r="M111" s="11"/>
      <c r="O111" s="148"/>
    </row>
    <row r="112" spans="1:15" x14ac:dyDescent="0.2">
      <c r="A112" s="21" t="s">
        <v>9</v>
      </c>
      <c r="B112" s="235"/>
      <c r="C112" s="145"/>
      <c r="D112" s="166"/>
      <c r="E112" s="27"/>
      <c r="F112" s="235"/>
      <c r="G112" s="145"/>
      <c r="H112" s="166"/>
      <c r="I112" s="27"/>
      <c r="J112" s="290"/>
      <c r="K112" s="44"/>
      <c r="L112" s="257"/>
      <c r="M112" s="27"/>
      <c r="O112" s="148"/>
    </row>
    <row r="113" spans="1:15" x14ac:dyDescent="0.2">
      <c r="A113" s="21" t="s">
        <v>10</v>
      </c>
      <c r="B113" s="235"/>
      <c r="C113" s="145"/>
      <c r="D113" s="166"/>
      <c r="E113" s="27"/>
      <c r="F113" s="235"/>
      <c r="G113" s="145"/>
      <c r="H113" s="166"/>
      <c r="I113" s="27"/>
      <c r="J113" s="290"/>
      <c r="K113" s="44"/>
      <c r="L113" s="257"/>
      <c r="M113" s="27"/>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c r="C116" s="235"/>
      <c r="D116" s="166"/>
      <c r="E116" s="27"/>
      <c r="F116" s="235"/>
      <c r="G116" s="235"/>
      <c r="H116" s="166"/>
      <c r="I116" s="27"/>
      <c r="J116" s="290"/>
      <c r="K116" s="44"/>
      <c r="L116" s="257"/>
      <c r="M116" s="27"/>
      <c r="O116" s="148"/>
    </row>
    <row r="117" spans="1:15" ht="15.75" x14ac:dyDescent="0.2">
      <c r="A117" s="21" t="s">
        <v>399</v>
      </c>
      <c r="B117" s="235"/>
      <c r="C117" s="235"/>
      <c r="D117" s="166"/>
      <c r="E117" s="27"/>
      <c r="F117" s="235"/>
      <c r="G117" s="235"/>
      <c r="H117" s="166"/>
      <c r="I117" s="27"/>
      <c r="J117" s="290"/>
      <c r="K117" s="44"/>
      <c r="L117" s="257"/>
      <c r="M117" s="27"/>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c r="C119" s="159"/>
      <c r="D119" s="171"/>
      <c r="E119" s="11"/>
      <c r="F119" s="311"/>
      <c r="G119" s="159"/>
      <c r="H119" s="171"/>
      <c r="I119" s="11"/>
      <c r="J119" s="312"/>
      <c r="K119" s="237"/>
      <c r="L119" s="432"/>
      <c r="M119" s="11"/>
      <c r="O119" s="148"/>
    </row>
    <row r="120" spans="1:15" x14ac:dyDescent="0.2">
      <c r="A120" s="21" t="s">
        <v>9</v>
      </c>
      <c r="B120" s="235"/>
      <c r="C120" s="145"/>
      <c r="D120" s="166"/>
      <c r="E120" s="27"/>
      <c r="F120" s="235"/>
      <c r="G120" s="145"/>
      <c r="H120" s="166"/>
      <c r="I120" s="27"/>
      <c r="J120" s="290"/>
      <c r="K120" s="44"/>
      <c r="L120" s="257"/>
      <c r="M120" s="27"/>
      <c r="O120" s="148"/>
    </row>
    <row r="121" spans="1:15" x14ac:dyDescent="0.2">
      <c r="A121" s="21" t="s">
        <v>10</v>
      </c>
      <c r="B121" s="235"/>
      <c r="C121" s="145"/>
      <c r="D121" s="166"/>
      <c r="E121" s="27"/>
      <c r="F121" s="235"/>
      <c r="G121" s="145"/>
      <c r="H121" s="166"/>
      <c r="I121" s="27"/>
      <c r="J121" s="290"/>
      <c r="K121" s="44"/>
      <c r="L121" s="257"/>
      <c r="M121" s="27"/>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c r="G125" s="235"/>
      <c r="H125" s="166"/>
      <c r="I125" s="27"/>
      <c r="J125" s="290"/>
      <c r="K125" s="44"/>
      <c r="L125" s="257"/>
      <c r="M125" s="27"/>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106" priority="132">
      <formula>kvartal &lt; 4</formula>
    </cfRule>
  </conditionalFormatting>
  <conditionalFormatting sqref="B69">
    <cfRule type="expression" dxfId="1105" priority="100">
      <formula>kvartal &lt; 4</formula>
    </cfRule>
  </conditionalFormatting>
  <conditionalFormatting sqref="C69">
    <cfRule type="expression" dxfId="1104" priority="99">
      <formula>kvartal &lt; 4</formula>
    </cfRule>
  </conditionalFormatting>
  <conditionalFormatting sqref="B72">
    <cfRule type="expression" dxfId="1103" priority="98">
      <formula>kvartal &lt; 4</formula>
    </cfRule>
  </conditionalFormatting>
  <conditionalFormatting sqref="C72">
    <cfRule type="expression" dxfId="1102" priority="97">
      <formula>kvartal &lt; 4</formula>
    </cfRule>
  </conditionalFormatting>
  <conditionalFormatting sqref="B80">
    <cfRule type="expression" dxfId="1101" priority="96">
      <formula>kvartal &lt; 4</formula>
    </cfRule>
  </conditionalFormatting>
  <conditionalFormatting sqref="C80">
    <cfRule type="expression" dxfId="1100" priority="95">
      <formula>kvartal &lt; 4</formula>
    </cfRule>
  </conditionalFormatting>
  <conditionalFormatting sqref="B83">
    <cfRule type="expression" dxfId="1099" priority="94">
      <formula>kvartal &lt; 4</formula>
    </cfRule>
  </conditionalFormatting>
  <conditionalFormatting sqref="C83">
    <cfRule type="expression" dxfId="1098" priority="93">
      <formula>kvartal &lt; 4</formula>
    </cfRule>
  </conditionalFormatting>
  <conditionalFormatting sqref="B90">
    <cfRule type="expression" dxfId="1097" priority="84">
      <formula>kvartal &lt; 4</formula>
    </cfRule>
  </conditionalFormatting>
  <conditionalFormatting sqref="C90">
    <cfRule type="expression" dxfId="1096" priority="83">
      <formula>kvartal &lt; 4</formula>
    </cfRule>
  </conditionalFormatting>
  <conditionalFormatting sqref="B93">
    <cfRule type="expression" dxfId="1095" priority="82">
      <formula>kvartal &lt; 4</formula>
    </cfRule>
  </conditionalFormatting>
  <conditionalFormatting sqref="C93">
    <cfRule type="expression" dxfId="1094" priority="81">
      <formula>kvartal &lt; 4</formula>
    </cfRule>
  </conditionalFormatting>
  <conditionalFormatting sqref="B101">
    <cfRule type="expression" dxfId="1093" priority="80">
      <formula>kvartal &lt; 4</formula>
    </cfRule>
  </conditionalFormatting>
  <conditionalFormatting sqref="C101">
    <cfRule type="expression" dxfId="1092" priority="79">
      <formula>kvartal &lt; 4</formula>
    </cfRule>
  </conditionalFormatting>
  <conditionalFormatting sqref="B104">
    <cfRule type="expression" dxfId="1091" priority="78">
      <formula>kvartal &lt; 4</formula>
    </cfRule>
  </conditionalFormatting>
  <conditionalFormatting sqref="C104">
    <cfRule type="expression" dxfId="1090" priority="77">
      <formula>kvartal &lt; 4</formula>
    </cfRule>
  </conditionalFormatting>
  <conditionalFormatting sqref="B115">
    <cfRule type="expression" dxfId="1089" priority="76">
      <formula>kvartal &lt; 4</formula>
    </cfRule>
  </conditionalFormatting>
  <conditionalFormatting sqref="C115">
    <cfRule type="expression" dxfId="1088" priority="75">
      <formula>kvartal &lt; 4</formula>
    </cfRule>
  </conditionalFormatting>
  <conditionalFormatting sqref="B123">
    <cfRule type="expression" dxfId="1087" priority="74">
      <formula>kvartal &lt; 4</formula>
    </cfRule>
  </conditionalFormatting>
  <conditionalFormatting sqref="C123">
    <cfRule type="expression" dxfId="1086" priority="73">
      <formula>kvartal &lt; 4</formula>
    </cfRule>
  </conditionalFormatting>
  <conditionalFormatting sqref="F70">
    <cfRule type="expression" dxfId="1085" priority="72">
      <formula>kvartal &lt; 4</formula>
    </cfRule>
  </conditionalFormatting>
  <conditionalFormatting sqref="G70">
    <cfRule type="expression" dxfId="1084" priority="71">
      <formula>kvartal &lt; 4</formula>
    </cfRule>
  </conditionalFormatting>
  <conditionalFormatting sqref="F71:G71">
    <cfRule type="expression" dxfId="1083" priority="70">
      <formula>kvartal &lt; 4</formula>
    </cfRule>
  </conditionalFormatting>
  <conditionalFormatting sqref="F73:G74">
    <cfRule type="expression" dxfId="1082" priority="69">
      <formula>kvartal &lt; 4</formula>
    </cfRule>
  </conditionalFormatting>
  <conditionalFormatting sqref="F81:G82">
    <cfRule type="expression" dxfId="1081" priority="68">
      <formula>kvartal &lt; 4</formula>
    </cfRule>
  </conditionalFormatting>
  <conditionalFormatting sqref="F84:G85">
    <cfRule type="expression" dxfId="1080" priority="67">
      <formula>kvartal &lt; 4</formula>
    </cfRule>
  </conditionalFormatting>
  <conditionalFormatting sqref="F91:G92">
    <cfRule type="expression" dxfId="1079" priority="62">
      <formula>kvartal &lt; 4</formula>
    </cfRule>
  </conditionalFormatting>
  <conditionalFormatting sqref="F94:G95">
    <cfRule type="expression" dxfId="1078" priority="61">
      <formula>kvartal &lt; 4</formula>
    </cfRule>
  </conditionalFormatting>
  <conditionalFormatting sqref="F102:G103">
    <cfRule type="expression" dxfId="1077" priority="60">
      <formula>kvartal &lt; 4</formula>
    </cfRule>
  </conditionalFormatting>
  <conditionalFormatting sqref="F105:G106">
    <cfRule type="expression" dxfId="1076" priority="59">
      <formula>kvartal &lt; 4</formula>
    </cfRule>
  </conditionalFormatting>
  <conditionalFormatting sqref="F115">
    <cfRule type="expression" dxfId="1075" priority="58">
      <formula>kvartal &lt; 4</formula>
    </cfRule>
  </conditionalFormatting>
  <conditionalFormatting sqref="G115">
    <cfRule type="expression" dxfId="1074" priority="57">
      <formula>kvartal &lt; 4</formula>
    </cfRule>
  </conditionalFormatting>
  <conditionalFormatting sqref="F123:G123">
    <cfRule type="expression" dxfId="1073" priority="56">
      <formula>kvartal &lt; 4</formula>
    </cfRule>
  </conditionalFormatting>
  <conditionalFormatting sqref="F69:G69">
    <cfRule type="expression" dxfId="1072" priority="55">
      <formula>kvartal &lt; 4</formula>
    </cfRule>
  </conditionalFormatting>
  <conditionalFormatting sqref="F72:G72">
    <cfRule type="expression" dxfId="1071" priority="54">
      <formula>kvartal &lt; 4</formula>
    </cfRule>
  </conditionalFormatting>
  <conditionalFormatting sqref="F80:G80">
    <cfRule type="expression" dxfId="1070" priority="53">
      <formula>kvartal &lt; 4</formula>
    </cfRule>
  </conditionalFormatting>
  <conditionalFormatting sqref="F83:G83">
    <cfRule type="expression" dxfId="1069" priority="52">
      <formula>kvartal &lt; 4</formula>
    </cfRule>
  </conditionalFormatting>
  <conditionalFormatting sqref="F90:G90">
    <cfRule type="expression" dxfId="1068" priority="46">
      <formula>kvartal &lt; 4</formula>
    </cfRule>
  </conditionalFormatting>
  <conditionalFormatting sqref="F93">
    <cfRule type="expression" dxfId="1067" priority="45">
      <formula>kvartal &lt; 4</formula>
    </cfRule>
  </conditionalFormatting>
  <conditionalFormatting sqref="G93">
    <cfRule type="expression" dxfId="1066" priority="44">
      <formula>kvartal &lt; 4</formula>
    </cfRule>
  </conditionalFormatting>
  <conditionalFormatting sqref="F101">
    <cfRule type="expression" dxfId="1065" priority="43">
      <formula>kvartal &lt; 4</formula>
    </cfRule>
  </conditionalFormatting>
  <conditionalFormatting sqref="G101">
    <cfRule type="expression" dxfId="1064" priority="42">
      <formula>kvartal &lt; 4</formula>
    </cfRule>
  </conditionalFormatting>
  <conditionalFormatting sqref="G104">
    <cfRule type="expression" dxfId="1063" priority="41">
      <formula>kvartal &lt; 4</formula>
    </cfRule>
  </conditionalFormatting>
  <conditionalFormatting sqref="F104">
    <cfRule type="expression" dxfId="1062" priority="40">
      <formula>kvartal &lt; 4</formula>
    </cfRule>
  </conditionalFormatting>
  <conditionalFormatting sqref="J69:K73">
    <cfRule type="expression" dxfId="1061" priority="39">
      <formula>kvartal &lt; 4</formula>
    </cfRule>
  </conditionalFormatting>
  <conditionalFormatting sqref="J74:K74">
    <cfRule type="expression" dxfId="1060" priority="38">
      <formula>kvartal &lt; 4</formula>
    </cfRule>
  </conditionalFormatting>
  <conditionalFormatting sqref="J80:K85">
    <cfRule type="expression" dxfId="1059" priority="37">
      <formula>kvartal &lt; 4</formula>
    </cfRule>
  </conditionalFormatting>
  <conditionalFormatting sqref="J90:K95">
    <cfRule type="expression" dxfId="1058" priority="34">
      <formula>kvartal &lt; 4</formula>
    </cfRule>
  </conditionalFormatting>
  <conditionalFormatting sqref="J101:K106">
    <cfRule type="expression" dxfId="1057" priority="33">
      <formula>kvartal &lt; 4</formula>
    </cfRule>
  </conditionalFormatting>
  <conditionalFormatting sqref="J115:K115">
    <cfRule type="expression" dxfId="1056" priority="32">
      <formula>kvartal &lt; 4</formula>
    </cfRule>
  </conditionalFormatting>
  <conditionalFormatting sqref="J123:K123">
    <cfRule type="expression" dxfId="1055" priority="31">
      <formula>kvartal &lt; 4</formula>
    </cfRule>
  </conditionalFormatting>
  <conditionalFormatting sqref="A50:A52">
    <cfRule type="expression" dxfId="1054" priority="12">
      <formula>kvartal &lt; 4</formula>
    </cfRule>
  </conditionalFormatting>
  <conditionalFormatting sqref="A69:A74">
    <cfRule type="expression" dxfId="1053" priority="10">
      <formula>kvartal &lt; 4</formula>
    </cfRule>
  </conditionalFormatting>
  <conditionalFormatting sqref="A80:A85">
    <cfRule type="expression" dxfId="1052" priority="9">
      <formula>kvartal &lt; 4</formula>
    </cfRule>
  </conditionalFormatting>
  <conditionalFormatting sqref="A90:A95">
    <cfRule type="expression" dxfId="1051" priority="6">
      <formula>kvartal &lt; 4</formula>
    </cfRule>
  </conditionalFormatting>
  <conditionalFormatting sqref="A101:A106">
    <cfRule type="expression" dxfId="1050" priority="5">
      <formula>kvartal &lt; 4</formula>
    </cfRule>
  </conditionalFormatting>
  <conditionalFormatting sqref="A115">
    <cfRule type="expression" dxfId="1049" priority="4">
      <formula>kvartal &lt; 4</formula>
    </cfRule>
  </conditionalFormatting>
  <conditionalFormatting sqref="A123">
    <cfRule type="expression" dxfId="1048" priority="3">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O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138</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v>233987.46599999999</v>
      </c>
      <c r="C7" s="310">
        <v>243842.42300000001</v>
      </c>
      <c r="D7" s="354">
        <f>IF(B7=0, "    ---- ", IF(ABS(ROUND(100/B7*C7-100,1))&lt;999,ROUND(100/B7*C7-100,1),IF(ROUND(100/B7*C7-100,1)&gt;999,999,-999)))</f>
        <v>4.2</v>
      </c>
      <c r="E7" s="11">
        <f>IFERROR(100/'Skjema total MA'!C7*C7,0)</f>
        <v>6.9339286150200463</v>
      </c>
      <c r="F7" s="309"/>
      <c r="G7" s="310"/>
      <c r="H7" s="354"/>
      <c r="I7" s="160"/>
      <c r="J7" s="311">
        <f t="shared" ref="J7:K9" si="0">SUM(B7,F7)</f>
        <v>233987.46599999999</v>
      </c>
      <c r="K7" s="312">
        <f t="shared" si="0"/>
        <v>243842.42300000001</v>
      </c>
      <c r="L7" s="431">
        <f>IF(J7=0, "    ---- ", IF(ABS(ROUND(100/J7*K7-100,1))&lt;999,ROUND(100/J7*K7-100,1),IF(ROUND(100/J7*K7-100,1)&gt;999,999,-999)))</f>
        <v>4.2</v>
      </c>
      <c r="M7" s="11">
        <f>IFERROR(100/'Skjema total MA'!I7*K7,0)</f>
        <v>2.7052078815636817</v>
      </c>
      <c r="O7" s="148"/>
    </row>
    <row r="8" spans="1:15" ht="15.75" x14ac:dyDescent="0.2">
      <c r="A8" s="21" t="s">
        <v>25</v>
      </c>
      <c r="B8" s="284">
        <v>146394.90599999999</v>
      </c>
      <c r="C8" s="285">
        <v>157305.25899999999</v>
      </c>
      <c r="D8" s="166">
        <f t="shared" ref="D8:D9" si="1">IF(B8=0, "    ---- ", IF(ABS(ROUND(100/B8*C8-100,1))&lt;999,ROUND(100/B8*C8-100,1),IF(ROUND(100/B8*C8-100,1)&gt;999,999,-999)))</f>
        <v>7.5</v>
      </c>
      <c r="E8" s="27">
        <f>IFERROR(100/'Skjema total MA'!C8*C8,0)</f>
        <v>7.4785476674037756</v>
      </c>
      <c r="F8" s="288"/>
      <c r="G8" s="289"/>
      <c r="H8" s="166"/>
      <c r="I8" s="176"/>
      <c r="J8" s="235">
        <f t="shared" si="0"/>
        <v>146394.90599999999</v>
      </c>
      <c r="K8" s="290">
        <f t="shared" si="0"/>
        <v>157305.25899999999</v>
      </c>
      <c r="L8" s="432">
        <f t="shared" ref="L8:L9" si="2">IF(J8=0, "    ---- ", IF(ABS(ROUND(100/J8*K8-100,1))&lt;999,ROUND(100/J8*K8-100,1),IF(ROUND(100/J8*K8-100,1)&gt;999,999,-999)))</f>
        <v>7.5</v>
      </c>
      <c r="M8" s="27">
        <f>IFERROR(100/'Skjema total MA'!I8*K8,0)</f>
        <v>7.4785476674037756</v>
      </c>
      <c r="O8" s="148"/>
    </row>
    <row r="9" spans="1:15" ht="15.75" x14ac:dyDescent="0.2">
      <c r="A9" s="21" t="s">
        <v>24</v>
      </c>
      <c r="B9" s="284">
        <v>87592.56</v>
      </c>
      <c r="C9" s="285">
        <v>86537.164000000004</v>
      </c>
      <c r="D9" s="166">
        <f t="shared" si="1"/>
        <v>-1.2</v>
      </c>
      <c r="E9" s="27">
        <f>IFERROR(100/'Skjema total MA'!C9*C9,0)</f>
        <v>11.068679159772646</v>
      </c>
      <c r="F9" s="288"/>
      <c r="G9" s="289"/>
      <c r="H9" s="166"/>
      <c r="I9" s="176"/>
      <c r="J9" s="235">
        <f t="shared" si="0"/>
        <v>87592.56</v>
      </c>
      <c r="K9" s="290">
        <f t="shared" si="0"/>
        <v>86537.164000000004</v>
      </c>
      <c r="L9" s="432">
        <f t="shared" si="2"/>
        <v>-1.2</v>
      </c>
      <c r="M9" s="27">
        <f>IFERROR(100/'Skjema total MA'!I9*K9,0)</f>
        <v>11.068679159772646</v>
      </c>
      <c r="O9" s="148"/>
    </row>
    <row r="10" spans="1:15" ht="15.75" x14ac:dyDescent="0.2">
      <c r="A10" s="13" t="s">
        <v>376</v>
      </c>
      <c r="B10" s="313"/>
      <c r="C10" s="314"/>
      <c r="D10" s="171"/>
      <c r="E10" s="11"/>
      <c r="F10" s="313"/>
      <c r="G10" s="314"/>
      <c r="H10" s="171"/>
      <c r="I10" s="160"/>
      <c r="J10" s="311"/>
      <c r="K10" s="312"/>
      <c r="L10" s="432"/>
      <c r="M10" s="11"/>
      <c r="O10" s="148"/>
    </row>
    <row r="11" spans="1:15" s="43" customFormat="1" ht="15.75" x14ac:dyDescent="0.2">
      <c r="A11" s="13" t="s">
        <v>377</v>
      </c>
      <c r="B11" s="313"/>
      <c r="C11" s="314"/>
      <c r="D11" s="171"/>
      <c r="E11" s="11"/>
      <c r="F11" s="313"/>
      <c r="G11" s="314"/>
      <c r="H11" s="171"/>
      <c r="I11" s="160"/>
      <c r="J11" s="311"/>
      <c r="K11" s="312"/>
      <c r="L11" s="432"/>
      <c r="M11" s="11"/>
      <c r="N11" s="143"/>
      <c r="O11" s="148"/>
    </row>
    <row r="12" spans="1:15" s="43" customFormat="1" ht="15.75" x14ac:dyDescent="0.2">
      <c r="A12" s="41" t="s">
        <v>378</v>
      </c>
      <c r="B12" s="315"/>
      <c r="C12" s="316"/>
      <c r="D12" s="169"/>
      <c r="E12" s="36"/>
      <c r="F12" s="315"/>
      <c r="G12" s="316"/>
      <c r="H12" s="169"/>
      <c r="I12" s="169"/>
      <c r="J12" s="317"/>
      <c r="K12" s="318"/>
      <c r="L12" s="433"/>
      <c r="M12" s="36"/>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c r="C22" s="319"/>
      <c r="D22" s="354"/>
      <c r="E22" s="11"/>
      <c r="F22" s="321"/>
      <c r="G22" s="321"/>
      <c r="H22" s="354"/>
      <c r="I22" s="11"/>
      <c r="J22" s="319"/>
      <c r="K22" s="319"/>
      <c r="L22" s="431"/>
      <c r="M22" s="24"/>
      <c r="O22" s="148"/>
    </row>
    <row r="23" spans="1:15" ht="15.75" x14ac:dyDescent="0.2">
      <c r="A23" s="619" t="s">
        <v>379</v>
      </c>
      <c r="B23" s="284"/>
      <c r="C23" s="284"/>
      <c r="D23" s="166"/>
      <c r="E23" s="11"/>
      <c r="F23" s="293"/>
      <c r="G23" s="293"/>
      <c r="H23" s="166"/>
      <c r="I23" s="421"/>
      <c r="J23" s="293"/>
      <c r="K23" s="293"/>
      <c r="L23" s="166"/>
      <c r="M23" s="23"/>
      <c r="O23" s="148"/>
    </row>
    <row r="24" spans="1:15" ht="15.75" x14ac:dyDescent="0.2">
      <c r="A24" s="619" t="s">
        <v>380</v>
      </c>
      <c r="B24" s="284"/>
      <c r="C24" s="284"/>
      <c r="D24" s="166"/>
      <c r="E24" s="11"/>
      <c r="F24" s="293"/>
      <c r="G24" s="293"/>
      <c r="H24" s="166"/>
      <c r="I24" s="421"/>
      <c r="J24" s="293"/>
      <c r="K24" s="293"/>
      <c r="L24" s="166"/>
      <c r="M24" s="23"/>
      <c r="O24" s="148"/>
    </row>
    <row r="25" spans="1:15" ht="15.75" x14ac:dyDescent="0.2">
      <c r="A25" s="619" t="s">
        <v>381</v>
      </c>
      <c r="B25" s="284"/>
      <c r="C25" s="284"/>
      <c r="D25" s="166"/>
      <c r="E25" s="11"/>
      <c r="F25" s="293"/>
      <c r="G25" s="293"/>
      <c r="H25" s="166"/>
      <c r="I25" s="421"/>
      <c r="J25" s="293"/>
      <c r="K25" s="293"/>
      <c r="L25" s="166"/>
      <c r="M25" s="23"/>
      <c r="O25" s="148"/>
    </row>
    <row r="26" spans="1:15" ht="15.75" x14ac:dyDescent="0.2">
      <c r="A26" s="619" t="s">
        <v>382</v>
      </c>
      <c r="B26" s="284"/>
      <c r="C26" s="284"/>
      <c r="D26" s="166"/>
      <c r="E26" s="11"/>
      <c r="F26" s="293"/>
      <c r="G26" s="293"/>
      <c r="H26" s="166"/>
      <c r="I26" s="421"/>
      <c r="J26" s="293"/>
      <c r="K26" s="293"/>
      <c r="L26" s="166"/>
      <c r="M26" s="23"/>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v>85097.08</v>
      </c>
      <c r="C28" s="290">
        <v>97070.592999999993</v>
      </c>
      <c r="D28" s="166">
        <f t="shared" ref="D28" si="3">IF(B28=0, "    ---- ", IF(ABS(ROUND(100/B28*C28-100,1))&lt;999,ROUND(100/B28*C28-100,1),IF(ROUND(100/B28*C28-100,1)&gt;999,999,-999)))</f>
        <v>14.1</v>
      </c>
      <c r="E28" s="11">
        <f>IFERROR(100/'Skjema total MA'!C28*C28,0)</f>
        <v>6.7870313290257105</v>
      </c>
      <c r="F28" s="235"/>
      <c r="G28" s="290"/>
      <c r="H28" s="166"/>
      <c r="I28" s="27"/>
      <c r="J28" s="44">
        <f t="shared" ref="J28:K28" si="4">SUM(B28,F28)</f>
        <v>85097.08</v>
      </c>
      <c r="K28" s="44">
        <f t="shared" si="4"/>
        <v>97070.592999999993</v>
      </c>
      <c r="L28" s="257">
        <f t="shared" ref="L28" si="5">IF(J28=0, "    ---- ", IF(ABS(ROUND(100/J28*K28-100,1))&lt;999,ROUND(100/J28*K28-100,1),IF(ROUND(100/J28*K28-100,1)&gt;999,999,-999)))</f>
        <v>14.1</v>
      </c>
      <c r="M28" s="23">
        <f>IFERROR(100/'Skjema total MA'!I28*K28,0)</f>
        <v>6.7870313290257105</v>
      </c>
      <c r="O28" s="148"/>
    </row>
    <row r="29" spans="1:15" s="3" customFormat="1" ht="15.75" x14ac:dyDescent="0.2">
      <c r="A29" s="13" t="s">
        <v>376</v>
      </c>
      <c r="B29" s="237"/>
      <c r="C29" s="237"/>
      <c r="D29" s="171"/>
      <c r="E29" s="11"/>
      <c r="F29" s="311"/>
      <c r="G29" s="311"/>
      <c r="H29" s="171"/>
      <c r="I29" s="11"/>
      <c r="J29" s="237"/>
      <c r="K29" s="237"/>
      <c r="L29" s="432"/>
      <c r="M29" s="24"/>
      <c r="N29" s="148"/>
      <c r="O29" s="148"/>
    </row>
    <row r="30" spans="1:15" s="3" customFormat="1" ht="15.75" x14ac:dyDescent="0.2">
      <c r="A30" s="619" t="s">
        <v>379</v>
      </c>
      <c r="B30" s="284"/>
      <c r="C30" s="284"/>
      <c r="D30" s="166"/>
      <c r="E30" s="11"/>
      <c r="F30" s="293"/>
      <c r="G30" s="293"/>
      <c r="H30" s="166"/>
      <c r="I30" s="421"/>
      <c r="J30" s="293"/>
      <c r="K30" s="293"/>
      <c r="L30" s="166"/>
      <c r="M30" s="23"/>
      <c r="N30" s="148"/>
      <c r="O30" s="148"/>
    </row>
    <row r="31" spans="1:15" s="3" customFormat="1" ht="15.75" x14ac:dyDescent="0.2">
      <c r="A31" s="619" t="s">
        <v>380</v>
      </c>
      <c r="B31" s="284"/>
      <c r="C31" s="284"/>
      <c r="D31" s="166"/>
      <c r="E31" s="11"/>
      <c r="F31" s="293"/>
      <c r="G31" s="293"/>
      <c r="H31" s="166"/>
      <c r="I31" s="421"/>
      <c r="J31" s="293"/>
      <c r="K31" s="293"/>
      <c r="L31" s="166"/>
      <c r="M31" s="23"/>
      <c r="N31" s="148"/>
      <c r="O31" s="148"/>
    </row>
    <row r="32" spans="1:15" ht="15.75" x14ac:dyDescent="0.2">
      <c r="A32" s="619" t="s">
        <v>381</v>
      </c>
      <c r="B32" s="284"/>
      <c r="C32" s="284"/>
      <c r="D32" s="166"/>
      <c r="E32" s="11"/>
      <c r="F32" s="293"/>
      <c r="G32" s="293"/>
      <c r="H32" s="166"/>
      <c r="I32" s="421"/>
      <c r="J32" s="293"/>
      <c r="K32" s="293"/>
      <c r="L32" s="166"/>
      <c r="M32" s="23"/>
      <c r="O32" s="148"/>
    </row>
    <row r="33" spans="1:15" ht="15.75" x14ac:dyDescent="0.2">
      <c r="A33" s="619" t="s">
        <v>382</v>
      </c>
      <c r="B33" s="284"/>
      <c r="C33" s="284"/>
      <c r="D33" s="166"/>
      <c r="E33" s="11"/>
      <c r="F33" s="293"/>
      <c r="G33" s="293"/>
      <c r="H33" s="166"/>
      <c r="I33" s="421"/>
      <c r="J33" s="293"/>
      <c r="K33" s="293"/>
      <c r="L33" s="166"/>
      <c r="M33" s="23"/>
      <c r="O33" s="148"/>
    </row>
    <row r="34" spans="1:15" ht="15.75" x14ac:dyDescent="0.2">
      <c r="A34" s="13" t="s">
        <v>377</v>
      </c>
      <c r="B34" s="237"/>
      <c r="C34" s="312"/>
      <c r="D34" s="171"/>
      <c r="E34" s="11"/>
      <c r="F34" s="311"/>
      <c r="G34" s="312"/>
      <c r="H34" s="171"/>
      <c r="I34" s="11"/>
      <c r="J34" s="237"/>
      <c r="K34" s="237"/>
      <c r="L34" s="432"/>
      <c r="M34" s="24"/>
      <c r="O34" s="148"/>
    </row>
    <row r="35" spans="1:15" ht="15.75" x14ac:dyDescent="0.2">
      <c r="A35" s="13" t="s">
        <v>378</v>
      </c>
      <c r="B35" s="237"/>
      <c r="C35" s="312"/>
      <c r="D35" s="171"/>
      <c r="E35" s="11"/>
      <c r="F35" s="311"/>
      <c r="G35" s="312"/>
      <c r="H35" s="171"/>
      <c r="I35" s="11"/>
      <c r="J35" s="237"/>
      <c r="K35" s="237"/>
      <c r="L35" s="432"/>
      <c r="M35" s="24"/>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v>115391</v>
      </c>
      <c r="C47" s="314">
        <v>111090.783</v>
      </c>
      <c r="D47" s="431">
        <f t="shared" ref="D47:D57" si="6">IF(B47=0, "    ---- ", IF(ABS(ROUND(100/B47*C47-100,1))&lt;999,ROUND(100/B47*C47-100,1),IF(ROUND(100/B47*C47-100,1)&gt;999,999,-999)))</f>
        <v>-3.7</v>
      </c>
      <c r="E47" s="11">
        <f>IFERROR(100/'Skjema total MA'!C47*C47,0)</f>
        <v>3.0106935435493867</v>
      </c>
      <c r="F47" s="145"/>
      <c r="G47" s="33"/>
      <c r="H47" s="159"/>
      <c r="I47" s="159"/>
      <c r="J47" s="37"/>
      <c r="K47" s="37"/>
      <c r="L47" s="159"/>
      <c r="M47" s="159"/>
      <c r="N47" s="148"/>
      <c r="O47" s="148"/>
    </row>
    <row r="48" spans="1:15" s="3" customFormat="1" ht="15.75" x14ac:dyDescent="0.2">
      <c r="A48" s="38" t="s">
        <v>387</v>
      </c>
      <c r="B48" s="284">
        <v>115391</v>
      </c>
      <c r="C48" s="285">
        <v>111090.783</v>
      </c>
      <c r="D48" s="257">
        <f t="shared" si="6"/>
        <v>-3.7</v>
      </c>
      <c r="E48" s="27">
        <f>IFERROR(100/'Skjema total MA'!C48*C48,0)</f>
        <v>5.316882414833076</v>
      </c>
      <c r="F48" s="145"/>
      <c r="G48" s="33"/>
      <c r="H48" s="145"/>
      <c r="I48" s="145"/>
      <c r="J48" s="33"/>
      <c r="K48" s="33"/>
      <c r="L48" s="159"/>
      <c r="M48" s="159"/>
      <c r="N48" s="148"/>
      <c r="O48" s="148"/>
    </row>
    <row r="49" spans="1:15" s="3" customFormat="1" ht="15.75" x14ac:dyDescent="0.2">
      <c r="A49" s="38" t="s">
        <v>388</v>
      </c>
      <c r="B49" s="44"/>
      <c r="C49" s="290"/>
      <c r="D49" s="257"/>
      <c r="E49" s="27"/>
      <c r="F49" s="145"/>
      <c r="G49" s="33"/>
      <c r="H49" s="145"/>
      <c r="I49" s="145"/>
      <c r="J49" s="37"/>
      <c r="K49" s="37"/>
      <c r="L49" s="159"/>
      <c r="M49" s="159"/>
      <c r="N49" s="148"/>
      <c r="O49" s="148"/>
    </row>
    <row r="50" spans="1:15" s="3" customFormat="1" x14ac:dyDescent="0.2">
      <c r="A50" s="299" t="s">
        <v>6</v>
      </c>
      <c r="B50" s="293" t="s">
        <v>422</v>
      </c>
      <c r="C50" s="294" t="s">
        <v>422</v>
      </c>
      <c r="D50" s="257"/>
      <c r="E50" s="23"/>
      <c r="F50" s="145"/>
      <c r="G50" s="33"/>
      <c r="H50" s="145"/>
      <c r="I50" s="145"/>
      <c r="J50" s="33"/>
      <c r="K50" s="33"/>
      <c r="L50" s="159"/>
      <c r="M50" s="159"/>
      <c r="N50" s="148"/>
      <c r="O50" s="148"/>
    </row>
    <row r="51" spans="1:15" s="3" customFormat="1" x14ac:dyDescent="0.2">
      <c r="A51" s="299" t="s">
        <v>7</v>
      </c>
      <c r="B51" s="293" t="s">
        <v>422</v>
      </c>
      <c r="C51" s="294" t="s">
        <v>422</v>
      </c>
      <c r="D51" s="257"/>
      <c r="E51" s="23"/>
      <c r="F51" s="145"/>
      <c r="G51" s="33"/>
      <c r="H51" s="145"/>
      <c r="I51" s="145"/>
      <c r="J51" s="33"/>
      <c r="K51" s="33"/>
      <c r="L51" s="159"/>
      <c r="M51" s="159"/>
      <c r="N51" s="148"/>
      <c r="O51" s="148"/>
    </row>
    <row r="52" spans="1:15" s="3" customFormat="1" x14ac:dyDescent="0.2">
      <c r="A52" s="299" t="s">
        <v>8</v>
      </c>
      <c r="B52" s="293" t="s">
        <v>422</v>
      </c>
      <c r="C52" s="294" t="s">
        <v>422</v>
      </c>
      <c r="D52" s="257"/>
      <c r="E52" s="23"/>
      <c r="F52" s="145"/>
      <c r="G52" s="33"/>
      <c r="H52" s="145"/>
      <c r="I52" s="145"/>
      <c r="J52" s="33"/>
      <c r="K52" s="33"/>
      <c r="L52" s="159"/>
      <c r="M52" s="159"/>
      <c r="N52" s="148"/>
      <c r="O52" s="148"/>
    </row>
    <row r="53" spans="1:15" s="3" customFormat="1" ht="15.75" x14ac:dyDescent="0.2">
      <c r="A53" s="39" t="s">
        <v>389</v>
      </c>
      <c r="B53" s="313">
        <v>6265</v>
      </c>
      <c r="C53" s="314">
        <v>2542.9839999999999</v>
      </c>
      <c r="D53" s="432">
        <f t="shared" si="6"/>
        <v>-59.4</v>
      </c>
      <c r="E53" s="11">
        <f>IFERROR(100/'Skjema total MA'!C53*C53,0)</f>
        <v>2.6037770916878107</v>
      </c>
      <c r="F53" s="145"/>
      <c r="G53" s="33"/>
      <c r="H53" s="145"/>
      <c r="I53" s="145"/>
      <c r="J53" s="33"/>
      <c r="K53" s="33"/>
      <c r="L53" s="159"/>
      <c r="M53" s="159"/>
      <c r="N53" s="148"/>
      <c r="O53" s="148"/>
    </row>
    <row r="54" spans="1:15" s="3" customFormat="1" ht="15.75" x14ac:dyDescent="0.2">
      <c r="A54" s="38" t="s">
        <v>387</v>
      </c>
      <c r="B54" s="284">
        <v>6265</v>
      </c>
      <c r="C54" s="285">
        <v>2542.9839999999999</v>
      </c>
      <c r="D54" s="257">
        <f t="shared" si="6"/>
        <v>-59.4</v>
      </c>
      <c r="E54" s="27">
        <f>IFERROR(100/'Skjema total MA'!C54*C54,0)</f>
        <v>2.6037770916878107</v>
      </c>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v>990</v>
      </c>
      <c r="C56" s="314">
        <v>2520.5070000000001</v>
      </c>
      <c r="D56" s="432">
        <f t="shared" si="6"/>
        <v>154.6</v>
      </c>
      <c r="E56" s="11">
        <f>IFERROR(100/'Skjema total MA'!C56*C56,0)</f>
        <v>2.366658261712034</v>
      </c>
      <c r="F56" s="145"/>
      <c r="G56" s="33"/>
      <c r="H56" s="145"/>
      <c r="I56" s="145"/>
      <c r="J56" s="33"/>
      <c r="K56" s="33"/>
      <c r="L56" s="159"/>
      <c r="M56" s="159"/>
      <c r="N56" s="148"/>
      <c r="O56" s="148"/>
    </row>
    <row r="57" spans="1:15" s="3" customFormat="1" ht="15.75" x14ac:dyDescent="0.2">
      <c r="A57" s="38" t="s">
        <v>387</v>
      </c>
      <c r="B57" s="284">
        <v>990</v>
      </c>
      <c r="C57" s="285">
        <v>2520.5070000000001</v>
      </c>
      <c r="D57" s="257">
        <f t="shared" si="6"/>
        <v>154.6</v>
      </c>
      <c r="E57" s="27">
        <f>IFERROR(100/'Skjema total MA'!C57*C57,0)</f>
        <v>2.3667309965620666</v>
      </c>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c r="C66" s="357"/>
      <c r="D66" s="354"/>
      <c r="E66" s="11"/>
      <c r="F66" s="356"/>
      <c r="G66" s="356"/>
      <c r="H66" s="354"/>
      <c r="I66" s="11"/>
      <c r="J66" s="312"/>
      <c r="K66" s="319"/>
      <c r="L66" s="432"/>
      <c r="M66" s="11"/>
      <c r="O66" s="148"/>
    </row>
    <row r="67" spans="1:15" x14ac:dyDescent="0.2">
      <c r="A67" s="423" t="s">
        <v>9</v>
      </c>
      <c r="B67" s="44"/>
      <c r="C67" s="145"/>
      <c r="D67" s="166"/>
      <c r="E67" s="27"/>
      <c r="F67" s="235"/>
      <c r="G67" s="145"/>
      <c r="H67" s="166"/>
      <c r="I67" s="27"/>
      <c r="J67" s="290"/>
      <c r="K67" s="44"/>
      <c r="L67" s="257"/>
      <c r="M67" s="27"/>
      <c r="O67" s="148"/>
    </row>
    <row r="68" spans="1:15" x14ac:dyDescent="0.2">
      <c r="A68" s="21" t="s">
        <v>10</v>
      </c>
      <c r="B68" s="295"/>
      <c r="C68" s="296"/>
      <c r="D68" s="166"/>
      <c r="E68" s="27"/>
      <c r="F68" s="295"/>
      <c r="G68" s="296"/>
      <c r="H68" s="166"/>
      <c r="I68" s="27"/>
      <c r="J68" s="290"/>
      <c r="K68" s="44"/>
      <c r="L68" s="257"/>
      <c r="M68" s="27"/>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c r="C77" s="235"/>
      <c r="D77" s="166"/>
      <c r="E77" s="27"/>
      <c r="F77" s="235"/>
      <c r="G77" s="145"/>
      <c r="H77" s="166"/>
      <c r="I77" s="27"/>
      <c r="J77" s="290"/>
      <c r="K77" s="44"/>
      <c r="L77" s="257"/>
      <c r="M77" s="27"/>
      <c r="O77" s="148"/>
    </row>
    <row r="78" spans="1:15" x14ac:dyDescent="0.2">
      <c r="A78" s="21" t="s">
        <v>9</v>
      </c>
      <c r="B78" s="235"/>
      <c r="C78" s="145"/>
      <c r="D78" s="166"/>
      <c r="E78" s="27"/>
      <c r="F78" s="235"/>
      <c r="G78" s="145"/>
      <c r="H78" s="166"/>
      <c r="I78" s="27"/>
      <c r="J78" s="290"/>
      <c r="K78" s="44"/>
      <c r="L78" s="257"/>
      <c r="M78" s="27"/>
      <c r="O78" s="148"/>
    </row>
    <row r="79" spans="1:15" x14ac:dyDescent="0.2">
      <c r="A79" s="21" t="s">
        <v>10</v>
      </c>
      <c r="B79" s="295"/>
      <c r="C79" s="296"/>
      <c r="D79" s="166"/>
      <c r="E79" s="27"/>
      <c r="F79" s="295"/>
      <c r="G79" s="296"/>
      <c r="H79" s="166"/>
      <c r="I79" s="27"/>
      <c r="J79" s="290"/>
      <c r="K79" s="44"/>
      <c r="L79" s="257"/>
      <c r="M79" s="27"/>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c r="G86" s="145"/>
      <c r="H86" s="166"/>
      <c r="I86" s="27"/>
      <c r="J86" s="290"/>
      <c r="K86" s="44"/>
      <c r="L86" s="257"/>
      <c r="M86" s="27"/>
      <c r="O86" s="148"/>
    </row>
    <row r="87" spans="1:15" ht="15.75" x14ac:dyDescent="0.2">
      <c r="A87" s="13" t="s">
        <v>376</v>
      </c>
      <c r="B87" s="357"/>
      <c r="C87" s="357"/>
      <c r="D87" s="171"/>
      <c r="E87" s="11"/>
      <c r="F87" s="356"/>
      <c r="G87" s="356"/>
      <c r="H87" s="171"/>
      <c r="I87" s="11"/>
      <c r="J87" s="312"/>
      <c r="K87" s="237"/>
      <c r="L87" s="432"/>
      <c r="M87" s="11"/>
      <c r="O87" s="148"/>
    </row>
    <row r="88" spans="1:15" x14ac:dyDescent="0.2">
      <c r="A88" s="21" t="s">
        <v>9</v>
      </c>
      <c r="B88" s="235"/>
      <c r="C88" s="145"/>
      <c r="D88" s="166"/>
      <c r="E88" s="27"/>
      <c r="F88" s="235"/>
      <c r="G88" s="145"/>
      <c r="H88" s="166"/>
      <c r="I88" s="27"/>
      <c r="J88" s="290"/>
      <c r="K88" s="44"/>
      <c r="L88" s="257"/>
      <c r="M88" s="27"/>
      <c r="O88" s="148"/>
    </row>
    <row r="89" spans="1:15" x14ac:dyDescent="0.2">
      <c r="A89" s="21" t="s">
        <v>10</v>
      </c>
      <c r="B89" s="235"/>
      <c r="C89" s="145"/>
      <c r="D89" s="166"/>
      <c r="E89" s="27"/>
      <c r="F89" s="235"/>
      <c r="G89" s="145"/>
      <c r="H89" s="166"/>
      <c r="I89" s="27"/>
      <c r="J89" s="290"/>
      <c r="K89" s="44"/>
      <c r="L89" s="257"/>
      <c r="M89" s="27"/>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c r="C98" s="235"/>
      <c r="D98" s="166"/>
      <c r="E98" s="27"/>
      <c r="F98" s="295"/>
      <c r="G98" s="295"/>
      <c r="H98" s="166"/>
      <c r="I98" s="27"/>
      <c r="J98" s="290"/>
      <c r="K98" s="44"/>
      <c r="L98" s="257"/>
      <c r="M98" s="27"/>
      <c r="O98" s="148"/>
    </row>
    <row r="99" spans="1:15" x14ac:dyDescent="0.2">
      <c r="A99" s="21" t="s">
        <v>9</v>
      </c>
      <c r="B99" s="295"/>
      <c r="C99" s="296"/>
      <c r="D99" s="166"/>
      <c r="E99" s="27"/>
      <c r="F99" s="235"/>
      <c r="G99" s="145"/>
      <c r="H99" s="166"/>
      <c r="I99" s="27"/>
      <c r="J99" s="290"/>
      <c r="K99" s="44"/>
      <c r="L99" s="257"/>
      <c r="M99" s="27"/>
      <c r="O99" s="148"/>
    </row>
    <row r="100" spans="1:15" x14ac:dyDescent="0.2">
      <c r="A100" s="21" t="s">
        <v>10</v>
      </c>
      <c r="B100" s="295"/>
      <c r="C100" s="296"/>
      <c r="D100" s="166"/>
      <c r="E100" s="27"/>
      <c r="F100" s="235"/>
      <c r="G100" s="235"/>
      <c r="H100" s="166"/>
      <c r="I100" s="27"/>
      <c r="J100" s="290"/>
      <c r="K100" s="44"/>
      <c r="L100" s="257"/>
      <c r="M100" s="27"/>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c r="G107" s="145"/>
      <c r="H107" s="166"/>
      <c r="I107" s="27"/>
      <c r="J107" s="290"/>
      <c r="K107" s="44"/>
      <c r="L107" s="257"/>
      <c r="M107" s="27"/>
      <c r="O107" s="148"/>
    </row>
    <row r="108" spans="1:15" ht="15.75" x14ac:dyDescent="0.2">
      <c r="A108" s="21" t="s">
        <v>395</v>
      </c>
      <c r="B108" s="235"/>
      <c r="C108" s="235"/>
      <c r="D108" s="166"/>
      <c r="E108" s="27"/>
      <c r="F108" s="235"/>
      <c r="G108" s="235"/>
      <c r="H108" s="166"/>
      <c r="I108" s="27"/>
      <c r="J108" s="290"/>
      <c r="K108" s="44"/>
      <c r="L108" s="257"/>
      <c r="M108" s="27"/>
      <c r="O108" s="148"/>
    </row>
    <row r="109" spans="1:15" ht="15.75" x14ac:dyDescent="0.2">
      <c r="A109" s="21" t="s">
        <v>396</v>
      </c>
      <c r="B109" s="235"/>
      <c r="C109" s="235"/>
      <c r="D109" s="166"/>
      <c r="E109" s="27"/>
      <c r="F109" s="235"/>
      <c r="G109" s="235"/>
      <c r="H109" s="166"/>
      <c r="I109" s="27"/>
      <c r="J109" s="290"/>
      <c r="K109" s="44"/>
      <c r="L109" s="257"/>
      <c r="M109" s="27"/>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c r="C111" s="159"/>
      <c r="D111" s="171"/>
      <c r="E111" s="11"/>
      <c r="F111" s="311"/>
      <c r="G111" s="159"/>
      <c r="H111" s="171"/>
      <c r="I111" s="11"/>
      <c r="J111" s="312"/>
      <c r="K111" s="237"/>
      <c r="L111" s="432"/>
      <c r="M111" s="11"/>
      <c r="O111" s="148"/>
    </row>
    <row r="112" spans="1:15" x14ac:dyDescent="0.2">
      <c r="A112" s="21" t="s">
        <v>9</v>
      </c>
      <c r="B112" s="235"/>
      <c r="C112" s="145"/>
      <c r="D112" s="166"/>
      <c r="E112" s="27"/>
      <c r="F112" s="235"/>
      <c r="G112" s="145"/>
      <c r="H112" s="166"/>
      <c r="I112" s="27"/>
      <c r="J112" s="290"/>
      <c r="K112" s="44"/>
      <c r="L112" s="257"/>
      <c r="M112" s="27"/>
      <c r="O112" s="148"/>
    </row>
    <row r="113" spans="1:15" x14ac:dyDescent="0.2">
      <c r="A113" s="21" t="s">
        <v>10</v>
      </c>
      <c r="B113" s="235"/>
      <c r="C113" s="145"/>
      <c r="D113" s="166"/>
      <c r="E113" s="27"/>
      <c r="F113" s="235"/>
      <c r="G113" s="145"/>
      <c r="H113" s="166"/>
      <c r="I113" s="27"/>
      <c r="J113" s="290"/>
      <c r="K113" s="44"/>
      <c r="L113" s="257"/>
      <c r="M113" s="27"/>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c r="C116" s="235"/>
      <c r="D116" s="166"/>
      <c r="E116" s="27"/>
      <c r="F116" s="235"/>
      <c r="G116" s="235"/>
      <c r="H116" s="166"/>
      <c r="I116" s="27"/>
      <c r="J116" s="290"/>
      <c r="K116" s="44"/>
      <c r="L116" s="257"/>
      <c r="M116" s="27"/>
      <c r="O116" s="148"/>
    </row>
    <row r="117" spans="1:15" ht="15.75" x14ac:dyDescent="0.2">
      <c r="A117" s="21" t="s">
        <v>399</v>
      </c>
      <c r="B117" s="235"/>
      <c r="C117" s="235"/>
      <c r="D117" s="166"/>
      <c r="E117" s="27"/>
      <c r="F117" s="235"/>
      <c r="G117" s="235"/>
      <c r="H117" s="166"/>
      <c r="I117" s="27"/>
      <c r="J117" s="290"/>
      <c r="K117" s="44"/>
      <c r="L117" s="257"/>
      <c r="M117" s="27"/>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c r="C119" s="159"/>
      <c r="D119" s="171"/>
      <c r="E119" s="11"/>
      <c r="F119" s="311"/>
      <c r="G119" s="159"/>
      <c r="H119" s="171"/>
      <c r="I119" s="11"/>
      <c r="J119" s="312"/>
      <c r="K119" s="237"/>
      <c r="L119" s="432"/>
      <c r="M119" s="11"/>
      <c r="O119" s="148"/>
    </row>
    <row r="120" spans="1:15" x14ac:dyDescent="0.2">
      <c r="A120" s="21" t="s">
        <v>9</v>
      </c>
      <c r="B120" s="235"/>
      <c r="C120" s="145"/>
      <c r="D120" s="166"/>
      <c r="E120" s="27"/>
      <c r="F120" s="235"/>
      <c r="G120" s="145"/>
      <c r="H120" s="166"/>
      <c r="I120" s="27"/>
      <c r="J120" s="290"/>
      <c r="K120" s="44"/>
      <c r="L120" s="257"/>
      <c r="M120" s="27"/>
      <c r="O120" s="148"/>
    </row>
    <row r="121" spans="1:15" x14ac:dyDescent="0.2">
      <c r="A121" s="21" t="s">
        <v>10</v>
      </c>
      <c r="B121" s="235"/>
      <c r="C121" s="145"/>
      <c r="D121" s="166"/>
      <c r="E121" s="27"/>
      <c r="F121" s="235"/>
      <c r="G121" s="145"/>
      <c r="H121" s="166"/>
      <c r="I121" s="27"/>
      <c r="J121" s="290"/>
      <c r="K121" s="44"/>
      <c r="L121" s="257"/>
      <c r="M121" s="27"/>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c r="G125" s="235"/>
      <c r="H125" s="166"/>
      <c r="I125" s="27"/>
      <c r="J125" s="290"/>
      <c r="K125" s="44"/>
      <c r="L125" s="257"/>
      <c r="M125" s="27"/>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047" priority="132">
      <formula>kvartal &lt; 4</formula>
    </cfRule>
  </conditionalFormatting>
  <conditionalFormatting sqref="B69">
    <cfRule type="expression" dxfId="1046" priority="100">
      <formula>kvartal &lt; 4</formula>
    </cfRule>
  </conditionalFormatting>
  <conditionalFormatting sqref="C69">
    <cfRule type="expression" dxfId="1045" priority="99">
      <formula>kvartal &lt; 4</formula>
    </cfRule>
  </conditionalFormatting>
  <conditionalFormatting sqref="B72">
    <cfRule type="expression" dxfId="1044" priority="98">
      <formula>kvartal &lt; 4</formula>
    </cfRule>
  </conditionalFormatting>
  <conditionalFormatting sqref="C72">
    <cfRule type="expression" dxfId="1043" priority="97">
      <formula>kvartal &lt; 4</formula>
    </cfRule>
  </conditionalFormatting>
  <conditionalFormatting sqref="B80">
    <cfRule type="expression" dxfId="1042" priority="96">
      <formula>kvartal &lt; 4</formula>
    </cfRule>
  </conditionalFormatting>
  <conditionalFormatting sqref="C80">
    <cfRule type="expression" dxfId="1041" priority="95">
      <formula>kvartal &lt; 4</formula>
    </cfRule>
  </conditionalFormatting>
  <conditionalFormatting sqref="B83">
    <cfRule type="expression" dxfId="1040" priority="94">
      <formula>kvartal &lt; 4</formula>
    </cfRule>
  </conditionalFormatting>
  <conditionalFormatting sqref="C83">
    <cfRule type="expression" dxfId="1039" priority="93">
      <formula>kvartal &lt; 4</formula>
    </cfRule>
  </conditionalFormatting>
  <conditionalFormatting sqref="B90">
    <cfRule type="expression" dxfId="1038" priority="84">
      <formula>kvartal &lt; 4</formula>
    </cfRule>
  </conditionalFormatting>
  <conditionalFormatting sqref="C90">
    <cfRule type="expression" dxfId="1037" priority="83">
      <formula>kvartal &lt; 4</formula>
    </cfRule>
  </conditionalFormatting>
  <conditionalFormatting sqref="B93">
    <cfRule type="expression" dxfId="1036" priority="82">
      <formula>kvartal &lt; 4</formula>
    </cfRule>
  </conditionalFormatting>
  <conditionalFormatting sqref="C93">
    <cfRule type="expression" dxfId="1035" priority="81">
      <formula>kvartal &lt; 4</formula>
    </cfRule>
  </conditionalFormatting>
  <conditionalFormatting sqref="B101">
    <cfRule type="expression" dxfId="1034" priority="80">
      <formula>kvartal &lt; 4</formula>
    </cfRule>
  </conditionalFormatting>
  <conditionalFormatting sqref="C101">
    <cfRule type="expression" dxfId="1033" priority="79">
      <formula>kvartal &lt; 4</formula>
    </cfRule>
  </conditionalFormatting>
  <conditionalFormatting sqref="B104">
    <cfRule type="expression" dxfId="1032" priority="78">
      <formula>kvartal &lt; 4</formula>
    </cfRule>
  </conditionalFormatting>
  <conditionalFormatting sqref="C104">
    <cfRule type="expression" dxfId="1031" priority="77">
      <formula>kvartal &lt; 4</formula>
    </cfRule>
  </conditionalFormatting>
  <conditionalFormatting sqref="B115">
    <cfRule type="expression" dxfId="1030" priority="76">
      <formula>kvartal &lt; 4</formula>
    </cfRule>
  </conditionalFormatting>
  <conditionalFormatting sqref="C115">
    <cfRule type="expression" dxfId="1029" priority="75">
      <formula>kvartal &lt; 4</formula>
    </cfRule>
  </conditionalFormatting>
  <conditionalFormatting sqref="B123">
    <cfRule type="expression" dxfId="1028" priority="74">
      <formula>kvartal &lt; 4</formula>
    </cfRule>
  </conditionalFormatting>
  <conditionalFormatting sqref="C123">
    <cfRule type="expression" dxfId="1027" priority="73">
      <formula>kvartal &lt; 4</formula>
    </cfRule>
  </conditionalFormatting>
  <conditionalFormatting sqref="F70">
    <cfRule type="expression" dxfId="1026" priority="72">
      <formula>kvartal &lt; 4</formula>
    </cfRule>
  </conditionalFormatting>
  <conditionalFormatting sqref="G70">
    <cfRule type="expression" dxfId="1025" priority="71">
      <formula>kvartal &lt; 4</formula>
    </cfRule>
  </conditionalFormatting>
  <conditionalFormatting sqref="F71:G71">
    <cfRule type="expression" dxfId="1024" priority="70">
      <formula>kvartal &lt; 4</formula>
    </cfRule>
  </conditionalFormatting>
  <conditionalFormatting sqref="F73:G74">
    <cfRule type="expression" dxfId="1023" priority="69">
      <formula>kvartal &lt; 4</formula>
    </cfRule>
  </conditionalFormatting>
  <conditionalFormatting sqref="F81:G82">
    <cfRule type="expression" dxfId="1022" priority="68">
      <formula>kvartal &lt; 4</formula>
    </cfRule>
  </conditionalFormatting>
  <conditionalFormatting sqref="F84:G85">
    <cfRule type="expression" dxfId="1021" priority="67">
      <formula>kvartal &lt; 4</formula>
    </cfRule>
  </conditionalFormatting>
  <conditionalFormatting sqref="F91:G92">
    <cfRule type="expression" dxfId="1020" priority="62">
      <formula>kvartal &lt; 4</formula>
    </cfRule>
  </conditionalFormatting>
  <conditionalFormatting sqref="F94:G95">
    <cfRule type="expression" dxfId="1019" priority="61">
      <formula>kvartal &lt; 4</formula>
    </cfRule>
  </conditionalFormatting>
  <conditionalFormatting sqref="F102:G103">
    <cfRule type="expression" dxfId="1018" priority="60">
      <formula>kvartal &lt; 4</formula>
    </cfRule>
  </conditionalFormatting>
  <conditionalFormatting sqref="F105:G106">
    <cfRule type="expression" dxfId="1017" priority="59">
      <formula>kvartal &lt; 4</formula>
    </cfRule>
  </conditionalFormatting>
  <conditionalFormatting sqref="F115">
    <cfRule type="expression" dxfId="1016" priority="58">
      <formula>kvartal &lt; 4</formula>
    </cfRule>
  </conditionalFormatting>
  <conditionalFormatting sqref="G115">
    <cfRule type="expression" dxfId="1015" priority="57">
      <formula>kvartal &lt; 4</formula>
    </cfRule>
  </conditionalFormatting>
  <conditionalFormatting sqref="F123:G123">
    <cfRule type="expression" dxfId="1014" priority="56">
      <formula>kvartal &lt; 4</formula>
    </cfRule>
  </conditionalFormatting>
  <conditionalFormatting sqref="F69:G69">
    <cfRule type="expression" dxfId="1013" priority="55">
      <formula>kvartal &lt; 4</formula>
    </cfRule>
  </conditionalFormatting>
  <conditionalFormatting sqref="F72:G72">
    <cfRule type="expression" dxfId="1012" priority="54">
      <formula>kvartal &lt; 4</formula>
    </cfRule>
  </conditionalFormatting>
  <conditionalFormatting sqref="F80:G80">
    <cfRule type="expression" dxfId="1011" priority="53">
      <formula>kvartal &lt; 4</formula>
    </cfRule>
  </conditionalFormatting>
  <conditionalFormatting sqref="F83:G83">
    <cfRule type="expression" dxfId="1010" priority="52">
      <formula>kvartal &lt; 4</formula>
    </cfRule>
  </conditionalFormatting>
  <conditionalFormatting sqref="F90:G90">
    <cfRule type="expression" dxfId="1009" priority="46">
      <formula>kvartal &lt; 4</formula>
    </cfRule>
  </conditionalFormatting>
  <conditionalFormatting sqref="F93">
    <cfRule type="expression" dxfId="1008" priority="45">
      <formula>kvartal &lt; 4</formula>
    </cfRule>
  </conditionalFormatting>
  <conditionalFormatting sqref="G93">
    <cfRule type="expression" dxfId="1007" priority="44">
      <formula>kvartal &lt; 4</formula>
    </cfRule>
  </conditionalFormatting>
  <conditionalFormatting sqref="F101">
    <cfRule type="expression" dxfId="1006" priority="43">
      <formula>kvartal &lt; 4</formula>
    </cfRule>
  </conditionalFormatting>
  <conditionalFormatting sqref="G101">
    <cfRule type="expression" dxfId="1005" priority="42">
      <formula>kvartal &lt; 4</formula>
    </cfRule>
  </conditionalFormatting>
  <conditionalFormatting sqref="G104">
    <cfRule type="expression" dxfId="1004" priority="41">
      <formula>kvartal &lt; 4</formula>
    </cfRule>
  </conditionalFormatting>
  <conditionalFormatting sqref="F104">
    <cfRule type="expression" dxfId="1003" priority="40">
      <formula>kvartal &lt; 4</formula>
    </cfRule>
  </conditionalFormatting>
  <conditionalFormatting sqref="J69:K73">
    <cfRule type="expression" dxfId="1002" priority="39">
      <formula>kvartal &lt; 4</formula>
    </cfRule>
  </conditionalFormatting>
  <conditionalFormatting sqref="J74:K74">
    <cfRule type="expression" dxfId="1001" priority="38">
      <formula>kvartal &lt; 4</formula>
    </cfRule>
  </conditionalFormatting>
  <conditionalFormatting sqref="J80:K85">
    <cfRule type="expression" dxfId="1000" priority="37">
      <formula>kvartal &lt; 4</formula>
    </cfRule>
  </conditionalFormatting>
  <conditionalFormatting sqref="J90:K95">
    <cfRule type="expression" dxfId="999" priority="34">
      <formula>kvartal &lt; 4</formula>
    </cfRule>
  </conditionalFormatting>
  <conditionalFormatting sqref="J101:K106">
    <cfRule type="expression" dxfId="998" priority="33">
      <formula>kvartal &lt; 4</formula>
    </cfRule>
  </conditionalFormatting>
  <conditionalFormatting sqref="J115:K115">
    <cfRule type="expression" dxfId="997" priority="32">
      <formula>kvartal &lt; 4</formula>
    </cfRule>
  </conditionalFormatting>
  <conditionalFormatting sqref="J123:K123">
    <cfRule type="expression" dxfId="996" priority="31">
      <formula>kvartal &lt; 4</formula>
    </cfRule>
  </conditionalFormatting>
  <conditionalFormatting sqref="A50:A52">
    <cfRule type="expression" dxfId="995" priority="12">
      <formula>kvartal &lt; 4</formula>
    </cfRule>
  </conditionalFormatting>
  <conditionalFormatting sqref="A69:A74">
    <cfRule type="expression" dxfId="994" priority="10">
      <formula>kvartal &lt; 4</formula>
    </cfRule>
  </conditionalFormatting>
  <conditionalFormatting sqref="A80:A85">
    <cfRule type="expression" dxfId="993" priority="9">
      <formula>kvartal &lt; 4</formula>
    </cfRule>
  </conditionalFormatting>
  <conditionalFormatting sqref="A90:A95">
    <cfRule type="expression" dxfId="992" priority="6">
      <formula>kvartal &lt; 4</formula>
    </cfRule>
  </conditionalFormatting>
  <conditionalFormatting sqref="A101:A106">
    <cfRule type="expression" dxfId="991" priority="5">
      <formula>kvartal &lt; 4</formula>
    </cfRule>
  </conditionalFormatting>
  <conditionalFormatting sqref="A115">
    <cfRule type="expression" dxfId="990" priority="4">
      <formula>kvartal &lt; 4</formula>
    </cfRule>
  </conditionalFormatting>
  <conditionalFormatting sqref="A123">
    <cfRule type="expression" dxfId="989" priority="3">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O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64</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c r="C7" s="310"/>
      <c r="D7" s="354"/>
      <c r="E7" s="11"/>
      <c r="F7" s="309"/>
      <c r="G7" s="310"/>
      <c r="H7" s="354"/>
      <c r="I7" s="160"/>
      <c r="J7" s="311"/>
      <c r="K7" s="312"/>
      <c r="L7" s="431"/>
      <c r="M7" s="11"/>
      <c r="O7" s="148"/>
    </row>
    <row r="8" spans="1:15" ht="15.75" x14ac:dyDescent="0.2">
      <c r="A8" s="21" t="s">
        <v>25</v>
      </c>
      <c r="B8" s="284"/>
      <c r="C8" s="285"/>
      <c r="D8" s="166"/>
      <c r="E8" s="27"/>
      <c r="F8" s="288"/>
      <c r="G8" s="289"/>
      <c r="H8" s="166"/>
      <c r="I8" s="176"/>
      <c r="J8" s="235"/>
      <c r="K8" s="290"/>
      <c r="L8" s="257"/>
      <c r="M8" s="27"/>
      <c r="O8" s="148"/>
    </row>
    <row r="9" spans="1:15" ht="15.75" x14ac:dyDescent="0.2">
      <c r="A9" s="21" t="s">
        <v>24</v>
      </c>
      <c r="B9" s="284"/>
      <c r="C9" s="285"/>
      <c r="D9" s="166"/>
      <c r="E9" s="27"/>
      <c r="F9" s="288"/>
      <c r="G9" s="289"/>
      <c r="H9" s="166"/>
      <c r="I9" s="176"/>
      <c r="J9" s="235"/>
      <c r="K9" s="290"/>
      <c r="L9" s="257"/>
      <c r="M9" s="27"/>
      <c r="O9" s="148"/>
    </row>
    <row r="10" spans="1:15" ht="15.75" x14ac:dyDescent="0.2">
      <c r="A10" s="13" t="s">
        <v>376</v>
      </c>
      <c r="B10" s="313"/>
      <c r="C10" s="314"/>
      <c r="D10" s="171"/>
      <c r="E10" s="11"/>
      <c r="F10" s="313"/>
      <c r="G10" s="314"/>
      <c r="H10" s="171"/>
      <c r="I10" s="160"/>
      <c r="J10" s="311"/>
      <c r="K10" s="312"/>
      <c r="L10" s="432"/>
      <c r="M10" s="11"/>
      <c r="O10" s="148"/>
    </row>
    <row r="11" spans="1:15" s="43" customFormat="1" ht="15.75" x14ac:dyDescent="0.2">
      <c r="A11" s="13" t="s">
        <v>377</v>
      </c>
      <c r="B11" s="313"/>
      <c r="C11" s="314"/>
      <c r="D11" s="171"/>
      <c r="E11" s="11"/>
      <c r="F11" s="313"/>
      <c r="G11" s="314"/>
      <c r="H11" s="171"/>
      <c r="I11" s="160"/>
      <c r="J11" s="311"/>
      <c r="K11" s="312"/>
      <c r="L11" s="432"/>
      <c r="M11" s="11"/>
      <c r="N11" s="143"/>
      <c r="O11" s="148"/>
    </row>
    <row r="12" spans="1:15" s="43" customFormat="1" ht="15.75" x14ac:dyDescent="0.2">
      <c r="A12" s="41" t="s">
        <v>378</v>
      </c>
      <c r="B12" s="315"/>
      <c r="C12" s="316"/>
      <c r="D12" s="169"/>
      <c r="E12" s="36"/>
      <c r="F12" s="315"/>
      <c r="G12" s="316"/>
      <c r="H12" s="169"/>
      <c r="I12" s="169"/>
      <c r="J12" s="317"/>
      <c r="K12" s="318"/>
      <c r="L12" s="433"/>
      <c r="M12" s="36"/>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c r="C22" s="319"/>
      <c r="D22" s="354"/>
      <c r="E22" s="11"/>
      <c r="F22" s="321"/>
      <c r="G22" s="321"/>
      <c r="H22" s="354"/>
      <c r="I22" s="11"/>
      <c r="J22" s="319"/>
      <c r="K22" s="319"/>
      <c r="L22" s="431"/>
      <c r="M22" s="24"/>
      <c r="O22" s="148"/>
    </row>
    <row r="23" spans="1:15" ht="15.75" x14ac:dyDescent="0.2">
      <c r="A23" s="619" t="s">
        <v>379</v>
      </c>
      <c r="B23" s="284"/>
      <c r="C23" s="284"/>
      <c r="D23" s="166"/>
      <c r="E23" s="11"/>
      <c r="F23" s="293"/>
      <c r="G23" s="293"/>
      <c r="H23" s="166"/>
      <c r="I23" s="421"/>
      <c r="J23" s="293"/>
      <c r="K23" s="293"/>
      <c r="L23" s="166"/>
      <c r="M23" s="23"/>
      <c r="O23" s="148"/>
    </row>
    <row r="24" spans="1:15" ht="15.75" x14ac:dyDescent="0.2">
      <c r="A24" s="619" t="s">
        <v>380</v>
      </c>
      <c r="B24" s="284"/>
      <c r="C24" s="284"/>
      <c r="D24" s="166"/>
      <c r="E24" s="11"/>
      <c r="F24" s="293"/>
      <c r="G24" s="293"/>
      <c r="H24" s="166"/>
      <c r="I24" s="421"/>
      <c r="J24" s="293"/>
      <c r="K24" s="293"/>
      <c r="L24" s="166"/>
      <c r="M24" s="23"/>
      <c r="O24" s="148"/>
    </row>
    <row r="25" spans="1:15" ht="15.75" x14ac:dyDescent="0.2">
      <c r="A25" s="619" t="s">
        <v>381</v>
      </c>
      <c r="B25" s="284"/>
      <c r="C25" s="284"/>
      <c r="D25" s="166"/>
      <c r="E25" s="11"/>
      <c r="F25" s="293"/>
      <c r="G25" s="293"/>
      <c r="H25" s="166"/>
      <c r="I25" s="421"/>
      <c r="J25" s="293"/>
      <c r="K25" s="293"/>
      <c r="L25" s="166"/>
      <c r="M25" s="23"/>
      <c r="O25" s="148"/>
    </row>
    <row r="26" spans="1:15" ht="15.75" x14ac:dyDescent="0.2">
      <c r="A26" s="619" t="s">
        <v>382</v>
      </c>
      <c r="B26" s="284"/>
      <c r="C26" s="284"/>
      <c r="D26" s="166"/>
      <c r="E26" s="11"/>
      <c r="F26" s="293"/>
      <c r="G26" s="293"/>
      <c r="H26" s="166"/>
      <c r="I26" s="421"/>
      <c r="J26" s="293"/>
      <c r="K26" s="293"/>
      <c r="L26" s="166"/>
      <c r="M26" s="23"/>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c r="C28" s="290"/>
      <c r="D28" s="166"/>
      <c r="E28" s="11"/>
      <c r="F28" s="235"/>
      <c r="G28" s="290"/>
      <c r="H28" s="166"/>
      <c r="I28" s="27"/>
      <c r="J28" s="44"/>
      <c r="K28" s="44"/>
      <c r="L28" s="257"/>
      <c r="M28" s="23"/>
      <c r="O28" s="148"/>
    </row>
    <row r="29" spans="1:15" s="3" customFormat="1" ht="15.75" x14ac:dyDescent="0.2">
      <c r="A29" s="13" t="s">
        <v>376</v>
      </c>
      <c r="B29" s="237"/>
      <c r="C29" s="237"/>
      <c r="D29" s="171"/>
      <c r="E29" s="11"/>
      <c r="F29" s="311"/>
      <c r="G29" s="311"/>
      <c r="H29" s="171"/>
      <c r="I29" s="11"/>
      <c r="J29" s="237"/>
      <c r="K29" s="237"/>
      <c r="L29" s="432"/>
      <c r="M29" s="24"/>
      <c r="N29" s="148"/>
      <c r="O29" s="148"/>
    </row>
    <row r="30" spans="1:15" s="3" customFormat="1" ht="15.75" x14ac:dyDescent="0.2">
      <c r="A30" s="619" t="s">
        <v>379</v>
      </c>
      <c r="B30" s="284"/>
      <c r="C30" s="284"/>
      <c r="D30" s="166"/>
      <c r="E30" s="11"/>
      <c r="F30" s="293"/>
      <c r="G30" s="293"/>
      <c r="H30" s="166"/>
      <c r="I30" s="421"/>
      <c r="J30" s="293"/>
      <c r="K30" s="293"/>
      <c r="L30" s="166"/>
      <c r="M30" s="23"/>
      <c r="N30" s="148"/>
      <c r="O30" s="148"/>
    </row>
    <row r="31" spans="1:15" s="3" customFormat="1" ht="15.75" x14ac:dyDescent="0.2">
      <c r="A31" s="619" t="s">
        <v>380</v>
      </c>
      <c r="B31" s="284"/>
      <c r="C31" s="284"/>
      <c r="D31" s="166"/>
      <c r="E31" s="11"/>
      <c r="F31" s="293"/>
      <c r="G31" s="293"/>
      <c r="H31" s="166"/>
      <c r="I31" s="421"/>
      <c r="J31" s="293"/>
      <c r="K31" s="293"/>
      <c r="L31" s="166"/>
      <c r="M31" s="23"/>
      <c r="N31" s="148"/>
      <c r="O31" s="148"/>
    </row>
    <row r="32" spans="1:15" ht="15.75" x14ac:dyDescent="0.2">
      <c r="A32" s="619" t="s">
        <v>381</v>
      </c>
      <c r="B32" s="284"/>
      <c r="C32" s="284"/>
      <c r="D32" s="166"/>
      <c r="E32" s="11"/>
      <c r="F32" s="293"/>
      <c r="G32" s="293"/>
      <c r="H32" s="166"/>
      <c r="I32" s="421"/>
      <c r="J32" s="293"/>
      <c r="K32" s="293"/>
      <c r="L32" s="166"/>
      <c r="M32" s="23"/>
      <c r="O32" s="148"/>
    </row>
    <row r="33" spans="1:15" ht="15.75" x14ac:dyDescent="0.2">
      <c r="A33" s="619" t="s">
        <v>382</v>
      </c>
      <c r="B33" s="284"/>
      <c r="C33" s="284"/>
      <c r="D33" s="166"/>
      <c r="E33" s="11"/>
      <c r="F33" s="293"/>
      <c r="G33" s="293"/>
      <c r="H33" s="166"/>
      <c r="I33" s="421"/>
      <c r="J33" s="293"/>
      <c r="K33" s="293"/>
      <c r="L33" s="166"/>
      <c r="M33" s="23"/>
      <c r="O33" s="148"/>
    </row>
    <row r="34" spans="1:15" ht="15.75" x14ac:dyDescent="0.2">
      <c r="A34" s="13" t="s">
        <v>377</v>
      </c>
      <c r="B34" s="237"/>
      <c r="C34" s="312"/>
      <c r="D34" s="171"/>
      <c r="E34" s="11"/>
      <c r="F34" s="311"/>
      <c r="G34" s="312"/>
      <c r="H34" s="171"/>
      <c r="I34" s="11"/>
      <c r="J34" s="237"/>
      <c r="K34" s="237"/>
      <c r="L34" s="432"/>
      <c r="M34" s="24"/>
      <c r="O34" s="148"/>
    </row>
    <row r="35" spans="1:15" ht="15.75" x14ac:dyDescent="0.2">
      <c r="A35" s="13" t="s">
        <v>378</v>
      </c>
      <c r="B35" s="237"/>
      <c r="C35" s="312"/>
      <c r="D35" s="171"/>
      <c r="E35" s="11"/>
      <c r="F35" s="311"/>
      <c r="G35" s="312"/>
      <c r="H35" s="171"/>
      <c r="I35" s="11"/>
      <c r="J35" s="237"/>
      <c r="K35" s="237"/>
      <c r="L35" s="432"/>
      <c r="M35" s="24"/>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v>3254.4537799999998</v>
      </c>
      <c r="C47" s="314">
        <v>3152.4240399999903</v>
      </c>
      <c r="D47" s="431">
        <f t="shared" ref="D47:D48" si="0">IF(B47=0, "    ---- ", IF(ABS(ROUND(100/B47*C47-100,1))&lt;999,ROUND(100/B47*C47-100,1),IF(ROUND(100/B47*C47-100,1)&gt;999,999,-999)))</f>
        <v>-3.1</v>
      </c>
      <c r="E47" s="11">
        <f>IFERROR(100/'Skjema total MA'!C47*C47,0)</f>
        <v>8.5434474827293674E-2</v>
      </c>
      <c r="F47" s="145"/>
      <c r="G47" s="33"/>
      <c r="H47" s="159"/>
      <c r="I47" s="159"/>
      <c r="J47" s="37"/>
      <c r="K47" s="37"/>
      <c r="L47" s="159"/>
      <c r="M47" s="159"/>
      <c r="N47" s="148"/>
      <c r="O47" s="148"/>
    </row>
    <row r="48" spans="1:15" s="3" customFormat="1" ht="15.75" x14ac:dyDescent="0.2">
      <c r="A48" s="38" t="s">
        <v>387</v>
      </c>
      <c r="B48" s="284">
        <v>825.49282000000005</v>
      </c>
      <c r="C48" s="285">
        <v>932.28102999999999</v>
      </c>
      <c r="D48" s="257">
        <f t="shared" si="0"/>
        <v>12.9</v>
      </c>
      <c r="E48" s="27">
        <f>IFERROR(100/'Skjema total MA'!C48*C48,0)</f>
        <v>4.4619620820293145E-2</v>
      </c>
      <c r="F48" s="145"/>
      <c r="G48" s="33"/>
      <c r="H48" s="145"/>
      <c r="I48" s="145"/>
      <c r="J48" s="33"/>
      <c r="K48" s="33"/>
      <c r="L48" s="159"/>
      <c r="M48" s="159"/>
      <c r="N48" s="148"/>
      <c r="O48" s="148"/>
    </row>
    <row r="49" spans="1:15" s="3" customFormat="1" ht="15.75" x14ac:dyDescent="0.2">
      <c r="A49" s="38" t="s">
        <v>388</v>
      </c>
      <c r="B49" s="44">
        <v>2428.9609599999999</v>
      </c>
      <c r="C49" s="290">
        <v>2220.1430099999902</v>
      </c>
      <c r="D49" s="257">
        <f>IF(B49=0, "    ---- ", IF(ABS(ROUND(100/B49*C49-100,1))&lt;999,ROUND(100/B49*C49-100,1),IF(ROUND(100/B49*C49-100,1)&gt;999,999,-999)))</f>
        <v>-8.6</v>
      </c>
      <c r="E49" s="27">
        <f>IFERROR(100/'Skjema total MA'!C49*C49,0)</f>
        <v>0.13871762911265287</v>
      </c>
      <c r="F49" s="145"/>
      <c r="G49" s="33"/>
      <c r="H49" s="145"/>
      <c r="I49" s="145"/>
      <c r="J49" s="37"/>
      <c r="K49" s="37"/>
      <c r="L49" s="159"/>
      <c r="M49" s="159"/>
      <c r="N49" s="148"/>
      <c r="O49" s="148"/>
    </row>
    <row r="50" spans="1:15" s="3" customFormat="1" x14ac:dyDescent="0.2">
      <c r="A50" s="299" t="s">
        <v>6</v>
      </c>
      <c r="B50" s="293"/>
      <c r="C50" s="294"/>
      <c r="D50" s="257"/>
      <c r="E50" s="23"/>
      <c r="F50" s="145"/>
      <c r="G50" s="33"/>
      <c r="H50" s="145"/>
      <c r="I50" s="145"/>
      <c r="J50" s="33"/>
      <c r="K50" s="33"/>
      <c r="L50" s="159"/>
      <c r="M50" s="159"/>
      <c r="N50" s="148"/>
      <c r="O50" s="148"/>
    </row>
    <row r="51" spans="1:15" s="3" customFormat="1" x14ac:dyDescent="0.2">
      <c r="A51" s="299" t="s">
        <v>7</v>
      </c>
      <c r="B51" s="293"/>
      <c r="C51" s="294"/>
      <c r="D51" s="257"/>
      <c r="E51" s="23"/>
      <c r="F51" s="145"/>
      <c r="G51" s="33"/>
      <c r="H51" s="145"/>
      <c r="I51" s="145"/>
      <c r="J51" s="33"/>
      <c r="K51" s="33"/>
      <c r="L51" s="159"/>
      <c r="M51" s="159"/>
      <c r="N51" s="148"/>
      <c r="O51" s="148"/>
    </row>
    <row r="52" spans="1:15" s="3" customFormat="1" x14ac:dyDescent="0.2">
      <c r="A52" s="299" t="s">
        <v>8</v>
      </c>
      <c r="B52" s="293"/>
      <c r="C52" s="294"/>
      <c r="D52" s="257"/>
      <c r="E52" s="23"/>
      <c r="F52" s="145"/>
      <c r="G52" s="33"/>
      <c r="H52" s="145"/>
      <c r="I52" s="145"/>
      <c r="J52" s="33"/>
      <c r="K52" s="33"/>
      <c r="L52" s="159"/>
      <c r="M52" s="159"/>
      <c r="N52" s="148"/>
      <c r="O52" s="148"/>
    </row>
    <row r="53" spans="1:15" s="3" customFormat="1" ht="15.75" x14ac:dyDescent="0.2">
      <c r="A53" s="39" t="s">
        <v>389</v>
      </c>
      <c r="B53" s="313"/>
      <c r="C53" s="314"/>
      <c r="D53" s="432"/>
      <c r="E53" s="11"/>
      <c r="F53" s="145"/>
      <c r="G53" s="33"/>
      <c r="H53" s="145"/>
      <c r="I53" s="145"/>
      <c r="J53" s="33"/>
      <c r="K53" s="33"/>
      <c r="L53" s="159"/>
      <c r="M53" s="159"/>
      <c r="N53" s="148"/>
      <c r="O53" s="148"/>
    </row>
    <row r="54" spans="1:15" s="3" customFormat="1" ht="15.75" x14ac:dyDescent="0.2">
      <c r="A54" s="38" t="s">
        <v>387</v>
      </c>
      <c r="B54" s="284"/>
      <c r="C54" s="285"/>
      <c r="D54" s="257"/>
      <c r="E54" s="27"/>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c r="C56" s="314"/>
      <c r="D56" s="432"/>
      <c r="E56" s="11"/>
      <c r="F56" s="145"/>
      <c r="G56" s="33"/>
      <c r="H56" s="145"/>
      <c r="I56" s="145"/>
      <c r="J56" s="33"/>
      <c r="K56" s="33"/>
      <c r="L56" s="159"/>
      <c r="M56" s="159"/>
      <c r="N56" s="148"/>
      <c r="O56" s="148"/>
    </row>
    <row r="57" spans="1:15" s="3" customFormat="1" ht="15.75" x14ac:dyDescent="0.2">
      <c r="A57" s="38" t="s">
        <v>387</v>
      </c>
      <c r="B57" s="284"/>
      <c r="C57" s="285"/>
      <c r="D57" s="257"/>
      <c r="E57" s="27"/>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c r="C66" s="357"/>
      <c r="D66" s="354"/>
      <c r="E66" s="11"/>
      <c r="F66" s="356"/>
      <c r="G66" s="356"/>
      <c r="H66" s="354"/>
      <c r="I66" s="11"/>
      <c r="J66" s="312"/>
      <c r="K66" s="319"/>
      <c r="L66" s="432"/>
      <c r="M66" s="11"/>
      <c r="O66" s="148"/>
    </row>
    <row r="67" spans="1:15" x14ac:dyDescent="0.2">
      <c r="A67" s="423" t="s">
        <v>9</v>
      </c>
      <c r="B67" s="44"/>
      <c r="C67" s="145"/>
      <c r="D67" s="166"/>
      <c r="E67" s="27"/>
      <c r="F67" s="235"/>
      <c r="G67" s="145"/>
      <c r="H67" s="166"/>
      <c r="I67" s="27"/>
      <c r="J67" s="290"/>
      <c r="K67" s="44"/>
      <c r="L67" s="257"/>
      <c r="M67" s="27"/>
      <c r="O67" s="148"/>
    </row>
    <row r="68" spans="1:15" x14ac:dyDescent="0.2">
      <c r="A68" s="21" t="s">
        <v>10</v>
      </c>
      <c r="B68" s="295"/>
      <c r="C68" s="296"/>
      <c r="D68" s="166"/>
      <c r="E68" s="27"/>
      <c r="F68" s="295"/>
      <c r="G68" s="296"/>
      <c r="H68" s="166"/>
      <c r="I68" s="27"/>
      <c r="J68" s="290"/>
      <c r="K68" s="44"/>
      <c r="L68" s="257"/>
      <c r="M68" s="27"/>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c r="C77" s="235"/>
      <c r="D77" s="166"/>
      <c r="E77" s="27"/>
      <c r="F77" s="235"/>
      <c r="G77" s="145"/>
      <c r="H77" s="166"/>
      <c r="I77" s="27"/>
      <c r="J77" s="290"/>
      <c r="K77" s="44"/>
      <c r="L77" s="257"/>
      <c r="M77" s="27"/>
      <c r="O77" s="148"/>
    </row>
    <row r="78" spans="1:15" x14ac:dyDescent="0.2">
      <c r="A78" s="21" t="s">
        <v>9</v>
      </c>
      <c r="B78" s="235"/>
      <c r="C78" s="145"/>
      <c r="D78" s="166"/>
      <c r="E78" s="27"/>
      <c r="F78" s="235"/>
      <c r="G78" s="145"/>
      <c r="H78" s="166"/>
      <c r="I78" s="27"/>
      <c r="J78" s="290"/>
      <c r="K78" s="44"/>
      <c r="L78" s="257"/>
      <c r="M78" s="27"/>
      <c r="O78" s="148"/>
    </row>
    <row r="79" spans="1:15" x14ac:dyDescent="0.2">
      <c r="A79" s="21" t="s">
        <v>10</v>
      </c>
      <c r="B79" s="295"/>
      <c r="C79" s="296"/>
      <c r="D79" s="166"/>
      <c r="E79" s="27"/>
      <c r="F79" s="295"/>
      <c r="G79" s="296"/>
      <c r="H79" s="166"/>
      <c r="I79" s="27"/>
      <c r="J79" s="290"/>
      <c r="K79" s="44"/>
      <c r="L79" s="257"/>
      <c r="M79" s="27"/>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c r="G86" s="145"/>
      <c r="H86" s="166"/>
      <c r="I86" s="27"/>
      <c r="J86" s="290"/>
      <c r="K86" s="44"/>
      <c r="L86" s="257"/>
      <c r="M86" s="27"/>
      <c r="O86" s="148"/>
    </row>
    <row r="87" spans="1:15" ht="15.75" x14ac:dyDescent="0.2">
      <c r="A87" s="13" t="s">
        <v>376</v>
      </c>
      <c r="B87" s="357"/>
      <c r="C87" s="357"/>
      <c r="D87" s="171"/>
      <c r="E87" s="11"/>
      <c r="F87" s="356"/>
      <c r="G87" s="356"/>
      <c r="H87" s="171"/>
      <c r="I87" s="11"/>
      <c r="J87" s="312"/>
      <c r="K87" s="237"/>
      <c r="L87" s="432"/>
      <c r="M87" s="11"/>
      <c r="O87" s="148"/>
    </row>
    <row r="88" spans="1:15" x14ac:dyDescent="0.2">
      <c r="A88" s="21" t="s">
        <v>9</v>
      </c>
      <c r="B88" s="235"/>
      <c r="C88" s="145"/>
      <c r="D88" s="166"/>
      <c r="E88" s="27"/>
      <c r="F88" s="235"/>
      <c r="G88" s="145"/>
      <c r="H88" s="166"/>
      <c r="I88" s="27"/>
      <c r="J88" s="290"/>
      <c r="K88" s="44"/>
      <c r="L88" s="257"/>
      <c r="M88" s="27"/>
      <c r="O88" s="148"/>
    </row>
    <row r="89" spans="1:15" x14ac:dyDescent="0.2">
      <c r="A89" s="21" t="s">
        <v>10</v>
      </c>
      <c r="B89" s="235"/>
      <c r="C89" s="145"/>
      <c r="D89" s="166"/>
      <c r="E89" s="27"/>
      <c r="F89" s="235"/>
      <c r="G89" s="145"/>
      <c r="H89" s="166"/>
      <c r="I89" s="27"/>
      <c r="J89" s="290"/>
      <c r="K89" s="44"/>
      <c r="L89" s="257"/>
      <c r="M89" s="27"/>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c r="C98" s="235"/>
      <c r="D98" s="166"/>
      <c r="E98" s="27"/>
      <c r="F98" s="295"/>
      <c r="G98" s="295"/>
      <c r="H98" s="166"/>
      <c r="I98" s="27"/>
      <c r="J98" s="290"/>
      <c r="K98" s="44"/>
      <c r="L98" s="257"/>
      <c r="M98" s="27"/>
      <c r="O98" s="148"/>
    </row>
    <row r="99" spans="1:15" x14ac:dyDescent="0.2">
      <c r="A99" s="21" t="s">
        <v>9</v>
      </c>
      <c r="B99" s="295"/>
      <c r="C99" s="296"/>
      <c r="D99" s="166"/>
      <c r="E99" s="27"/>
      <c r="F99" s="235"/>
      <c r="G99" s="145"/>
      <c r="H99" s="166"/>
      <c r="I99" s="27"/>
      <c r="J99" s="290"/>
      <c r="K99" s="44"/>
      <c r="L99" s="257"/>
      <c r="M99" s="27"/>
      <c r="O99" s="148"/>
    </row>
    <row r="100" spans="1:15" x14ac:dyDescent="0.2">
      <c r="A100" s="21" t="s">
        <v>10</v>
      </c>
      <c r="B100" s="295"/>
      <c r="C100" s="296"/>
      <c r="D100" s="166"/>
      <c r="E100" s="27"/>
      <c r="F100" s="235"/>
      <c r="G100" s="235"/>
      <c r="H100" s="166"/>
      <c r="I100" s="27"/>
      <c r="J100" s="290"/>
      <c r="K100" s="44"/>
      <c r="L100" s="257"/>
      <c r="M100" s="27"/>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c r="G107" s="145"/>
      <c r="H107" s="166"/>
      <c r="I107" s="27"/>
      <c r="J107" s="290"/>
      <c r="K107" s="44"/>
      <c r="L107" s="257"/>
      <c r="M107" s="27"/>
      <c r="O107" s="148"/>
    </row>
    <row r="108" spans="1:15" ht="15.75" x14ac:dyDescent="0.2">
      <c r="A108" s="21" t="s">
        <v>395</v>
      </c>
      <c r="B108" s="235"/>
      <c r="C108" s="235"/>
      <c r="D108" s="166"/>
      <c r="E108" s="27"/>
      <c r="F108" s="235"/>
      <c r="G108" s="235"/>
      <c r="H108" s="166"/>
      <c r="I108" s="27"/>
      <c r="J108" s="290"/>
      <c r="K108" s="44"/>
      <c r="L108" s="257"/>
      <c r="M108" s="27"/>
      <c r="O108" s="148"/>
    </row>
    <row r="109" spans="1:15" ht="15.75" x14ac:dyDescent="0.2">
      <c r="A109" s="21" t="s">
        <v>396</v>
      </c>
      <c r="B109" s="235"/>
      <c r="C109" s="235"/>
      <c r="D109" s="166"/>
      <c r="E109" s="27"/>
      <c r="F109" s="235"/>
      <c r="G109" s="235"/>
      <c r="H109" s="166"/>
      <c r="I109" s="27"/>
      <c r="J109" s="290"/>
      <c r="K109" s="44"/>
      <c r="L109" s="257"/>
      <c r="M109" s="27"/>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c r="C111" s="159"/>
      <c r="D111" s="171"/>
      <c r="E111" s="11"/>
      <c r="F111" s="311"/>
      <c r="G111" s="159"/>
      <c r="H111" s="171"/>
      <c r="I111" s="11"/>
      <c r="J111" s="312"/>
      <c r="K111" s="237"/>
      <c r="L111" s="432"/>
      <c r="M111" s="11"/>
      <c r="O111" s="148"/>
    </row>
    <row r="112" spans="1:15" x14ac:dyDescent="0.2">
      <c r="A112" s="21" t="s">
        <v>9</v>
      </c>
      <c r="B112" s="235"/>
      <c r="C112" s="145"/>
      <c r="D112" s="166"/>
      <c r="E112" s="27"/>
      <c r="F112" s="235"/>
      <c r="G112" s="145"/>
      <c r="H112" s="166"/>
      <c r="I112" s="27"/>
      <c r="J112" s="290"/>
      <c r="K112" s="44"/>
      <c r="L112" s="257"/>
      <c r="M112" s="27"/>
      <c r="O112" s="148"/>
    </row>
    <row r="113" spans="1:15" x14ac:dyDescent="0.2">
      <c r="A113" s="21" t="s">
        <v>10</v>
      </c>
      <c r="B113" s="235"/>
      <c r="C113" s="145"/>
      <c r="D113" s="166"/>
      <c r="E113" s="27"/>
      <c r="F113" s="235"/>
      <c r="G113" s="145"/>
      <c r="H113" s="166"/>
      <c r="I113" s="27"/>
      <c r="J113" s="290"/>
      <c r="K113" s="44"/>
      <c r="L113" s="257"/>
      <c r="M113" s="27"/>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c r="C116" s="235"/>
      <c r="D116" s="166"/>
      <c r="E116" s="27"/>
      <c r="F116" s="235"/>
      <c r="G116" s="235"/>
      <c r="H116" s="166"/>
      <c r="I116" s="27"/>
      <c r="J116" s="290"/>
      <c r="K116" s="44"/>
      <c r="L116" s="257"/>
      <c r="M116" s="27"/>
      <c r="O116" s="148"/>
    </row>
    <row r="117" spans="1:15" ht="15.75" x14ac:dyDescent="0.2">
      <c r="A117" s="21" t="s">
        <v>399</v>
      </c>
      <c r="B117" s="235"/>
      <c r="C117" s="235"/>
      <c r="D117" s="166"/>
      <c r="E117" s="27"/>
      <c r="F117" s="235"/>
      <c r="G117" s="235"/>
      <c r="H117" s="166"/>
      <c r="I117" s="27"/>
      <c r="J117" s="290"/>
      <c r="K117" s="44"/>
      <c r="L117" s="257"/>
      <c r="M117" s="27"/>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c r="C119" s="159"/>
      <c r="D119" s="171"/>
      <c r="E119" s="11"/>
      <c r="F119" s="311"/>
      <c r="G119" s="159"/>
      <c r="H119" s="171"/>
      <c r="I119" s="11"/>
      <c r="J119" s="312"/>
      <c r="K119" s="237"/>
      <c r="L119" s="432"/>
      <c r="M119" s="11"/>
      <c r="O119" s="148"/>
    </row>
    <row r="120" spans="1:15" x14ac:dyDescent="0.2">
      <c r="A120" s="21" t="s">
        <v>9</v>
      </c>
      <c r="B120" s="235"/>
      <c r="C120" s="145"/>
      <c r="D120" s="166"/>
      <c r="E120" s="27"/>
      <c r="F120" s="235"/>
      <c r="G120" s="145"/>
      <c r="H120" s="166"/>
      <c r="I120" s="27"/>
      <c r="J120" s="290"/>
      <c r="K120" s="44"/>
      <c r="L120" s="257"/>
      <c r="M120" s="27"/>
      <c r="O120" s="148"/>
    </row>
    <row r="121" spans="1:15" x14ac:dyDescent="0.2">
      <c r="A121" s="21" t="s">
        <v>10</v>
      </c>
      <c r="B121" s="235"/>
      <c r="C121" s="145"/>
      <c r="D121" s="166"/>
      <c r="E121" s="27"/>
      <c r="F121" s="235"/>
      <c r="G121" s="145"/>
      <c r="H121" s="166"/>
      <c r="I121" s="27"/>
      <c r="J121" s="290"/>
      <c r="K121" s="44"/>
      <c r="L121" s="257"/>
      <c r="M121" s="27"/>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c r="G125" s="235"/>
      <c r="H125" s="166"/>
      <c r="I125" s="27"/>
      <c r="J125" s="290"/>
      <c r="K125" s="44"/>
      <c r="L125" s="257"/>
      <c r="M125" s="27"/>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v>23692638.028390002</v>
      </c>
      <c r="C134" s="312">
        <v>31134925.866969999</v>
      </c>
      <c r="D134" s="354">
        <f t="shared" ref="D134:D137" si="1">IF(B134=0, "    ---- ", IF(ABS(ROUND(100/B134*C134-100,1))&lt;999,ROUND(100/B134*C134-100,1),IF(ROUND(100/B134*C134-100,1)&gt;999,999,-999)))</f>
        <v>31.4</v>
      </c>
      <c r="E134" s="11">
        <f>IFERROR(100/'Skjema total MA'!C134*C134,0)</f>
        <v>88.144590899261942</v>
      </c>
      <c r="F134" s="319">
        <v>84881.887000000002</v>
      </c>
      <c r="G134" s="320">
        <v>116827.63</v>
      </c>
      <c r="H134" s="435">
        <f t="shared" ref="H134:H136" si="2">IF(F134=0, "    ---- ", IF(ABS(ROUND(100/F134*G134-100,1))&lt;999,ROUND(100/F134*G134-100,1),IF(ROUND(100/F134*G134-100,1)&gt;999,999,-999)))</f>
        <v>37.6</v>
      </c>
      <c r="I134" s="24">
        <f>IFERROR(100/'Skjema total MA'!F134*G134,0)</f>
        <v>100</v>
      </c>
      <c r="J134" s="321">
        <f t="shared" ref="J134:K137" si="3">SUM(B134,F134)</f>
        <v>23777519.91539</v>
      </c>
      <c r="K134" s="321">
        <f t="shared" si="3"/>
        <v>31251753.496969998</v>
      </c>
      <c r="L134" s="431">
        <f t="shared" ref="L134:L137" si="4">IF(J134=0, "    ---- ", IF(ABS(ROUND(100/J134*K134-100,1))&lt;999,ROUND(100/J134*K134-100,1),IF(ROUND(100/J134*K134-100,1)&gt;999,999,-999)))</f>
        <v>31.4</v>
      </c>
      <c r="M134" s="11">
        <f>IFERROR(100/'Skjema total MA'!I134*K134,0)</f>
        <v>88.183672820445082</v>
      </c>
      <c r="N134" s="148"/>
      <c r="O134" s="148"/>
    </row>
    <row r="135" spans="1:15" s="3" customFormat="1" ht="15.75" x14ac:dyDescent="0.2">
      <c r="A135" s="13" t="s">
        <v>405</v>
      </c>
      <c r="B135" s="237">
        <v>439040297.38777</v>
      </c>
      <c r="C135" s="312">
        <v>469261417.09344</v>
      </c>
      <c r="D135" s="171">
        <f t="shared" si="1"/>
        <v>6.9</v>
      </c>
      <c r="E135" s="11">
        <f>IFERROR(100/'Skjema total MA'!C135*C135,0)</f>
        <v>85.807343225629339</v>
      </c>
      <c r="F135" s="237">
        <v>2330198.9161499999</v>
      </c>
      <c r="G135" s="312">
        <v>2478827.29715</v>
      </c>
      <c r="H135" s="436">
        <f t="shared" si="2"/>
        <v>6.4</v>
      </c>
      <c r="I135" s="24">
        <f>IFERROR(100/'Skjema total MA'!F135*G135,0)</f>
        <v>100</v>
      </c>
      <c r="J135" s="311">
        <f t="shared" si="3"/>
        <v>441370496.30391997</v>
      </c>
      <c r="K135" s="311">
        <f t="shared" si="3"/>
        <v>471740244.39059001</v>
      </c>
      <c r="L135" s="432">
        <f t="shared" si="4"/>
        <v>6.9</v>
      </c>
      <c r="M135" s="11">
        <f>IFERROR(100/'Skjema total MA'!I135*K135,0)</f>
        <v>85.871383842153378</v>
      </c>
      <c r="N135" s="148"/>
      <c r="O135" s="148"/>
    </row>
    <row r="136" spans="1:15" s="3" customFormat="1" ht="15.75" x14ac:dyDescent="0.2">
      <c r="A136" s="13" t="s">
        <v>402</v>
      </c>
      <c r="B136" s="237">
        <v>183490.30300000001</v>
      </c>
      <c r="C136" s="312">
        <v>5312.7830000000004</v>
      </c>
      <c r="D136" s="171">
        <f t="shared" si="1"/>
        <v>-97.1</v>
      </c>
      <c r="E136" s="11">
        <f>IFERROR(100/'Skjema total MA'!C136*C136,0)</f>
        <v>1.6836501279576468</v>
      </c>
      <c r="F136" s="237">
        <v>24988.125</v>
      </c>
      <c r="G136" s="312">
        <v>-10.804</v>
      </c>
      <c r="H136" s="436">
        <f t="shared" si="2"/>
        <v>-100</v>
      </c>
      <c r="I136" s="24">
        <f>IFERROR(100/'Skjema total MA'!F136*G136,0)</f>
        <v>100</v>
      </c>
      <c r="J136" s="311">
        <f t="shared" si="3"/>
        <v>208478.42800000001</v>
      </c>
      <c r="K136" s="311">
        <f t="shared" si="3"/>
        <v>5301.9790000000003</v>
      </c>
      <c r="L136" s="432">
        <f t="shared" si="4"/>
        <v>-97.5</v>
      </c>
      <c r="M136" s="11">
        <f>IFERROR(100/'Skjema total MA'!I136*K136,0)</f>
        <v>1.6802838113329652</v>
      </c>
      <c r="N136" s="148"/>
      <c r="O136" s="148"/>
    </row>
    <row r="137" spans="1:15" s="3" customFormat="1" ht="15.75" x14ac:dyDescent="0.2">
      <c r="A137" s="41" t="s">
        <v>403</v>
      </c>
      <c r="B137" s="279">
        <v>211317.467</v>
      </c>
      <c r="C137" s="318">
        <v>496739.50099999999</v>
      </c>
      <c r="D137" s="169">
        <f t="shared" si="1"/>
        <v>135.1</v>
      </c>
      <c r="E137" s="9">
        <f>IFERROR(100/'Skjema total MA'!C137*C137,0)</f>
        <v>100</v>
      </c>
      <c r="F137" s="279"/>
      <c r="G137" s="318"/>
      <c r="H137" s="437"/>
      <c r="I137" s="36"/>
      <c r="J137" s="317">
        <f t="shared" si="3"/>
        <v>211317.467</v>
      </c>
      <c r="K137" s="317">
        <f t="shared" si="3"/>
        <v>496739.50099999999</v>
      </c>
      <c r="L137" s="433">
        <f t="shared" si="4"/>
        <v>135.1</v>
      </c>
      <c r="M137" s="36">
        <f>IFERROR(100/'Skjema total MA'!I137*K137,0)</f>
        <v>100</v>
      </c>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988" priority="132">
      <formula>kvartal &lt; 4</formula>
    </cfRule>
  </conditionalFormatting>
  <conditionalFormatting sqref="B69">
    <cfRule type="expression" dxfId="987" priority="100">
      <formula>kvartal &lt; 4</formula>
    </cfRule>
  </conditionalFormatting>
  <conditionalFormatting sqref="C69">
    <cfRule type="expression" dxfId="986" priority="99">
      <formula>kvartal &lt; 4</formula>
    </cfRule>
  </conditionalFormatting>
  <conditionalFormatting sqref="B72">
    <cfRule type="expression" dxfId="985" priority="98">
      <formula>kvartal &lt; 4</formula>
    </cfRule>
  </conditionalFormatting>
  <conditionalFormatting sqref="C72">
    <cfRule type="expression" dxfId="984" priority="97">
      <formula>kvartal &lt; 4</formula>
    </cfRule>
  </conditionalFormatting>
  <conditionalFormatting sqref="B80">
    <cfRule type="expression" dxfId="983" priority="96">
      <formula>kvartal &lt; 4</formula>
    </cfRule>
  </conditionalFormatting>
  <conditionalFormatting sqref="C80">
    <cfRule type="expression" dxfId="982" priority="95">
      <formula>kvartal &lt; 4</formula>
    </cfRule>
  </conditionalFormatting>
  <conditionalFormatting sqref="B83">
    <cfRule type="expression" dxfId="981" priority="94">
      <formula>kvartal &lt; 4</formula>
    </cfRule>
  </conditionalFormatting>
  <conditionalFormatting sqref="C83">
    <cfRule type="expression" dxfId="980" priority="93">
      <formula>kvartal &lt; 4</formula>
    </cfRule>
  </conditionalFormatting>
  <conditionalFormatting sqref="B90">
    <cfRule type="expression" dxfId="979" priority="84">
      <formula>kvartal &lt; 4</formula>
    </cfRule>
  </conditionalFormatting>
  <conditionalFormatting sqref="C90">
    <cfRule type="expression" dxfId="978" priority="83">
      <formula>kvartal &lt; 4</formula>
    </cfRule>
  </conditionalFormatting>
  <conditionalFormatting sqref="B93">
    <cfRule type="expression" dxfId="977" priority="82">
      <formula>kvartal &lt; 4</formula>
    </cfRule>
  </conditionalFormatting>
  <conditionalFormatting sqref="C93">
    <cfRule type="expression" dxfId="976" priority="81">
      <formula>kvartal &lt; 4</formula>
    </cfRule>
  </conditionalFormatting>
  <conditionalFormatting sqref="B101">
    <cfRule type="expression" dxfId="975" priority="80">
      <formula>kvartal &lt; 4</formula>
    </cfRule>
  </conditionalFormatting>
  <conditionalFormatting sqref="C101">
    <cfRule type="expression" dxfId="974" priority="79">
      <formula>kvartal &lt; 4</formula>
    </cfRule>
  </conditionalFormatting>
  <conditionalFormatting sqref="B104">
    <cfRule type="expression" dxfId="973" priority="78">
      <formula>kvartal &lt; 4</formula>
    </cfRule>
  </conditionalFormatting>
  <conditionalFormatting sqref="C104">
    <cfRule type="expression" dxfId="972" priority="77">
      <formula>kvartal &lt; 4</formula>
    </cfRule>
  </conditionalFormatting>
  <conditionalFormatting sqref="B115">
    <cfRule type="expression" dxfId="971" priority="76">
      <formula>kvartal &lt; 4</formula>
    </cfRule>
  </conditionalFormatting>
  <conditionalFormatting sqref="C115">
    <cfRule type="expression" dxfId="970" priority="75">
      <formula>kvartal &lt; 4</formula>
    </cfRule>
  </conditionalFormatting>
  <conditionalFormatting sqref="B123">
    <cfRule type="expression" dxfId="969" priority="74">
      <formula>kvartal &lt; 4</formula>
    </cfRule>
  </conditionalFormatting>
  <conditionalFormatting sqref="C123">
    <cfRule type="expression" dxfId="968" priority="73">
      <formula>kvartal &lt; 4</formula>
    </cfRule>
  </conditionalFormatting>
  <conditionalFormatting sqref="F70">
    <cfRule type="expression" dxfId="967" priority="72">
      <formula>kvartal &lt; 4</formula>
    </cfRule>
  </conditionalFormatting>
  <conditionalFormatting sqref="G70">
    <cfRule type="expression" dxfId="966" priority="71">
      <formula>kvartal &lt; 4</formula>
    </cfRule>
  </conditionalFormatting>
  <conditionalFormatting sqref="F71:G71">
    <cfRule type="expression" dxfId="965" priority="70">
      <formula>kvartal &lt; 4</formula>
    </cfRule>
  </conditionalFormatting>
  <conditionalFormatting sqref="F73:G74">
    <cfRule type="expression" dxfId="964" priority="69">
      <formula>kvartal &lt; 4</formula>
    </cfRule>
  </conditionalFormatting>
  <conditionalFormatting sqref="F81:G82">
    <cfRule type="expression" dxfId="963" priority="68">
      <formula>kvartal &lt; 4</formula>
    </cfRule>
  </conditionalFormatting>
  <conditionalFormatting sqref="F84:G85">
    <cfRule type="expression" dxfId="962" priority="67">
      <formula>kvartal &lt; 4</formula>
    </cfRule>
  </conditionalFormatting>
  <conditionalFormatting sqref="F91:G92">
    <cfRule type="expression" dxfId="961" priority="62">
      <formula>kvartal &lt; 4</formula>
    </cfRule>
  </conditionalFormatting>
  <conditionalFormatting sqref="F94:G95">
    <cfRule type="expression" dxfId="960" priority="61">
      <formula>kvartal &lt; 4</formula>
    </cfRule>
  </conditionalFormatting>
  <conditionalFormatting sqref="F102:G103">
    <cfRule type="expression" dxfId="959" priority="60">
      <formula>kvartal &lt; 4</formula>
    </cfRule>
  </conditionalFormatting>
  <conditionalFormatting sqref="F105:G106">
    <cfRule type="expression" dxfId="958" priority="59">
      <formula>kvartal &lt; 4</formula>
    </cfRule>
  </conditionalFormatting>
  <conditionalFormatting sqref="F115">
    <cfRule type="expression" dxfId="957" priority="58">
      <formula>kvartal &lt; 4</formula>
    </cfRule>
  </conditionalFormatting>
  <conditionalFormatting sqref="G115">
    <cfRule type="expression" dxfId="956" priority="57">
      <formula>kvartal &lt; 4</formula>
    </cfRule>
  </conditionalFormatting>
  <conditionalFormatting sqref="F123:G123">
    <cfRule type="expression" dxfId="955" priority="56">
      <formula>kvartal &lt; 4</formula>
    </cfRule>
  </conditionalFormatting>
  <conditionalFormatting sqref="F69:G69">
    <cfRule type="expression" dxfId="954" priority="55">
      <formula>kvartal &lt; 4</formula>
    </cfRule>
  </conditionalFormatting>
  <conditionalFormatting sqref="F72:G72">
    <cfRule type="expression" dxfId="953" priority="54">
      <formula>kvartal &lt; 4</formula>
    </cfRule>
  </conditionalFormatting>
  <conditionalFormatting sqref="F80:G80">
    <cfRule type="expression" dxfId="952" priority="53">
      <formula>kvartal &lt; 4</formula>
    </cfRule>
  </conditionalFormatting>
  <conditionalFormatting sqref="F83:G83">
    <cfRule type="expression" dxfId="951" priority="52">
      <formula>kvartal &lt; 4</formula>
    </cfRule>
  </conditionalFormatting>
  <conditionalFormatting sqref="F90:G90">
    <cfRule type="expression" dxfId="950" priority="46">
      <formula>kvartal &lt; 4</formula>
    </cfRule>
  </conditionalFormatting>
  <conditionalFormatting sqref="F93">
    <cfRule type="expression" dxfId="949" priority="45">
      <formula>kvartal &lt; 4</formula>
    </cfRule>
  </conditionalFormatting>
  <conditionalFormatting sqref="G93">
    <cfRule type="expression" dxfId="948" priority="44">
      <formula>kvartal &lt; 4</formula>
    </cfRule>
  </conditionalFormatting>
  <conditionalFormatting sqref="F101">
    <cfRule type="expression" dxfId="947" priority="43">
      <formula>kvartal &lt; 4</formula>
    </cfRule>
  </conditionalFormatting>
  <conditionalFormatting sqref="G101">
    <cfRule type="expression" dxfId="946" priority="42">
      <formula>kvartal &lt; 4</formula>
    </cfRule>
  </conditionalFormatting>
  <conditionalFormatting sqref="G104">
    <cfRule type="expression" dxfId="945" priority="41">
      <formula>kvartal &lt; 4</formula>
    </cfRule>
  </conditionalFormatting>
  <conditionalFormatting sqref="F104">
    <cfRule type="expression" dxfId="944" priority="40">
      <formula>kvartal &lt; 4</formula>
    </cfRule>
  </conditionalFormatting>
  <conditionalFormatting sqref="J69:K73">
    <cfRule type="expression" dxfId="943" priority="39">
      <formula>kvartal &lt; 4</formula>
    </cfRule>
  </conditionalFormatting>
  <conditionalFormatting sqref="J74:K74">
    <cfRule type="expression" dxfId="942" priority="38">
      <formula>kvartal &lt; 4</formula>
    </cfRule>
  </conditionalFormatting>
  <conditionalFormatting sqref="J80:K85">
    <cfRule type="expression" dxfId="941" priority="37">
      <formula>kvartal &lt; 4</formula>
    </cfRule>
  </conditionalFormatting>
  <conditionalFormatting sqref="J90:K95">
    <cfRule type="expression" dxfId="940" priority="34">
      <formula>kvartal &lt; 4</formula>
    </cfRule>
  </conditionalFormatting>
  <conditionalFormatting sqref="J101:K106">
    <cfRule type="expression" dxfId="939" priority="33">
      <formula>kvartal &lt; 4</formula>
    </cfRule>
  </conditionalFormatting>
  <conditionalFormatting sqref="J115:K115">
    <cfRule type="expression" dxfId="938" priority="32">
      <formula>kvartal &lt; 4</formula>
    </cfRule>
  </conditionalFormatting>
  <conditionalFormatting sqref="J123:K123">
    <cfRule type="expression" dxfId="937" priority="31">
      <formula>kvartal &lt; 4</formula>
    </cfRule>
  </conditionalFormatting>
  <conditionalFormatting sqref="A50:A52">
    <cfRule type="expression" dxfId="936" priority="12">
      <formula>kvartal &lt; 4</formula>
    </cfRule>
  </conditionalFormatting>
  <conditionalFormatting sqref="A69:A74">
    <cfRule type="expression" dxfId="935" priority="10">
      <formula>kvartal &lt; 4</formula>
    </cfRule>
  </conditionalFormatting>
  <conditionalFormatting sqref="A80:A85">
    <cfRule type="expression" dxfId="934" priority="9">
      <formula>kvartal &lt; 4</formula>
    </cfRule>
  </conditionalFormatting>
  <conditionalFormatting sqref="A90:A95">
    <cfRule type="expression" dxfId="933" priority="6">
      <formula>kvartal &lt; 4</formula>
    </cfRule>
  </conditionalFormatting>
  <conditionalFormatting sqref="A101:A106">
    <cfRule type="expression" dxfId="932" priority="5">
      <formula>kvartal &lt; 4</formula>
    </cfRule>
  </conditionalFormatting>
  <conditionalFormatting sqref="A115">
    <cfRule type="expression" dxfId="931" priority="4">
      <formula>kvartal &lt; 4</formula>
    </cfRule>
  </conditionalFormatting>
  <conditionalFormatting sqref="A123">
    <cfRule type="expression" dxfId="930" priority="3">
      <formula>kvartal &lt; 4</formula>
    </cfRule>
  </conditionalFormatting>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dimension ref="A1:O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97</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c r="C7" s="310"/>
      <c r="D7" s="354"/>
      <c r="E7" s="11"/>
      <c r="F7" s="309"/>
      <c r="G7" s="310"/>
      <c r="H7" s="354"/>
      <c r="I7" s="160"/>
      <c r="J7" s="311"/>
      <c r="K7" s="312"/>
      <c r="L7" s="431"/>
      <c r="M7" s="11"/>
      <c r="O7" s="148"/>
    </row>
    <row r="8" spans="1:15" ht="15.75" x14ac:dyDescent="0.2">
      <c r="A8" s="21" t="s">
        <v>25</v>
      </c>
      <c r="B8" s="284"/>
      <c r="C8" s="285"/>
      <c r="D8" s="166"/>
      <c r="E8" s="27"/>
      <c r="F8" s="288"/>
      <c r="G8" s="289"/>
      <c r="H8" s="166"/>
      <c r="I8" s="176"/>
      <c r="J8" s="235"/>
      <c r="K8" s="290"/>
      <c r="L8" s="257"/>
      <c r="M8" s="27"/>
      <c r="O8" s="148"/>
    </row>
    <row r="9" spans="1:15" ht="15.75" x14ac:dyDescent="0.2">
      <c r="A9" s="21" t="s">
        <v>24</v>
      </c>
      <c r="B9" s="284"/>
      <c r="C9" s="285"/>
      <c r="D9" s="166"/>
      <c r="E9" s="27"/>
      <c r="F9" s="288"/>
      <c r="G9" s="289"/>
      <c r="H9" s="166"/>
      <c r="I9" s="176"/>
      <c r="J9" s="235"/>
      <c r="K9" s="290"/>
      <c r="L9" s="257"/>
      <c r="M9" s="27"/>
      <c r="O9" s="148"/>
    </row>
    <row r="10" spans="1:15" ht="15.75" x14ac:dyDescent="0.2">
      <c r="A10" s="13" t="s">
        <v>376</v>
      </c>
      <c r="B10" s="313"/>
      <c r="C10" s="314"/>
      <c r="D10" s="171"/>
      <c r="E10" s="11"/>
      <c r="F10" s="313"/>
      <c r="G10" s="314"/>
      <c r="H10" s="171"/>
      <c r="I10" s="160"/>
      <c r="J10" s="311"/>
      <c r="K10" s="312"/>
      <c r="L10" s="432"/>
      <c r="M10" s="11"/>
      <c r="O10" s="148"/>
    </row>
    <row r="11" spans="1:15" s="43" customFormat="1" ht="15.75" x14ac:dyDescent="0.2">
      <c r="A11" s="13" t="s">
        <v>377</v>
      </c>
      <c r="B11" s="313"/>
      <c r="C11" s="314"/>
      <c r="D11" s="171"/>
      <c r="E11" s="11"/>
      <c r="F11" s="313"/>
      <c r="G11" s="314"/>
      <c r="H11" s="171"/>
      <c r="I11" s="160"/>
      <c r="J11" s="311"/>
      <c r="K11" s="312"/>
      <c r="L11" s="432"/>
      <c r="M11" s="11"/>
      <c r="N11" s="143"/>
      <c r="O11" s="148"/>
    </row>
    <row r="12" spans="1:15" s="43" customFormat="1" ht="15.75" x14ac:dyDescent="0.2">
      <c r="A12" s="41" t="s">
        <v>378</v>
      </c>
      <c r="B12" s="315"/>
      <c r="C12" s="316"/>
      <c r="D12" s="169"/>
      <c r="E12" s="36"/>
      <c r="F12" s="315"/>
      <c r="G12" s="316"/>
      <c r="H12" s="169"/>
      <c r="I12" s="169"/>
      <c r="J12" s="317"/>
      <c r="K12" s="318"/>
      <c r="L12" s="433"/>
      <c r="M12" s="36"/>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c r="C22" s="319"/>
      <c r="D22" s="354"/>
      <c r="E22" s="11"/>
      <c r="F22" s="321"/>
      <c r="G22" s="321"/>
      <c r="H22" s="354"/>
      <c r="I22" s="11"/>
      <c r="J22" s="319"/>
      <c r="K22" s="319"/>
      <c r="L22" s="431"/>
      <c r="M22" s="24"/>
      <c r="O22" s="148"/>
    </row>
    <row r="23" spans="1:15" ht="15.75" x14ac:dyDescent="0.2">
      <c r="A23" s="619" t="s">
        <v>379</v>
      </c>
      <c r="B23" s="284"/>
      <c r="C23" s="284"/>
      <c r="D23" s="166"/>
      <c r="E23" s="11"/>
      <c r="F23" s="293"/>
      <c r="G23" s="293"/>
      <c r="H23" s="166"/>
      <c r="I23" s="421"/>
      <c r="J23" s="293"/>
      <c r="K23" s="293"/>
      <c r="L23" s="166"/>
      <c r="M23" s="23"/>
      <c r="O23" s="148"/>
    </row>
    <row r="24" spans="1:15" ht="15.75" x14ac:dyDescent="0.2">
      <c r="A24" s="619" t="s">
        <v>380</v>
      </c>
      <c r="B24" s="284"/>
      <c r="C24" s="284"/>
      <c r="D24" s="166"/>
      <c r="E24" s="11"/>
      <c r="F24" s="293"/>
      <c r="G24" s="293"/>
      <c r="H24" s="166"/>
      <c r="I24" s="421"/>
      <c r="J24" s="293"/>
      <c r="K24" s="293"/>
      <c r="L24" s="166"/>
      <c r="M24" s="23"/>
      <c r="O24" s="148"/>
    </row>
    <row r="25" spans="1:15" ht="15.75" x14ac:dyDescent="0.2">
      <c r="A25" s="619" t="s">
        <v>381</v>
      </c>
      <c r="B25" s="284"/>
      <c r="C25" s="284"/>
      <c r="D25" s="166"/>
      <c r="E25" s="11"/>
      <c r="F25" s="293"/>
      <c r="G25" s="293"/>
      <c r="H25" s="166"/>
      <c r="I25" s="421"/>
      <c r="J25" s="293"/>
      <c r="K25" s="293"/>
      <c r="L25" s="166"/>
      <c r="M25" s="23"/>
      <c r="O25" s="148"/>
    </row>
    <row r="26" spans="1:15" ht="15.75" x14ac:dyDescent="0.2">
      <c r="A26" s="619" t="s">
        <v>382</v>
      </c>
      <c r="B26" s="284"/>
      <c r="C26" s="284"/>
      <c r="D26" s="166"/>
      <c r="E26" s="11"/>
      <c r="F26" s="293"/>
      <c r="G26" s="293"/>
      <c r="H26" s="166"/>
      <c r="I26" s="421"/>
      <c r="J26" s="293"/>
      <c r="K26" s="293"/>
      <c r="L26" s="166"/>
      <c r="M26" s="23"/>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c r="C28" s="290"/>
      <c r="D28" s="166"/>
      <c r="E28" s="11"/>
      <c r="F28" s="235"/>
      <c r="G28" s="290"/>
      <c r="H28" s="166"/>
      <c r="I28" s="27"/>
      <c r="J28" s="44"/>
      <c r="K28" s="44"/>
      <c r="L28" s="257"/>
      <c r="M28" s="23"/>
      <c r="O28" s="148"/>
    </row>
    <row r="29" spans="1:15" s="3" customFormat="1" ht="15.75" x14ac:dyDescent="0.2">
      <c r="A29" s="13" t="s">
        <v>376</v>
      </c>
      <c r="B29" s="237"/>
      <c r="C29" s="237"/>
      <c r="D29" s="171"/>
      <c r="E29" s="11"/>
      <c r="F29" s="311"/>
      <c r="G29" s="311"/>
      <c r="H29" s="171"/>
      <c r="I29" s="11"/>
      <c r="J29" s="237"/>
      <c r="K29" s="237"/>
      <c r="L29" s="432"/>
      <c r="M29" s="24"/>
      <c r="N29" s="148"/>
      <c r="O29" s="148"/>
    </row>
    <row r="30" spans="1:15" s="3" customFormat="1" ht="15.75" x14ac:dyDescent="0.2">
      <c r="A30" s="619" t="s">
        <v>379</v>
      </c>
      <c r="B30" s="284"/>
      <c r="C30" s="284"/>
      <c r="D30" s="166"/>
      <c r="E30" s="11"/>
      <c r="F30" s="293"/>
      <c r="G30" s="293"/>
      <c r="H30" s="166"/>
      <c r="I30" s="421"/>
      <c r="J30" s="293"/>
      <c r="K30" s="293"/>
      <c r="L30" s="166"/>
      <c r="M30" s="23"/>
      <c r="N30" s="148"/>
      <c r="O30" s="148"/>
    </row>
    <row r="31" spans="1:15" s="3" customFormat="1" ht="15.75" x14ac:dyDescent="0.2">
      <c r="A31" s="619" t="s">
        <v>380</v>
      </c>
      <c r="B31" s="284"/>
      <c r="C31" s="284"/>
      <c r="D31" s="166"/>
      <c r="E31" s="11"/>
      <c r="F31" s="293"/>
      <c r="G31" s="293"/>
      <c r="H31" s="166"/>
      <c r="I31" s="421"/>
      <c r="J31" s="293"/>
      <c r="K31" s="293"/>
      <c r="L31" s="166"/>
      <c r="M31" s="23"/>
      <c r="N31" s="148"/>
      <c r="O31" s="148"/>
    </row>
    <row r="32" spans="1:15" ht="15.75" x14ac:dyDescent="0.2">
      <c r="A32" s="619" t="s">
        <v>381</v>
      </c>
      <c r="B32" s="284"/>
      <c r="C32" s="284"/>
      <c r="D32" s="166"/>
      <c r="E32" s="11"/>
      <c r="F32" s="293"/>
      <c r="G32" s="293"/>
      <c r="H32" s="166"/>
      <c r="I32" s="421"/>
      <c r="J32" s="293"/>
      <c r="K32" s="293"/>
      <c r="L32" s="166"/>
      <c r="M32" s="23"/>
      <c r="O32" s="148"/>
    </row>
    <row r="33" spans="1:15" ht="15.75" x14ac:dyDescent="0.2">
      <c r="A33" s="619" t="s">
        <v>382</v>
      </c>
      <c r="B33" s="284"/>
      <c r="C33" s="284"/>
      <c r="D33" s="166"/>
      <c r="E33" s="11"/>
      <c r="F33" s="293"/>
      <c r="G33" s="293"/>
      <c r="H33" s="166"/>
      <c r="I33" s="421"/>
      <c r="J33" s="293"/>
      <c r="K33" s="293"/>
      <c r="L33" s="166"/>
      <c r="M33" s="23"/>
      <c r="O33" s="148"/>
    </row>
    <row r="34" spans="1:15" ht="15.75" x14ac:dyDescent="0.2">
      <c r="A34" s="13" t="s">
        <v>377</v>
      </c>
      <c r="B34" s="237"/>
      <c r="C34" s="312"/>
      <c r="D34" s="171"/>
      <c r="E34" s="11"/>
      <c r="F34" s="311"/>
      <c r="G34" s="312"/>
      <c r="H34" s="171"/>
      <c r="I34" s="11"/>
      <c r="J34" s="237"/>
      <c r="K34" s="237"/>
      <c r="L34" s="432"/>
      <c r="M34" s="24"/>
      <c r="O34" s="148"/>
    </row>
    <row r="35" spans="1:15" ht="15.75" x14ac:dyDescent="0.2">
      <c r="A35" s="13" t="s">
        <v>378</v>
      </c>
      <c r="B35" s="237"/>
      <c r="C35" s="312"/>
      <c r="D35" s="171"/>
      <c r="E35" s="11"/>
      <c r="F35" s="311"/>
      <c r="G35" s="312"/>
      <c r="H35" s="171"/>
      <c r="I35" s="11"/>
      <c r="J35" s="237"/>
      <c r="K35" s="237"/>
      <c r="L35" s="432"/>
      <c r="M35" s="24"/>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c r="C47" s="314"/>
      <c r="D47" s="431"/>
      <c r="E47" s="11"/>
      <c r="F47" s="145"/>
      <c r="G47" s="33"/>
      <c r="H47" s="159"/>
      <c r="I47" s="159"/>
      <c r="J47" s="37"/>
      <c r="K47" s="37"/>
      <c r="L47" s="159"/>
      <c r="M47" s="159"/>
      <c r="N47" s="148"/>
      <c r="O47" s="148"/>
    </row>
    <row r="48" spans="1:15" s="3" customFormat="1" ht="15.75" x14ac:dyDescent="0.2">
      <c r="A48" s="38" t="s">
        <v>387</v>
      </c>
      <c r="B48" s="284"/>
      <c r="C48" s="285"/>
      <c r="D48" s="257"/>
      <c r="E48" s="27"/>
      <c r="F48" s="145"/>
      <c r="G48" s="33"/>
      <c r="H48" s="145"/>
      <c r="I48" s="145"/>
      <c r="J48" s="33"/>
      <c r="K48" s="33"/>
      <c r="L48" s="159"/>
      <c r="M48" s="159"/>
      <c r="N48" s="148"/>
      <c r="O48" s="148"/>
    </row>
    <row r="49" spans="1:15" s="3" customFormat="1" ht="15.75" x14ac:dyDescent="0.2">
      <c r="A49" s="38" t="s">
        <v>388</v>
      </c>
      <c r="B49" s="44"/>
      <c r="C49" s="290"/>
      <c r="D49" s="257"/>
      <c r="E49" s="27"/>
      <c r="F49" s="145"/>
      <c r="G49" s="33"/>
      <c r="H49" s="145"/>
      <c r="I49" s="145"/>
      <c r="J49" s="37"/>
      <c r="K49" s="37"/>
      <c r="L49" s="159"/>
      <c r="M49" s="159"/>
      <c r="N49" s="148"/>
      <c r="O49" s="148"/>
    </row>
    <row r="50" spans="1:15" s="3" customFormat="1" x14ac:dyDescent="0.2">
      <c r="A50" s="299" t="s">
        <v>6</v>
      </c>
      <c r="B50" s="293"/>
      <c r="C50" s="294"/>
      <c r="D50" s="257"/>
      <c r="E50" s="23"/>
      <c r="F50" s="145"/>
      <c r="G50" s="33"/>
      <c r="H50" s="145"/>
      <c r="I50" s="145"/>
      <c r="J50" s="33"/>
      <c r="K50" s="33"/>
      <c r="L50" s="159"/>
      <c r="M50" s="159"/>
      <c r="N50" s="148"/>
      <c r="O50" s="148"/>
    </row>
    <row r="51" spans="1:15" s="3" customFormat="1" x14ac:dyDescent="0.2">
      <c r="A51" s="299" t="s">
        <v>7</v>
      </c>
      <c r="B51" s="293"/>
      <c r="C51" s="294"/>
      <c r="D51" s="257"/>
      <c r="E51" s="23"/>
      <c r="F51" s="145"/>
      <c r="G51" s="33"/>
      <c r="H51" s="145"/>
      <c r="I51" s="145"/>
      <c r="J51" s="33"/>
      <c r="K51" s="33"/>
      <c r="L51" s="159"/>
      <c r="M51" s="159"/>
      <c r="N51" s="148"/>
      <c r="O51" s="148"/>
    </row>
    <row r="52" spans="1:15" s="3" customFormat="1" x14ac:dyDescent="0.2">
      <c r="A52" s="299" t="s">
        <v>8</v>
      </c>
      <c r="B52" s="293"/>
      <c r="C52" s="294"/>
      <c r="D52" s="257"/>
      <c r="E52" s="23"/>
      <c r="F52" s="145"/>
      <c r="G52" s="33"/>
      <c r="H52" s="145"/>
      <c r="I52" s="145"/>
      <c r="J52" s="33"/>
      <c r="K52" s="33"/>
      <c r="L52" s="159"/>
      <c r="M52" s="159"/>
      <c r="N52" s="148"/>
      <c r="O52" s="148"/>
    </row>
    <row r="53" spans="1:15" s="3" customFormat="1" ht="15.75" x14ac:dyDescent="0.2">
      <c r="A53" s="39" t="s">
        <v>389</v>
      </c>
      <c r="B53" s="313"/>
      <c r="C53" s="314"/>
      <c r="D53" s="432"/>
      <c r="E53" s="11"/>
      <c r="F53" s="145"/>
      <c r="G53" s="33"/>
      <c r="H53" s="145"/>
      <c r="I53" s="145"/>
      <c r="J53" s="33"/>
      <c r="K53" s="33"/>
      <c r="L53" s="159"/>
      <c r="M53" s="159"/>
      <c r="N53" s="148"/>
      <c r="O53" s="148"/>
    </row>
    <row r="54" spans="1:15" s="3" customFormat="1" ht="15.75" x14ac:dyDescent="0.2">
      <c r="A54" s="38" t="s">
        <v>387</v>
      </c>
      <c r="B54" s="284"/>
      <c r="C54" s="285"/>
      <c r="D54" s="257"/>
      <c r="E54" s="27"/>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c r="C56" s="314"/>
      <c r="D56" s="432"/>
      <c r="E56" s="11"/>
      <c r="F56" s="145"/>
      <c r="G56" s="33"/>
      <c r="H56" s="145"/>
      <c r="I56" s="145"/>
      <c r="J56" s="33"/>
      <c r="K56" s="33"/>
      <c r="L56" s="159"/>
      <c r="M56" s="159"/>
      <c r="N56" s="148"/>
      <c r="O56" s="148"/>
    </row>
    <row r="57" spans="1:15" s="3" customFormat="1" ht="15.75" x14ac:dyDescent="0.2">
      <c r="A57" s="38" t="s">
        <v>387</v>
      </c>
      <c r="B57" s="284"/>
      <c r="C57" s="285"/>
      <c r="D57" s="257"/>
      <c r="E57" s="27"/>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v>61324</v>
      </c>
      <c r="C66" s="357">
        <v>66367</v>
      </c>
      <c r="D66" s="354">
        <f t="shared" ref="D66:D111" si="0">IF(B66=0, "    ---- ", IF(ABS(ROUND(100/B66*C66-100,1))&lt;999,ROUND(100/B66*C66-100,1),IF(ROUND(100/B66*C66-100,1)&gt;999,999,-999)))</f>
        <v>8.1999999999999993</v>
      </c>
      <c r="E66" s="11">
        <f>IFERROR(100/'Skjema total MA'!C66*C66,0)</f>
        <v>0.92223137667728516</v>
      </c>
      <c r="F66" s="356">
        <v>262322</v>
      </c>
      <c r="G66" s="356">
        <v>315306</v>
      </c>
      <c r="H66" s="354">
        <f t="shared" ref="H66:H111" si="1">IF(F66=0, "    ---- ", IF(ABS(ROUND(100/F66*G66-100,1))&lt;999,ROUND(100/F66*G66-100,1),IF(ROUND(100/F66*G66-100,1)&gt;999,999,-999)))</f>
        <v>20.2</v>
      </c>
      <c r="I66" s="11">
        <f>IFERROR(100/'Skjema total MA'!F66*G66,0)</f>
        <v>1.4677198650815098</v>
      </c>
      <c r="J66" s="312">
        <f t="shared" ref="J66:K79" si="2">SUM(B66,F66)</f>
        <v>323646</v>
      </c>
      <c r="K66" s="319">
        <f t="shared" si="2"/>
        <v>381673</v>
      </c>
      <c r="L66" s="432">
        <f t="shared" ref="L66:L111" si="3">IF(J66=0, "    ---- ", IF(ABS(ROUND(100/J66*K66-100,1))&lt;999,ROUND(100/J66*K66-100,1),IF(ROUND(100/J66*K66-100,1)&gt;999,999,-999)))</f>
        <v>17.899999999999999</v>
      </c>
      <c r="M66" s="11">
        <f>IFERROR(100/'Skjema total MA'!I66*K66,0)</f>
        <v>1.3308420801298848</v>
      </c>
      <c r="O66" s="148"/>
    </row>
    <row r="67" spans="1:15" x14ac:dyDescent="0.2">
      <c r="A67" s="423" t="s">
        <v>9</v>
      </c>
      <c r="B67" s="44">
        <v>61324</v>
      </c>
      <c r="C67" s="145">
        <v>66367</v>
      </c>
      <c r="D67" s="166">
        <f t="shared" si="0"/>
        <v>8.1999999999999993</v>
      </c>
      <c r="E67" s="27">
        <f>IFERROR(100/'Skjema total MA'!C67*C67,0)</f>
        <v>1.1442486892383965</v>
      </c>
      <c r="F67" s="235"/>
      <c r="G67" s="145"/>
      <c r="H67" s="166"/>
      <c r="I67" s="27"/>
      <c r="J67" s="290">
        <f t="shared" si="2"/>
        <v>61324</v>
      </c>
      <c r="K67" s="44">
        <f t="shared" si="2"/>
        <v>66367</v>
      </c>
      <c r="L67" s="257">
        <f t="shared" si="3"/>
        <v>8.1999999999999993</v>
      </c>
      <c r="M67" s="27">
        <f>IFERROR(100/'Skjema total MA'!I67*K67,0)</f>
        <v>1.1442486892383965</v>
      </c>
      <c r="O67" s="148"/>
    </row>
    <row r="68" spans="1:15" x14ac:dyDescent="0.2">
      <c r="A68" s="21" t="s">
        <v>10</v>
      </c>
      <c r="B68" s="295"/>
      <c r="C68" s="296"/>
      <c r="D68" s="166"/>
      <c r="E68" s="27"/>
      <c r="F68" s="295">
        <v>262322</v>
      </c>
      <c r="G68" s="296">
        <v>315306</v>
      </c>
      <c r="H68" s="166">
        <f t="shared" si="1"/>
        <v>20.2</v>
      </c>
      <c r="I68" s="27">
        <f>IFERROR(100/'Skjema total MA'!F68*G68,0)</f>
        <v>1.4888327072755168</v>
      </c>
      <c r="J68" s="290">
        <f t="shared" si="2"/>
        <v>262322</v>
      </c>
      <c r="K68" s="44">
        <f t="shared" si="2"/>
        <v>315306</v>
      </c>
      <c r="L68" s="257">
        <f t="shared" si="3"/>
        <v>20.2</v>
      </c>
      <c r="M68" s="27">
        <f>IFERROR(100/'Skjema total MA'!I68*K68,0)</f>
        <v>1.4795778559649864</v>
      </c>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v>61324</v>
      </c>
      <c r="C77" s="235">
        <v>66367</v>
      </c>
      <c r="D77" s="166">
        <f t="shared" si="0"/>
        <v>8.1999999999999993</v>
      </c>
      <c r="E77" s="27">
        <f>IFERROR(100/'Skjema total MA'!C77*C77,0)</f>
        <v>1.1390193871733421</v>
      </c>
      <c r="F77" s="235">
        <v>262322</v>
      </c>
      <c r="G77" s="145">
        <v>315306</v>
      </c>
      <c r="H77" s="166">
        <f t="shared" si="1"/>
        <v>20.2</v>
      </c>
      <c r="I77" s="27">
        <f>IFERROR(100/'Skjema total MA'!F77*G77,0)</f>
        <v>1.4895141671680696</v>
      </c>
      <c r="J77" s="290">
        <f t="shared" si="2"/>
        <v>323646</v>
      </c>
      <c r="K77" s="44">
        <f t="shared" si="2"/>
        <v>381673</v>
      </c>
      <c r="L77" s="257">
        <f t="shared" si="3"/>
        <v>17.899999999999999</v>
      </c>
      <c r="M77" s="27">
        <f>IFERROR(100/'Skjema total MA'!I77*K77,0)</f>
        <v>1.4138625233601194</v>
      </c>
      <c r="O77" s="148"/>
    </row>
    <row r="78" spans="1:15" x14ac:dyDescent="0.2">
      <c r="A78" s="21" t="s">
        <v>9</v>
      </c>
      <c r="B78" s="235">
        <v>61324</v>
      </c>
      <c r="C78" s="145">
        <v>66367</v>
      </c>
      <c r="D78" s="166">
        <f t="shared" si="0"/>
        <v>8.1999999999999993</v>
      </c>
      <c r="E78" s="27">
        <f>IFERROR(100/'Skjema total MA'!C78*C78,0)</f>
        <v>1.1648774695031219</v>
      </c>
      <c r="F78" s="235"/>
      <c r="G78" s="145"/>
      <c r="H78" s="166"/>
      <c r="I78" s="27"/>
      <c r="J78" s="290">
        <f t="shared" si="2"/>
        <v>61324</v>
      </c>
      <c r="K78" s="44">
        <f t="shared" si="2"/>
        <v>66367</v>
      </c>
      <c r="L78" s="257">
        <f t="shared" si="3"/>
        <v>8.1999999999999993</v>
      </c>
      <c r="M78" s="27">
        <f>IFERROR(100/'Skjema total MA'!I78*K78,0)</f>
        <v>1.1648774695031219</v>
      </c>
      <c r="O78" s="148"/>
    </row>
    <row r="79" spans="1:15" x14ac:dyDescent="0.2">
      <c r="A79" s="21" t="s">
        <v>10</v>
      </c>
      <c r="B79" s="295"/>
      <c r="C79" s="296"/>
      <c r="D79" s="166"/>
      <c r="E79" s="27"/>
      <c r="F79" s="295">
        <v>262322</v>
      </c>
      <c r="G79" s="296">
        <v>315306</v>
      </c>
      <c r="H79" s="166">
        <f t="shared" si="1"/>
        <v>20.2</v>
      </c>
      <c r="I79" s="27">
        <f>IFERROR(100/'Skjema total MA'!F79*G79,0)</f>
        <v>1.4895141671680696</v>
      </c>
      <c r="J79" s="290">
        <f t="shared" si="2"/>
        <v>262322</v>
      </c>
      <c r="K79" s="44">
        <f t="shared" si="2"/>
        <v>315306</v>
      </c>
      <c r="L79" s="257">
        <f t="shared" si="3"/>
        <v>20.2</v>
      </c>
      <c r="M79" s="27">
        <f>IFERROR(100/'Skjema total MA'!I79*K79,0)</f>
        <v>1.4804683321203405</v>
      </c>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c r="G86" s="145"/>
      <c r="H86" s="166"/>
      <c r="I86" s="27"/>
      <c r="J86" s="290"/>
      <c r="K86" s="44"/>
      <c r="L86" s="257"/>
      <c r="M86" s="27"/>
      <c r="O86" s="148"/>
    </row>
    <row r="87" spans="1:15" ht="15.75" x14ac:dyDescent="0.2">
      <c r="A87" s="13" t="s">
        <v>376</v>
      </c>
      <c r="B87" s="357">
        <v>1539670</v>
      </c>
      <c r="C87" s="357">
        <v>1682836</v>
      </c>
      <c r="D87" s="171">
        <f t="shared" si="0"/>
        <v>9.3000000000000007</v>
      </c>
      <c r="E87" s="11">
        <f>IFERROR(100/'Skjema total MA'!C87*C87,0)</f>
        <v>0.4362476481847139</v>
      </c>
      <c r="F87" s="356">
        <v>2432471</v>
      </c>
      <c r="G87" s="356">
        <v>3400155</v>
      </c>
      <c r="H87" s="171">
        <f t="shared" si="1"/>
        <v>39.799999999999997</v>
      </c>
      <c r="I87" s="11">
        <f>IFERROR(100/'Skjema total MA'!F87*G87,0)</f>
        <v>1.3098295496945545</v>
      </c>
      <c r="J87" s="312">
        <f t="shared" ref="J87:K111" si="4">SUM(B87,F87)</f>
        <v>3972141</v>
      </c>
      <c r="K87" s="237">
        <f t="shared" si="4"/>
        <v>5082991</v>
      </c>
      <c r="L87" s="432">
        <f t="shared" si="3"/>
        <v>28</v>
      </c>
      <c r="M87" s="11">
        <f>IFERROR(100/'Skjema total MA'!I87*K87,0)</f>
        <v>0.78764537224222997</v>
      </c>
      <c r="O87" s="148"/>
    </row>
    <row r="88" spans="1:15" x14ac:dyDescent="0.2">
      <c r="A88" s="21" t="s">
        <v>9</v>
      </c>
      <c r="B88" s="235">
        <v>1539670</v>
      </c>
      <c r="C88" s="145">
        <v>1682836</v>
      </c>
      <c r="D88" s="166">
        <f t="shared" si="0"/>
        <v>9.3000000000000007</v>
      </c>
      <c r="E88" s="27">
        <f>IFERROR(100/'Skjema total MA'!C88*C88,0)</f>
        <v>0.44635077204459073</v>
      </c>
      <c r="F88" s="235"/>
      <c r="G88" s="145"/>
      <c r="H88" s="166"/>
      <c r="I88" s="27"/>
      <c r="J88" s="290">
        <f t="shared" si="4"/>
        <v>1539670</v>
      </c>
      <c r="K88" s="44">
        <f t="shared" si="4"/>
        <v>1682836</v>
      </c>
      <c r="L88" s="257">
        <f t="shared" si="3"/>
        <v>9.3000000000000007</v>
      </c>
      <c r="M88" s="27">
        <f>IFERROR(100/'Skjema total MA'!I88*K88,0)</f>
        <v>0.44635077204459073</v>
      </c>
      <c r="O88" s="148"/>
    </row>
    <row r="89" spans="1:15" x14ac:dyDescent="0.2">
      <c r="A89" s="21" t="s">
        <v>10</v>
      </c>
      <c r="B89" s="235"/>
      <c r="C89" s="145"/>
      <c r="D89" s="166"/>
      <c r="E89" s="27"/>
      <c r="F89" s="235">
        <v>2432471</v>
      </c>
      <c r="G89" s="145">
        <v>3400155</v>
      </c>
      <c r="H89" s="166">
        <f t="shared" si="1"/>
        <v>39.799999999999997</v>
      </c>
      <c r="I89" s="27">
        <f>IFERROR(100/'Skjema total MA'!F89*G89,0)</f>
        <v>1.3150547771332286</v>
      </c>
      <c r="J89" s="290">
        <f t="shared" si="4"/>
        <v>2432471</v>
      </c>
      <c r="K89" s="44">
        <f t="shared" si="4"/>
        <v>3400155</v>
      </c>
      <c r="L89" s="257">
        <f t="shared" si="3"/>
        <v>39.799999999999997</v>
      </c>
      <c r="M89" s="27">
        <f>IFERROR(100/'Skjema total MA'!I89*K89,0)</f>
        <v>1.301778377444559</v>
      </c>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v>1539670</v>
      </c>
      <c r="C98" s="235">
        <v>1682836</v>
      </c>
      <c r="D98" s="166">
        <f t="shared" si="0"/>
        <v>9.3000000000000007</v>
      </c>
      <c r="E98" s="27">
        <f>IFERROR(100/'Skjema total MA'!C98*C98,0)</f>
        <v>0.44899524552967079</v>
      </c>
      <c r="F98" s="295">
        <v>2432471</v>
      </c>
      <c r="G98" s="295">
        <v>3400155</v>
      </c>
      <c r="H98" s="166">
        <f t="shared" si="1"/>
        <v>39.799999999999997</v>
      </c>
      <c r="I98" s="27">
        <f>IFERROR(100/'Skjema total MA'!F98*G98,0)</f>
        <v>1.3186373333487347</v>
      </c>
      <c r="J98" s="290">
        <f t="shared" si="4"/>
        <v>3972141</v>
      </c>
      <c r="K98" s="44">
        <f t="shared" si="4"/>
        <v>5082991</v>
      </c>
      <c r="L98" s="257">
        <f t="shared" si="3"/>
        <v>28</v>
      </c>
      <c r="M98" s="27">
        <f>IFERROR(100/'Skjema total MA'!I98*K98,0)</f>
        <v>0.8034392017785561</v>
      </c>
      <c r="O98" s="148"/>
    </row>
    <row r="99" spans="1:15" x14ac:dyDescent="0.2">
      <c r="A99" s="21" t="s">
        <v>9</v>
      </c>
      <c r="B99" s="295">
        <v>1539670</v>
      </c>
      <c r="C99" s="296">
        <v>1682836</v>
      </c>
      <c r="D99" s="166">
        <f t="shared" si="0"/>
        <v>9.3000000000000007</v>
      </c>
      <c r="E99" s="27">
        <f>IFERROR(100/'Skjema total MA'!C99*C99,0)</f>
        <v>0.45217655653069433</v>
      </c>
      <c r="F99" s="235"/>
      <c r="G99" s="145"/>
      <c r="H99" s="166"/>
      <c r="I99" s="27"/>
      <c r="J99" s="290">
        <f t="shared" si="4"/>
        <v>1539670</v>
      </c>
      <c r="K99" s="44">
        <f t="shared" si="4"/>
        <v>1682836</v>
      </c>
      <c r="L99" s="257">
        <f t="shared" si="3"/>
        <v>9.3000000000000007</v>
      </c>
      <c r="M99" s="27">
        <f>IFERROR(100/'Skjema total MA'!I99*K99,0)</f>
        <v>0.45217655653069433</v>
      </c>
      <c r="O99" s="148"/>
    </row>
    <row r="100" spans="1:15" x14ac:dyDescent="0.2">
      <c r="A100" s="21" t="s">
        <v>10</v>
      </c>
      <c r="B100" s="295"/>
      <c r="C100" s="296"/>
      <c r="D100" s="166"/>
      <c r="E100" s="27"/>
      <c r="F100" s="235">
        <v>2432471</v>
      </c>
      <c r="G100" s="235">
        <v>3400155</v>
      </c>
      <c r="H100" s="166">
        <f t="shared" si="1"/>
        <v>39.799999999999997</v>
      </c>
      <c r="I100" s="27">
        <f>IFERROR(100/'Skjema total MA'!F100*G100,0)</f>
        <v>1.3186373333487347</v>
      </c>
      <c r="J100" s="290">
        <f t="shared" si="4"/>
        <v>2432471</v>
      </c>
      <c r="K100" s="44">
        <f t="shared" si="4"/>
        <v>3400155</v>
      </c>
      <c r="L100" s="257">
        <f t="shared" si="3"/>
        <v>39.799999999999997</v>
      </c>
      <c r="M100" s="27">
        <f>IFERROR(100/'Skjema total MA'!I100*K100,0)</f>
        <v>1.3052888654234112</v>
      </c>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c r="G107" s="145"/>
      <c r="H107" s="166"/>
      <c r="I107" s="27"/>
      <c r="J107" s="290"/>
      <c r="K107" s="44"/>
      <c r="L107" s="257"/>
      <c r="M107" s="27"/>
      <c r="O107" s="148"/>
    </row>
    <row r="108" spans="1:15" ht="15.75" x14ac:dyDescent="0.2">
      <c r="A108" s="21" t="s">
        <v>395</v>
      </c>
      <c r="B108" s="235">
        <v>873667</v>
      </c>
      <c r="C108" s="235">
        <v>998536</v>
      </c>
      <c r="D108" s="166">
        <f t="shared" si="0"/>
        <v>14.3</v>
      </c>
      <c r="E108" s="27">
        <f>IFERROR(100/'Skjema total MA'!C108*C108,0)</f>
        <v>0.32332343343683095</v>
      </c>
      <c r="F108" s="235"/>
      <c r="G108" s="235"/>
      <c r="H108" s="166"/>
      <c r="I108" s="27"/>
      <c r="J108" s="290">
        <f t="shared" si="4"/>
        <v>873667</v>
      </c>
      <c r="K108" s="44">
        <f t="shared" si="4"/>
        <v>998536</v>
      </c>
      <c r="L108" s="257">
        <f t="shared" si="3"/>
        <v>14.3</v>
      </c>
      <c r="M108" s="27">
        <f>IFERROR(100/'Skjema total MA'!I108*K108,0)</f>
        <v>0.30722217508275201</v>
      </c>
      <c r="O108" s="148"/>
    </row>
    <row r="109" spans="1:15" ht="15.75" x14ac:dyDescent="0.2">
      <c r="A109" s="21" t="s">
        <v>396</v>
      </c>
      <c r="B109" s="235"/>
      <c r="C109" s="235"/>
      <c r="D109" s="166"/>
      <c r="E109" s="27"/>
      <c r="F109" s="235">
        <v>950823</v>
      </c>
      <c r="G109" s="235">
        <v>1454503</v>
      </c>
      <c r="H109" s="166">
        <f t="shared" si="1"/>
        <v>53</v>
      </c>
      <c r="I109" s="27">
        <f>IFERROR(100/'Skjema total MA'!F109*G109,0)</f>
        <v>1.7683277109478914</v>
      </c>
      <c r="J109" s="290">
        <f t="shared" si="4"/>
        <v>950823</v>
      </c>
      <c r="K109" s="44">
        <f t="shared" si="4"/>
        <v>1454503</v>
      </c>
      <c r="L109" s="257">
        <f t="shared" si="3"/>
        <v>53</v>
      </c>
      <c r="M109" s="27">
        <f>IFERROR(100/'Skjema total MA'!I109*K109,0)</f>
        <v>1.7487603784405454</v>
      </c>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v>746</v>
      </c>
      <c r="C111" s="159">
        <v>3248</v>
      </c>
      <c r="D111" s="171">
        <f t="shared" si="0"/>
        <v>335.4</v>
      </c>
      <c r="E111" s="11">
        <f>IFERROR(100/'Skjema total MA'!C111*C111,0)</f>
        <v>0.90884299911622091</v>
      </c>
      <c r="F111" s="311">
        <v>446270</v>
      </c>
      <c r="G111" s="159">
        <v>347120</v>
      </c>
      <c r="H111" s="171">
        <f t="shared" si="1"/>
        <v>-22.2</v>
      </c>
      <c r="I111" s="11">
        <f>IFERROR(100/'Skjema total MA'!F111*G111,0)</f>
        <v>3.2100095430459805</v>
      </c>
      <c r="J111" s="312">
        <f t="shared" si="4"/>
        <v>447016</v>
      </c>
      <c r="K111" s="237">
        <f t="shared" si="4"/>
        <v>350368</v>
      </c>
      <c r="L111" s="432">
        <f t="shared" si="3"/>
        <v>-21.6</v>
      </c>
      <c r="M111" s="11">
        <f>IFERROR(100/'Skjema total MA'!I111*K111,0)</f>
        <v>3.1363920347657732</v>
      </c>
      <c r="O111" s="148"/>
    </row>
    <row r="112" spans="1:15" x14ac:dyDescent="0.2">
      <c r="A112" s="21" t="s">
        <v>9</v>
      </c>
      <c r="B112" s="235">
        <v>746</v>
      </c>
      <c r="C112" s="145">
        <v>3248</v>
      </c>
      <c r="D112" s="166">
        <f t="shared" ref="D112:D120" si="5">IF(B112=0, "    ---- ", IF(ABS(ROUND(100/B112*C112-100,1))&lt;999,ROUND(100/B112*C112-100,1),IF(ROUND(100/B112*C112-100,1)&gt;999,999,-999)))</f>
        <v>335.4</v>
      </c>
      <c r="E112" s="27">
        <f>IFERROR(100/'Skjema total MA'!C112*C112,0)</f>
        <v>1.0587890189875238</v>
      </c>
      <c r="F112" s="235"/>
      <c r="G112" s="145"/>
      <c r="H112" s="166"/>
      <c r="I112" s="27"/>
      <c r="J112" s="290">
        <f t="shared" ref="J112:K125" si="6">SUM(B112,F112)</f>
        <v>746</v>
      </c>
      <c r="K112" s="44">
        <f t="shared" si="6"/>
        <v>3248</v>
      </c>
      <c r="L112" s="257">
        <f t="shared" ref="L112:L125" si="7">IF(J112=0, "    ---- ", IF(ABS(ROUND(100/J112*K112-100,1))&lt;999,ROUND(100/J112*K112-100,1),IF(ROUND(100/J112*K112-100,1)&gt;999,999,-999)))</f>
        <v>335.4</v>
      </c>
      <c r="M112" s="27">
        <f>IFERROR(100/'Skjema total MA'!I112*K112,0)</f>
        <v>1.0538346601064876</v>
      </c>
      <c r="O112" s="148"/>
    </row>
    <row r="113" spans="1:15" x14ac:dyDescent="0.2">
      <c r="A113" s="21" t="s">
        <v>10</v>
      </c>
      <c r="B113" s="235"/>
      <c r="C113" s="145"/>
      <c r="D113" s="166"/>
      <c r="E113" s="27"/>
      <c r="F113" s="235">
        <v>446270</v>
      </c>
      <c r="G113" s="145">
        <v>347120</v>
      </c>
      <c r="H113" s="166">
        <f t="shared" ref="H113:H125" si="8">IF(F113=0, "    ---- ", IF(ABS(ROUND(100/F113*G113-100,1))&lt;999,ROUND(100/F113*G113-100,1),IF(ROUND(100/F113*G113-100,1)&gt;999,999,-999)))</f>
        <v>-22.2</v>
      </c>
      <c r="I113" s="27">
        <f>IFERROR(100/'Skjema total MA'!F113*G113,0)</f>
        <v>3.222123895757794</v>
      </c>
      <c r="J113" s="290">
        <f t="shared" si="6"/>
        <v>446270</v>
      </c>
      <c r="K113" s="44">
        <f t="shared" si="6"/>
        <v>347120</v>
      </c>
      <c r="L113" s="257">
        <f t="shared" si="7"/>
        <v>-22.2</v>
      </c>
      <c r="M113" s="27">
        <f>IFERROR(100/'Skjema total MA'!I113*K113,0)</f>
        <v>3.2215151590027085</v>
      </c>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c r="C116" s="235"/>
      <c r="D116" s="166"/>
      <c r="E116" s="27"/>
      <c r="F116" s="235"/>
      <c r="G116" s="235"/>
      <c r="H116" s="166"/>
      <c r="I116" s="27"/>
      <c r="J116" s="290"/>
      <c r="K116" s="44"/>
      <c r="L116" s="257"/>
      <c r="M116" s="27"/>
      <c r="O116" s="148"/>
    </row>
    <row r="117" spans="1:15" ht="15.75" x14ac:dyDescent="0.2">
      <c r="A117" s="21" t="s">
        <v>399</v>
      </c>
      <c r="B117" s="235"/>
      <c r="C117" s="235"/>
      <c r="D117" s="166"/>
      <c r="E117" s="27"/>
      <c r="F117" s="235">
        <v>335993</v>
      </c>
      <c r="G117" s="235">
        <v>214503</v>
      </c>
      <c r="H117" s="166">
        <f t="shared" si="8"/>
        <v>-36.200000000000003</v>
      </c>
      <c r="I117" s="27">
        <f>IFERROR(100/'Skjema total MA'!F117*G117,0)</f>
        <v>13.035293984210412</v>
      </c>
      <c r="J117" s="290">
        <f t="shared" si="6"/>
        <v>335993</v>
      </c>
      <c r="K117" s="44">
        <f t="shared" si="6"/>
        <v>214503</v>
      </c>
      <c r="L117" s="257">
        <f t="shared" si="7"/>
        <v>-36.200000000000003</v>
      </c>
      <c r="M117" s="27">
        <f>IFERROR(100/'Skjema total MA'!I117*K117,0)</f>
        <v>13.035293984210412</v>
      </c>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v>14498</v>
      </c>
      <c r="C119" s="159">
        <v>1059</v>
      </c>
      <c r="D119" s="171">
        <f t="shared" si="5"/>
        <v>-92.7</v>
      </c>
      <c r="E119" s="11">
        <f>IFERROR(100/'Skjema total MA'!C119*C119,0)</f>
        <v>0.13335885645041418</v>
      </c>
      <c r="F119" s="311">
        <v>97170</v>
      </c>
      <c r="G119" s="159">
        <v>63046</v>
      </c>
      <c r="H119" s="171">
        <f t="shared" si="8"/>
        <v>-35.1</v>
      </c>
      <c r="I119" s="11">
        <f>IFERROR(100/'Skjema total MA'!F119*G119,0)</f>
        <v>0.57874299279594799</v>
      </c>
      <c r="J119" s="312">
        <f t="shared" si="6"/>
        <v>111668</v>
      </c>
      <c r="K119" s="237">
        <f t="shared" si="6"/>
        <v>64105</v>
      </c>
      <c r="L119" s="432">
        <f t="shared" si="7"/>
        <v>-42.6</v>
      </c>
      <c r="M119" s="11">
        <f>IFERROR(100/'Skjema total MA'!I119*K119,0)</f>
        <v>0.5484822545976511</v>
      </c>
      <c r="O119" s="148"/>
    </row>
    <row r="120" spans="1:15" x14ac:dyDescent="0.2">
      <c r="A120" s="21" t="s">
        <v>9</v>
      </c>
      <c r="B120" s="235">
        <v>14498</v>
      </c>
      <c r="C120" s="145">
        <v>1059</v>
      </c>
      <c r="D120" s="166">
        <f t="shared" si="5"/>
        <v>-92.7</v>
      </c>
      <c r="E120" s="27">
        <f>IFERROR(100/'Skjema total MA'!C120*C120,0)</f>
        <v>0.28046541675473968</v>
      </c>
      <c r="F120" s="235"/>
      <c r="G120" s="145"/>
      <c r="H120" s="166"/>
      <c r="I120" s="27"/>
      <c r="J120" s="290">
        <f t="shared" si="6"/>
        <v>14498</v>
      </c>
      <c r="K120" s="44">
        <f t="shared" si="6"/>
        <v>1059</v>
      </c>
      <c r="L120" s="257">
        <f t="shared" si="7"/>
        <v>-92.7</v>
      </c>
      <c r="M120" s="27">
        <f>IFERROR(100/'Skjema total MA'!I120*K120,0)</f>
        <v>0.28046541675473968</v>
      </c>
      <c r="O120" s="148"/>
    </row>
    <row r="121" spans="1:15" x14ac:dyDescent="0.2">
      <c r="A121" s="21" t="s">
        <v>10</v>
      </c>
      <c r="B121" s="235"/>
      <c r="C121" s="145"/>
      <c r="D121" s="166"/>
      <c r="E121" s="27"/>
      <c r="F121" s="235">
        <v>97170</v>
      </c>
      <c r="G121" s="145">
        <v>63046</v>
      </c>
      <c r="H121" s="166">
        <f t="shared" si="8"/>
        <v>-35.1</v>
      </c>
      <c r="I121" s="27">
        <f>IFERROR(100/'Skjema total MA'!F121*G121,0)</f>
        <v>0.57874299279594799</v>
      </c>
      <c r="J121" s="290">
        <f t="shared" si="6"/>
        <v>97170</v>
      </c>
      <c r="K121" s="44">
        <f t="shared" si="6"/>
        <v>63046</v>
      </c>
      <c r="L121" s="257">
        <f t="shared" si="7"/>
        <v>-35.1</v>
      </c>
      <c r="M121" s="27">
        <f>IFERROR(100/'Skjema total MA'!I121*K121,0)</f>
        <v>0.57730019065398019</v>
      </c>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v>8873</v>
      </c>
      <c r="G125" s="235">
        <v>22638</v>
      </c>
      <c r="H125" s="166">
        <f t="shared" si="8"/>
        <v>155.1</v>
      </c>
      <c r="I125" s="27">
        <f>IFERROR(100/'Skjema total MA'!F125*G125,0)</f>
        <v>1.4555773970512902</v>
      </c>
      <c r="J125" s="290">
        <f t="shared" si="6"/>
        <v>8873</v>
      </c>
      <c r="K125" s="44">
        <f t="shared" si="6"/>
        <v>22638</v>
      </c>
      <c r="L125" s="257">
        <f t="shared" si="7"/>
        <v>155.1</v>
      </c>
      <c r="M125" s="27">
        <f>IFERROR(100/'Skjema total MA'!I125*K125,0)</f>
        <v>1.4531704807311829</v>
      </c>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929" priority="132">
      <formula>kvartal &lt; 4</formula>
    </cfRule>
  </conditionalFormatting>
  <conditionalFormatting sqref="B69">
    <cfRule type="expression" dxfId="928" priority="100">
      <formula>kvartal &lt; 4</formula>
    </cfRule>
  </conditionalFormatting>
  <conditionalFormatting sqref="C69">
    <cfRule type="expression" dxfId="927" priority="99">
      <formula>kvartal &lt; 4</formula>
    </cfRule>
  </conditionalFormatting>
  <conditionalFormatting sqref="B72">
    <cfRule type="expression" dxfId="926" priority="98">
      <formula>kvartal &lt; 4</formula>
    </cfRule>
  </conditionalFormatting>
  <conditionalFormatting sqref="C72">
    <cfRule type="expression" dxfId="925" priority="97">
      <formula>kvartal &lt; 4</formula>
    </cfRule>
  </conditionalFormatting>
  <conditionalFormatting sqref="B80">
    <cfRule type="expression" dxfId="924" priority="96">
      <formula>kvartal &lt; 4</formula>
    </cfRule>
  </conditionalFormatting>
  <conditionalFormatting sqref="C80">
    <cfRule type="expression" dxfId="923" priority="95">
      <formula>kvartal &lt; 4</formula>
    </cfRule>
  </conditionalFormatting>
  <conditionalFormatting sqref="B83">
    <cfRule type="expression" dxfId="922" priority="94">
      <formula>kvartal &lt; 4</formula>
    </cfRule>
  </conditionalFormatting>
  <conditionalFormatting sqref="C83">
    <cfRule type="expression" dxfId="921" priority="93">
      <formula>kvartal &lt; 4</formula>
    </cfRule>
  </conditionalFormatting>
  <conditionalFormatting sqref="B90">
    <cfRule type="expression" dxfId="920" priority="84">
      <formula>kvartal &lt; 4</formula>
    </cfRule>
  </conditionalFormatting>
  <conditionalFormatting sqref="C90">
    <cfRule type="expression" dxfId="919" priority="83">
      <formula>kvartal &lt; 4</formula>
    </cfRule>
  </conditionalFormatting>
  <conditionalFormatting sqref="B93">
    <cfRule type="expression" dxfId="918" priority="82">
      <formula>kvartal &lt; 4</formula>
    </cfRule>
  </conditionalFormatting>
  <conditionalFormatting sqref="C93">
    <cfRule type="expression" dxfId="917" priority="81">
      <formula>kvartal &lt; 4</formula>
    </cfRule>
  </conditionalFormatting>
  <conditionalFormatting sqref="B101">
    <cfRule type="expression" dxfId="916" priority="80">
      <formula>kvartal &lt; 4</formula>
    </cfRule>
  </conditionalFormatting>
  <conditionalFormatting sqref="C101">
    <cfRule type="expression" dxfId="915" priority="79">
      <formula>kvartal &lt; 4</formula>
    </cfRule>
  </conditionalFormatting>
  <conditionalFormatting sqref="B104">
    <cfRule type="expression" dxfId="914" priority="78">
      <formula>kvartal &lt; 4</formula>
    </cfRule>
  </conditionalFormatting>
  <conditionalFormatting sqref="C104">
    <cfRule type="expression" dxfId="913" priority="77">
      <formula>kvartal &lt; 4</formula>
    </cfRule>
  </conditionalFormatting>
  <conditionalFormatting sqref="B115">
    <cfRule type="expression" dxfId="912" priority="76">
      <formula>kvartal &lt; 4</formula>
    </cfRule>
  </conditionalFormatting>
  <conditionalFormatting sqref="C115">
    <cfRule type="expression" dxfId="911" priority="75">
      <formula>kvartal &lt; 4</formula>
    </cfRule>
  </conditionalFormatting>
  <conditionalFormatting sqref="B123">
    <cfRule type="expression" dxfId="910" priority="74">
      <formula>kvartal &lt; 4</formula>
    </cfRule>
  </conditionalFormatting>
  <conditionalFormatting sqref="C123">
    <cfRule type="expression" dxfId="909" priority="73">
      <formula>kvartal &lt; 4</formula>
    </cfRule>
  </conditionalFormatting>
  <conditionalFormatting sqref="F70">
    <cfRule type="expression" dxfId="908" priority="72">
      <formula>kvartal &lt; 4</formula>
    </cfRule>
  </conditionalFormatting>
  <conditionalFormatting sqref="G70">
    <cfRule type="expression" dxfId="907" priority="71">
      <formula>kvartal &lt; 4</formula>
    </cfRule>
  </conditionalFormatting>
  <conditionalFormatting sqref="F71:G71">
    <cfRule type="expression" dxfId="906" priority="70">
      <formula>kvartal &lt; 4</formula>
    </cfRule>
  </conditionalFormatting>
  <conditionalFormatting sqref="F73:G74">
    <cfRule type="expression" dxfId="905" priority="69">
      <formula>kvartal &lt; 4</formula>
    </cfRule>
  </conditionalFormatting>
  <conditionalFormatting sqref="F81:G82">
    <cfRule type="expression" dxfId="904" priority="68">
      <formula>kvartal &lt; 4</formula>
    </cfRule>
  </conditionalFormatting>
  <conditionalFormatting sqref="F84:G85">
    <cfRule type="expression" dxfId="903" priority="67">
      <formula>kvartal &lt; 4</formula>
    </cfRule>
  </conditionalFormatting>
  <conditionalFormatting sqref="F91:G92">
    <cfRule type="expression" dxfId="902" priority="62">
      <formula>kvartal &lt; 4</formula>
    </cfRule>
  </conditionalFormatting>
  <conditionalFormatting sqref="F94:G95">
    <cfRule type="expression" dxfId="901" priority="61">
      <formula>kvartal &lt; 4</formula>
    </cfRule>
  </conditionalFormatting>
  <conditionalFormatting sqref="F102:G103">
    <cfRule type="expression" dxfId="900" priority="60">
      <formula>kvartal &lt; 4</formula>
    </cfRule>
  </conditionalFormatting>
  <conditionalFormatting sqref="F105:G106">
    <cfRule type="expression" dxfId="899" priority="59">
      <formula>kvartal &lt; 4</formula>
    </cfRule>
  </conditionalFormatting>
  <conditionalFormatting sqref="F115">
    <cfRule type="expression" dxfId="898" priority="58">
      <formula>kvartal &lt; 4</formula>
    </cfRule>
  </conditionalFormatting>
  <conditionalFormatting sqref="G115">
    <cfRule type="expression" dxfId="897" priority="57">
      <formula>kvartal &lt; 4</formula>
    </cfRule>
  </conditionalFormatting>
  <conditionalFormatting sqref="F123:G123">
    <cfRule type="expression" dxfId="896" priority="56">
      <formula>kvartal &lt; 4</formula>
    </cfRule>
  </conditionalFormatting>
  <conditionalFormatting sqref="F69:G69">
    <cfRule type="expression" dxfId="895" priority="55">
      <formula>kvartal &lt; 4</formula>
    </cfRule>
  </conditionalFormatting>
  <conditionalFormatting sqref="F72:G72">
    <cfRule type="expression" dxfId="894" priority="54">
      <formula>kvartal &lt; 4</formula>
    </cfRule>
  </conditionalFormatting>
  <conditionalFormatting sqref="F80:G80">
    <cfRule type="expression" dxfId="893" priority="53">
      <formula>kvartal &lt; 4</formula>
    </cfRule>
  </conditionalFormatting>
  <conditionalFormatting sqref="F83:G83">
    <cfRule type="expression" dxfId="892" priority="52">
      <formula>kvartal &lt; 4</formula>
    </cfRule>
  </conditionalFormatting>
  <conditionalFormatting sqref="F90:G90">
    <cfRule type="expression" dxfId="891" priority="46">
      <formula>kvartal &lt; 4</formula>
    </cfRule>
  </conditionalFormatting>
  <conditionalFormatting sqref="F93">
    <cfRule type="expression" dxfId="890" priority="45">
      <formula>kvartal &lt; 4</formula>
    </cfRule>
  </conditionalFormatting>
  <conditionalFormatting sqref="G93">
    <cfRule type="expression" dxfId="889" priority="44">
      <formula>kvartal &lt; 4</formula>
    </cfRule>
  </conditionalFormatting>
  <conditionalFormatting sqref="F101">
    <cfRule type="expression" dxfId="888" priority="43">
      <formula>kvartal &lt; 4</formula>
    </cfRule>
  </conditionalFormatting>
  <conditionalFormatting sqref="G101">
    <cfRule type="expression" dxfId="887" priority="42">
      <formula>kvartal &lt; 4</formula>
    </cfRule>
  </conditionalFormatting>
  <conditionalFormatting sqref="G104">
    <cfRule type="expression" dxfId="886" priority="41">
      <formula>kvartal &lt; 4</formula>
    </cfRule>
  </conditionalFormatting>
  <conditionalFormatting sqref="F104">
    <cfRule type="expression" dxfId="885" priority="40">
      <formula>kvartal &lt; 4</formula>
    </cfRule>
  </conditionalFormatting>
  <conditionalFormatting sqref="J69:K73">
    <cfRule type="expression" dxfId="884" priority="39">
      <formula>kvartal &lt; 4</formula>
    </cfRule>
  </conditionalFormatting>
  <conditionalFormatting sqref="J74:K74">
    <cfRule type="expression" dxfId="883" priority="38">
      <formula>kvartal &lt; 4</formula>
    </cfRule>
  </conditionalFormatting>
  <conditionalFormatting sqref="J80:K85">
    <cfRule type="expression" dxfId="882" priority="37">
      <formula>kvartal &lt; 4</formula>
    </cfRule>
  </conditionalFormatting>
  <conditionalFormatting sqref="J90:K95">
    <cfRule type="expression" dxfId="881" priority="34">
      <formula>kvartal &lt; 4</formula>
    </cfRule>
  </conditionalFormatting>
  <conditionalFormatting sqref="J101:K106">
    <cfRule type="expression" dxfId="880" priority="33">
      <formula>kvartal &lt; 4</formula>
    </cfRule>
  </conditionalFormatting>
  <conditionalFormatting sqref="J115:K115">
    <cfRule type="expression" dxfId="879" priority="32">
      <formula>kvartal &lt; 4</formula>
    </cfRule>
  </conditionalFormatting>
  <conditionalFormatting sqref="J123:K123">
    <cfRule type="expression" dxfId="878" priority="31">
      <formula>kvartal &lt; 4</formula>
    </cfRule>
  </conditionalFormatting>
  <conditionalFormatting sqref="A50:A52">
    <cfRule type="expression" dxfId="877" priority="12">
      <formula>kvartal &lt; 4</formula>
    </cfRule>
  </conditionalFormatting>
  <conditionalFormatting sqref="A69:A74">
    <cfRule type="expression" dxfId="876" priority="10">
      <formula>kvartal &lt; 4</formula>
    </cfRule>
  </conditionalFormatting>
  <conditionalFormatting sqref="A80:A85">
    <cfRule type="expression" dxfId="875" priority="9">
      <formula>kvartal &lt; 4</formula>
    </cfRule>
  </conditionalFormatting>
  <conditionalFormatting sqref="A90:A95">
    <cfRule type="expression" dxfId="874" priority="6">
      <formula>kvartal &lt; 4</formula>
    </cfRule>
  </conditionalFormatting>
  <conditionalFormatting sqref="A101:A106">
    <cfRule type="expression" dxfId="873" priority="5">
      <formula>kvartal &lt; 4</formula>
    </cfRule>
  </conditionalFormatting>
  <conditionalFormatting sqref="A115">
    <cfRule type="expression" dxfId="872" priority="4">
      <formula>kvartal &lt; 4</formula>
    </cfRule>
  </conditionalFormatting>
  <conditionalFormatting sqref="A123">
    <cfRule type="expression" dxfId="871" priority="3">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A44" sqref="A44"/>
    </sheetView>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78" t="s">
        <v>31</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32</v>
      </c>
      <c r="B6" s="71"/>
      <c r="C6" s="70"/>
      <c r="D6" s="69"/>
      <c r="E6" s="69"/>
      <c r="F6" s="69"/>
      <c r="G6" s="69"/>
      <c r="H6" s="69"/>
      <c r="I6" s="69"/>
      <c r="J6" s="69"/>
      <c r="K6" s="69"/>
      <c r="L6" s="69"/>
      <c r="M6" s="69"/>
      <c r="N6" s="69"/>
    </row>
    <row r="7" spans="1:14" ht="20.100000000000001" customHeight="1" x14ac:dyDescent="0.35">
      <c r="A7" s="70"/>
      <c r="B7" s="70" t="s">
        <v>33</v>
      </c>
      <c r="C7" s="70" t="s">
        <v>34</v>
      </c>
      <c r="D7" s="69"/>
      <c r="E7" s="69"/>
      <c r="F7" s="69"/>
      <c r="G7" s="69"/>
      <c r="H7" s="69"/>
      <c r="I7" s="69"/>
      <c r="J7" s="69"/>
      <c r="K7" s="69"/>
      <c r="L7" s="69"/>
      <c r="M7" s="69"/>
      <c r="N7" s="69"/>
    </row>
    <row r="8" spans="1:14" ht="20.100000000000001" customHeight="1" x14ac:dyDescent="0.35">
      <c r="A8" s="70"/>
      <c r="B8" s="70" t="s">
        <v>35</v>
      </c>
      <c r="C8" s="70" t="s">
        <v>36</v>
      </c>
      <c r="D8" s="69"/>
      <c r="E8" s="69"/>
      <c r="F8" s="69"/>
      <c r="G8" s="69"/>
      <c r="H8" s="69"/>
      <c r="I8" s="69"/>
      <c r="J8" s="69"/>
      <c r="K8" s="69"/>
      <c r="L8" s="69"/>
      <c r="M8" s="69"/>
      <c r="N8" s="69"/>
    </row>
    <row r="9" spans="1:14" ht="20.100000000000001" customHeight="1" x14ac:dyDescent="0.35">
      <c r="A9" s="70"/>
      <c r="B9" s="70" t="s">
        <v>37</v>
      </c>
      <c r="C9" s="70" t="s">
        <v>40</v>
      </c>
      <c r="D9" s="69"/>
      <c r="E9" s="69"/>
      <c r="F9" s="69"/>
      <c r="G9" s="69"/>
      <c r="H9" s="69"/>
      <c r="I9" s="69"/>
      <c r="J9" s="69"/>
      <c r="K9" s="69"/>
      <c r="L9" s="69"/>
      <c r="M9" s="69"/>
      <c r="N9" s="69"/>
    </row>
    <row r="10" spans="1:14" ht="20.100000000000001" customHeight="1" x14ac:dyDescent="0.35">
      <c r="A10" s="70"/>
      <c r="B10" s="70" t="s">
        <v>38</v>
      </c>
      <c r="C10" s="70" t="s">
        <v>42</v>
      </c>
      <c r="D10" s="69"/>
      <c r="E10" s="69"/>
      <c r="F10" s="69"/>
      <c r="G10" s="69"/>
      <c r="H10" s="69"/>
      <c r="I10" s="69"/>
      <c r="J10" s="69"/>
      <c r="K10" s="69"/>
      <c r="L10" s="69"/>
      <c r="M10" s="69"/>
      <c r="N10" s="69"/>
    </row>
    <row r="11" spans="1:14" ht="20.100000000000001" customHeight="1" x14ac:dyDescent="0.35">
      <c r="A11" s="70"/>
      <c r="B11" s="70" t="s">
        <v>39</v>
      </c>
      <c r="C11" s="70" t="s">
        <v>43</v>
      </c>
      <c r="D11" s="69"/>
      <c r="E11" s="69"/>
      <c r="F11" s="69"/>
      <c r="G11" s="69"/>
      <c r="H11" s="69"/>
      <c r="I11" s="69"/>
      <c r="J11" s="69"/>
      <c r="K11" s="69"/>
      <c r="L11" s="69"/>
      <c r="M11" s="69"/>
      <c r="N11" s="69"/>
    </row>
    <row r="12" spans="1:14" ht="20.100000000000001" customHeight="1" x14ac:dyDescent="0.35">
      <c r="A12" s="70"/>
      <c r="B12" s="70" t="s">
        <v>41</v>
      </c>
      <c r="C12" s="70" t="s">
        <v>44</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277" t="s">
        <v>45</v>
      </c>
      <c r="B14" s="71"/>
      <c r="C14" s="70"/>
      <c r="D14" s="69"/>
      <c r="E14" s="69"/>
      <c r="F14" s="69"/>
      <c r="G14" s="69"/>
      <c r="H14" s="69"/>
      <c r="I14" s="69"/>
      <c r="J14" s="69"/>
      <c r="K14" s="69"/>
      <c r="L14" s="69"/>
      <c r="M14" s="69"/>
      <c r="N14" s="69"/>
    </row>
    <row r="15" spans="1:14" ht="20.100000000000001" customHeight="1" x14ac:dyDescent="0.35">
      <c r="A15" s="70"/>
      <c r="B15" s="70" t="s">
        <v>46</v>
      </c>
      <c r="C15" s="70"/>
      <c r="D15" s="69"/>
      <c r="E15" s="69"/>
      <c r="F15" s="69"/>
      <c r="G15" s="69"/>
      <c r="H15" s="69"/>
      <c r="I15" s="69"/>
      <c r="J15" s="69"/>
      <c r="K15" s="69"/>
      <c r="L15" s="69"/>
      <c r="M15" s="69"/>
      <c r="N15" s="69"/>
    </row>
    <row r="16" spans="1:14" ht="20.100000000000001" customHeight="1" x14ac:dyDescent="0.35">
      <c r="A16" s="70"/>
      <c r="B16" s="71" t="s">
        <v>47</v>
      </c>
      <c r="C16" s="70" t="s">
        <v>48</v>
      </c>
      <c r="D16" s="69"/>
      <c r="E16" s="69"/>
      <c r="F16" s="69"/>
      <c r="G16" s="69"/>
      <c r="H16" s="69"/>
      <c r="I16" s="69"/>
      <c r="J16" s="69"/>
      <c r="K16" s="69"/>
      <c r="L16" s="69"/>
      <c r="M16" s="69"/>
      <c r="N16" s="69"/>
    </row>
    <row r="17" spans="1:14" ht="20.100000000000001" customHeight="1" x14ac:dyDescent="0.35">
      <c r="A17" s="70"/>
      <c r="B17" s="71" t="s">
        <v>49</v>
      </c>
      <c r="C17" s="70" t="s">
        <v>50</v>
      </c>
      <c r="D17" s="69"/>
      <c r="E17" s="69"/>
      <c r="F17" s="69"/>
      <c r="G17" s="69"/>
      <c r="H17" s="69"/>
      <c r="I17" s="69"/>
      <c r="J17" s="69"/>
      <c r="K17" s="69"/>
      <c r="L17" s="69"/>
      <c r="M17" s="69"/>
      <c r="N17" s="69"/>
    </row>
    <row r="18" spans="1:14" ht="20.100000000000001" customHeight="1" x14ac:dyDescent="0.35">
      <c r="A18" s="70"/>
      <c r="B18" s="71" t="s">
        <v>352</v>
      </c>
      <c r="C18" s="70" t="s">
        <v>353</v>
      </c>
      <c r="D18" s="69"/>
      <c r="E18" s="69"/>
      <c r="F18" s="69"/>
      <c r="G18" s="69"/>
      <c r="H18" s="69"/>
      <c r="I18" s="69"/>
      <c r="J18" s="69"/>
      <c r="K18" s="69"/>
      <c r="L18" s="69"/>
      <c r="M18" s="69"/>
      <c r="N18" s="69"/>
    </row>
    <row r="19" spans="1:14" ht="20.100000000000001" customHeight="1" x14ac:dyDescent="0.35">
      <c r="A19" s="70"/>
      <c r="B19" s="70" t="s">
        <v>354</v>
      </c>
      <c r="C19" s="70" t="s">
        <v>282</v>
      </c>
      <c r="D19" s="69"/>
      <c r="E19" s="69"/>
      <c r="F19" s="69"/>
      <c r="G19" s="69"/>
      <c r="H19" s="69"/>
      <c r="I19" s="69"/>
      <c r="J19" s="69"/>
      <c r="K19" s="69"/>
      <c r="L19" s="69"/>
      <c r="M19" s="69"/>
      <c r="N19" s="69"/>
    </row>
    <row r="20" spans="1:14" s="352" customFormat="1" ht="20.100000000000001" customHeight="1" x14ac:dyDescent="0.35">
      <c r="A20" s="350"/>
      <c r="B20" s="350" t="s">
        <v>356</v>
      </c>
      <c r="C20" s="350" t="s">
        <v>355</v>
      </c>
      <c r="D20" s="351"/>
      <c r="E20" s="351"/>
      <c r="F20" s="351"/>
      <c r="G20" s="351"/>
      <c r="H20" s="351"/>
      <c r="I20" s="351"/>
      <c r="J20" s="351"/>
      <c r="K20" s="351"/>
      <c r="L20" s="351"/>
      <c r="M20" s="351"/>
      <c r="N20" s="351"/>
    </row>
    <row r="21" spans="1:14" ht="20.100000000000001" customHeight="1" x14ac:dyDescent="0.35">
      <c r="A21" s="70"/>
      <c r="B21" s="70"/>
      <c r="C21" s="70"/>
    </row>
    <row r="22" spans="1:14" ht="18.75" customHeight="1" x14ac:dyDescent="0.35">
      <c r="A22" s="70"/>
      <c r="B22" s="350" t="s">
        <v>266</v>
      </c>
      <c r="C22" s="350"/>
    </row>
    <row r="23" spans="1:14" ht="20.100000000000001" customHeight="1" x14ac:dyDescent="0.35">
      <c r="A23" s="70"/>
      <c r="B23" s="353" t="s">
        <v>267</v>
      </c>
      <c r="C23" s="350" t="s">
        <v>268</v>
      </c>
    </row>
    <row r="24" spans="1:14" ht="20.100000000000001" hidden="1" customHeight="1" x14ac:dyDescent="0.35">
      <c r="A24" s="70"/>
      <c r="B24" s="353" t="s">
        <v>269</v>
      </c>
      <c r="C24" s="350" t="s">
        <v>270</v>
      </c>
    </row>
    <row r="25" spans="1:14" ht="20.100000000000001" hidden="1" customHeight="1" x14ac:dyDescent="0.35">
      <c r="A25" s="70"/>
      <c r="B25" s="353" t="s">
        <v>271</v>
      </c>
      <c r="C25" s="350" t="s">
        <v>272</v>
      </c>
    </row>
    <row r="26" spans="1:14" ht="20.100000000000001" hidden="1" customHeight="1" x14ac:dyDescent="0.35">
      <c r="A26" s="70"/>
      <c r="B26" s="353" t="s">
        <v>273</v>
      </c>
      <c r="C26" s="350" t="s">
        <v>274</v>
      </c>
    </row>
    <row r="27" spans="1:14" ht="20.100000000000001" customHeight="1" x14ac:dyDescent="0.35">
      <c r="A27" s="70"/>
      <c r="B27" s="353" t="s">
        <v>183</v>
      </c>
      <c r="C27" s="350" t="s">
        <v>275</v>
      </c>
    </row>
    <row r="28" spans="1:14" ht="20.100000000000001" hidden="1" customHeight="1" x14ac:dyDescent="0.35">
      <c r="A28" s="70"/>
      <c r="B28" s="347" t="s">
        <v>276</v>
      </c>
      <c r="C28" s="276" t="s">
        <v>277</v>
      </c>
    </row>
    <row r="29" spans="1:14" ht="20.100000000000001" hidden="1" customHeight="1" x14ac:dyDescent="0.35">
      <c r="A29" s="70"/>
      <c r="B29" s="347" t="s">
        <v>278</v>
      </c>
      <c r="C29" s="276" t="s">
        <v>279</v>
      </c>
    </row>
    <row r="30" spans="1:14" ht="18.75" customHeight="1" x14ac:dyDescent="0.35">
      <c r="A30" s="70"/>
      <c r="B30" s="353" t="s">
        <v>280</v>
      </c>
      <c r="C30" s="350" t="s">
        <v>281</v>
      </c>
    </row>
    <row r="31" spans="1:14" ht="18.75" customHeight="1" x14ac:dyDescent="0.35">
      <c r="A31" s="70"/>
      <c r="B31" s="353"/>
      <c r="C31" s="350"/>
    </row>
    <row r="32" spans="1:14" ht="20.100000000000001" customHeight="1" x14ac:dyDescent="0.35">
      <c r="A32" s="70"/>
      <c r="B32" s="70"/>
      <c r="C32" s="70"/>
    </row>
    <row r="33" spans="1:14" x14ac:dyDescent="0.35">
      <c r="A33" s="71" t="s">
        <v>51</v>
      </c>
      <c r="B33" s="70"/>
      <c r="C33" s="70"/>
    </row>
    <row r="34" spans="1:14" ht="26.25" hidden="1" customHeight="1" x14ac:dyDescent="0.4">
      <c r="C34" s="72"/>
    </row>
    <row r="35" spans="1:14" ht="26.25" hidden="1" customHeight="1" x14ac:dyDescent="0.4">
      <c r="C35" s="72"/>
    </row>
    <row r="36" spans="1:14" ht="18.75" customHeight="1" x14ac:dyDescent="0.4">
      <c r="C36" s="348"/>
      <c r="D36" s="349"/>
    </row>
    <row r="37" spans="1:14" ht="26.25" x14ac:dyDescent="0.4">
      <c r="C37" s="72"/>
    </row>
    <row r="38" spans="1:14" ht="26.25" x14ac:dyDescent="0.4">
      <c r="C38" s="72"/>
    </row>
    <row r="39" spans="1:14" ht="26.25" x14ac:dyDescent="0.4">
      <c r="C39" s="348"/>
      <c r="D39" s="352"/>
      <c r="E39" s="352"/>
      <c r="F39" s="352"/>
      <c r="G39" s="352"/>
      <c r="H39" s="352"/>
      <c r="I39" s="352"/>
      <c r="J39" s="352"/>
      <c r="K39" s="352"/>
      <c r="L39" s="352"/>
      <c r="M39" s="352"/>
      <c r="N39" s="352"/>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O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144</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v>1867.1790000000001</v>
      </c>
      <c r="C7" s="310">
        <v>4285.84</v>
      </c>
      <c r="D7" s="354">
        <f>IF(B7=0, "    ---- ", IF(ABS(ROUND(100/B7*C7-100,1))&lt;999,ROUND(100/B7*C7-100,1),IF(ROUND(100/B7*C7-100,1)&gt;999,999,-999)))</f>
        <v>129.5</v>
      </c>
      <c r="E7" s="11">
        <f>IFERROR(100/'Skjema total MA'!C7*C7,0)</f>
        <v>0.12187259398828036</v>
      </c>
      <c r="F7" s="309"/>
      <c r="G7" s="310"/>
      <c r="H7" s="354"/>
      <c r="I7" s="160"/>
      <c r="J7" s="311">
        <f t="shared" ref="J7:K10" si="0">SUM(B7,F7)</f>
        <v>1867.1790000000001</v>
      </c>
      <c r="K7" s="312">
        <f t="shared" si="0"/>
        <v>4285.84</v>
      </c>
      <c r="L7" s="431">
        <f>IF(J7=0, "    ---- ", IF(ABS(ROUND(100/J7*K7-100,1))&lt;999,ROUND(100/J7*K7-100,1),IF(ROUND(100/J7*K7-100,1)&gt;999,999,-999)))</f>
        <v>129.5</v>
      </c>
      <c r="M7" s="11">
        <f>IFERROR(100/'Skjema total MA'!I7*K7,0)</f>
        <v>4.7547461202519667E-2</v>
      </c>
      <c r="O7" s="148"/>
    </row>
    <row r="8" spans="1:15" ht="15.75" x14ac:dyDescent="0.2">
      <c r="A8" s="21" t="s">
        <v>25</v>
      </c>
      <c r="B8" s="284">
        <v>1723.404</v>
      </c>
      <c r="C8" s="285">
        <v>4005.0349999999999</v>
      </c>
      <c r="D8" s="166">
        <f t="shared" ref="D8:D10" si="1">IF(B8=0, "    ---- ", IF(ABS(ROUND(100/B8*C8-100,1))&lt;999,ROUND(100/B8*C8-100,1),IF(ROUND(100/B8*C8-100,1)&gt;999,999,-999)))</f>
        <v>132.4</v>
      </c>
      <c r="E8" s="27">
        <f>IFERROR(100/'Skjema total MA'!C8*C8,0)</f>
        <v>0.19040587293474073</v>
      </c>
      <c r="F8" s="288"/>
      <c r="G8" s="289"/>
      <c r="H8" s="166"/>
      <c r="I8" s="176"/>
      <c r="J8" s="235">
        <f t="shared" si="0"/>
        <v>1723.404</v>
      </c>
      <c r="K8" s="290">
        <f t="shared" si="0"/>
        <v>4005.0349999999999</v>
      </c>
      <c r="L8" s="432">
        <f t="shared" ref="L8:L10" si="2">IF(J8=0, "    ---- ", IF(ABS(ROUND(100/J8*K8-100,1))&lt;999,ROUND(100/J8*K8-100,1),IF(ROUND(100/J8*K8-100,1)&gt;999,999,-999)))</f>
        <v>132.4</v>
      </c>
      <c r="M8" s="27">
        <f>IFERROR(100/'Skjema total MA'!I8*K8,0)</f>
        <v>0.19040587293474073</v>
      </c>
      <c r="O8" s="148"/>
    </row>
    <row r="9" spans="1:15" ht="15.75" x14ac:dyDescent="0.2">
      <c r="A9" s="21" t="s">
        <v>24</v>
      </c>
      <c r="B9" s="284">
        <v>143.77500000000001</v>
      </c>
      <c r="C9" s="285">
        <v>280.80500000000001</v>
      </c>
      <c r="D9" s="166">
        <f t="shared" si="1"/>
        <v>95.3</v>
      </c>
      <c r="E9" s="27">
        <f>IFERROR(100/'Skjema total MA'!C9*C9,0)</f>
        <v>3.5916828190255434E-2</v>
      </c>
      <c r="F9" s="288"/>
      <c r="G9" s="289"/>
      <c r="H9" s="166"/>
      <c r="I9" s="176"/>
      <c r="J9" s="235">
        <f t="shared" si="0"/>
        <v>143.77500000000001</v>
      </c>
      <c r="K9" s="290">
        <f t="shared" si="0"/>
        <v>280.80500000000001</v>
      </c>
      <c r="L9" s="432">
        <f t="shared" si="2"/>
        <v>95.3</v>
      </c>
      <c r="M9" s="27">
        <f>IFERROR(100/'Skjema total MA'!I9*K9,0)</f>
        <v>3.5916828190255434E-2</v>
      </c>
      <c r="O9" s="148"/>
    </row>
    <row r="10" spans="1:15" ht="15.75" x14ac:dyDescent="0.2">
      <c r="A10" s="13" t="s">
        <v>376</v>
      </c>
      <c r="B10" s="313">
        <v>4442</v>
      </c>
      <c r="C10" s="314">
        <v>5373.8119999999999</v>
      </c>
      <c r="D10" s="171">
        <f t="shared" si="1"/>
        <v>21</v>
      </c>
      <c r="E10" s="11">
        <f>IFERROR(100/'Skjema total MA'!C10*C10,0)</f>
        <v>2.5334452091022884E-2</v>
      </c>
      <c r="F10" s="313"/>
      <c r="G10" s="314"/>
      <c r="H10" s="171"/>
      <c r="I10" s="160"/>
      <c r="J10" s="311">
        <f t="shared" si="0"/>
        <v>4442</v>
      </c>
      <c r="K10" s="312">
        <f t="shared" si="0"/>
        <v>5373.8119999999999</v>
      </c>
      <c r="L10" s="432">
        <f t="shared" si="2"/>
        <v>21</v>
      </c>
      <c r="M10" s="11">
        <f>IFERROR(100/'Skjema total MA'!I10*K10,0)</f>
        <v>8.1646307375918513E-3</v>
      </c>
      <c r="O10" s="148"/>
    </row>
    <row r="11" spans="1:15" s="43" customFormat="1" ht="15.75" x14ac:dyDescent="0.2">
      <c r="A11" s="13" t="s">
        <v>377</v>
      </c>
      <c r="B11" s="313"/>
      <c r="C11" s="314"/>
      <c r="D11" s="171"/>
      <c r="E11" s="11"/>
      <c r="F11" s="313"/>
      <c r="G11" s="314"/>
      <c r="H11" s="171"/>
      <c r="I11" s="160"/>
      <c r="J11" s="311"/>
      <c r="K11" s="312"/>
      <c r="L11" s="432"/>
      <c r="M11" s="11"/>
      <c r="N11" s="143"/>
      <c r="O11" s="148"/>
    </row>
    <row r="12" spans="1:15" s="43" customFormat="1" ht="15.75" x14ac:dyDescent="0.2">
      <c r="A12" s="41" t="s">
        <v>378</v>
      </c>
      <c r="B12" s="315"/>
      <c r="C12" s="316"/>
      <c r="D12" s="169"/>
      <c r="E12" s="36"/>
      <c r="F12" s="315"/>
      <c r="G12" s="316"/>
      <c r="H12" s="169"/>
      <c r="I12" s="169"/>
      <c r="J12" s="317"/>
      <c r="K12" s="318"/>
      <c r="L12" s="433"/>
      <c r="M12" s="36"/>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v>3448.0819999999999</v>
      </c>
      <c r="C22" s="319">
        <v>5163</v>
      </c>
      <c r="D22" s="354">
        <f t="shared" ref="D22:D29" si="3">IF(B22=0, "    ---- ", IF(ABS(ROUND(100/B22*C22-100,1))&lt;999,ROUND(100/B22*C22-100,1),IF(ROUND(100/B22*C22-100,1)&gt;999,999,-999)))</f>
        <v>49.7</v>
      </c>
      <c r="E22" s="11">
        <f>IFERROR(100/'Skjema total MA'!C22*C22,0)</f>
        <v>0.43003506937297881</v>
      </c>
      <c r="F22" s="321"/>
      <c r="G22" s="321"/>
      <c r="H22" s="354"/>
      <c r="I22" s="11"/>
      <c r="J22" s="319">
        <f t="shared" ref="J22:K29" si="4">SUM(B22,F22)</f>
        <v>3448.0819999999999</v>
      </c>
      <c r="K22" s="319">
        <f t="shared" si="4"/>
        <v>5163</v>
      </c>
      <c r="L22" s="431">
        <f t="shared" ref="L22:L29" si="5">IF(J22=0, "    ---- ", IF(ABS(ROUND(100/J22*K22-100,1))&lt;999,ROUND(100/J22*K22-100,1),IF(ROUND(100/J22*K22-100,1)&gt;999,999,-999)))</f>
        <v>49.7</v>
      </c>
      <c r="M22" s="24">
        <f>IFERROR(100/'Skjema total MA'!I22*K22,0)</f>
        <v>0.26179350574993204</v>
      </c>
      <c r="O22" s="148"/>
    </row>
    <row r="23" spans="1:15" ht="15.75" x14ac:dyDescent="0.2">
      <c r="A23" s="619" t="s">
        <v>379</v>
      </c>
      <c r="B23" s="284"/>
      <c r="C23" s="284"/>
      <c r="D23" s="166"/>
      <c r="E23" s="11"/>
      <c r="F23" s="293"/>
      <c r="G23" s="293"/>
      <c r="H23" s="166"/>
      <c r="I23" s="421"/>
      <c r="J23" s="293"/>
      <c r="K23" s="293"/>
      <c r="L23" s="166"/>
      <c r="M23" s="23"/>
      <c r="O23" s="148"/>
    </row>
    <row r="24" spans="1:15" ht="15.75" x14ac:dyDescent="0.2">
      <c r="A24" s="619" t="s">
        <v>380</v>
      </c>
      <c r="B24" s="284"/>
      <c r="C24" s="284"/>
      <c r="D24" s="166"/>
      <c r="E24" s="11"/>
      <c r="F24" s="293"/>
      <c r="G24" s="293"/>
      <c r="H24" s="166"/>
      <c r="I24" s="421"/>
      <c r="J24" s="293"/>
      <c r="K24" s="293"/>
      <c r="L24" s="166"/>
      <c r="M24" s="23"/>
      <c r="O24" s="148"/>
    </row>
    <row r="25" spans="1:15" ht="15.75" x14ac:dyDescent="0.2">
      <c r="A25" s="619" t="s">
        <v>381</v>
      </c>
      <c r="B25" s="284"/>
      <c r="C25" s="284"/>
      <c r="D25" s="166"/>
      <c r="E25" s="11"/>
      <c r="F25" s="293"/>
      <c r="G25" s="293"/>
      <c r="H25" s="166"/>
      <c r="I25" s="421"/>
      <c r="J25" s="293"/>
      <c r="K25" s="293"/>
      <c r="L25" s="166"/>
      <c r="M25" s="23"/>
      <c r="O25" s="148"/>
    </row>
    <row r="26" spans="1:15" ht="15.75" x14ac:dyDescent="0.2">
      <c r="A26" s="619" t="s">
        <v>382</v>
      </c>
      <c r="B26" s="284"/>
      <c r="C26" s="284"/>
      <c r="D26" s="166"/>
      <c r="E26" s="11"/>
      <c r="F26" s="293"/>
      <c r="G26" s="293"/>
      <c r="H26" s="166"/>
      <c r="I26" s="421"/>
      <c r="J26" s="293"/>
      <c r="K26" s="293"/>
      <c r="L26" s="166"/>
      <c r="M26" s="23"/>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v>3448.0819999999999</v>
      </c>
      <c r="C28" s="290">
        <v>5162.5940000000001</v>
      </c>
      <c r="D28" s="166">
        <f t="shared" si="3"/>
        <v>49.7</v>
      </c>
      <c r="E28" s="11">
        <f>IFERROR(100/'Skjema total MA'!C28*C28,0)</f>
        <v>0.36096088562104656</v>
      </c>
      <c r="F28" s="235"/>
      <c r="G28" s="290"/>
      <c r="H28" s="166"/>
      <c r="I28" s="27"/>
      <c r="J28" s="44">
        <f t="shared" si="4"/>
        <v>3448.0819999999999</v>
      </c>
      <c r="K28" s="44">
        <f t="shared" si="4"/>
        <v>5162.5940000000001</v>
      </c>
      <c r="L28" s="257">
        <f t="shared" si="5"/>
        <v>49.7</v>
      </c>
      <c r="M28" s="23">
        <f>IFERROR(100/'Skjema total MA'!I28*K28,0)</f>
        <v>0.36096088562104656</v>
      </c>
      <c r="O28" s="148"/>
    </row>
    <row r="29" spans="1:15" s="3" customFormat="1" ht="15.75" x14ac:dyDescent="0.2">
      <c r="A29" s="13" t="s">
        <v>376</v>
      </c>
      <c r="B29" s="237"/>
      <c r="C29" s="237">
        <v>11834.034</v>
      </c>
      <c r="D29" s="171" t="str">
        <f t="shared" si="3"/>
        <v xml:space="preserve">    ---- </v>
      </c>
      <c r="E29" s="11">
        <f>IFERROR(100/'Skjema total MA'!C29*C29,0)</f>
        <v>2.4558475160303052E-2</v>
      </c>
      <c r="F29" s="311"/>
      <c r="G29" s="311"/>
      <c r="H29" s="171"/>
      <c r="I29" s="11"/>
      <c r="J29" s="237"/>
      <c r="K29" s="237">
        <f t="shared" si="4"/>
        <v>11834.034</v>
      </c>
      <c r="L29" s="432" t="str">
        <f t="shared" si="5"/>
        <v xml:space="preserve">    ---- </v>
      </c>
      <c r="M29" s="24">
        <f>IFERROR(100/'Skjema total MA'!I29*K29,0)</f>
        <v>1.7203977174867314E-2</v>
      </c>
      <c r="N29" s="148"/>
      <c r="O29" s="148"/>
    </row>
    <row r="30" spans="1:15" s="3" customFormat="1" ht="15.75" x14ac:dyDescent="0.2">
      <c r="A30" s="619" t="s">
        <v>379</v>
      </c>
      <c r="B30" s="284"/>
      <c r="C30" s="284"/>
      <c r="D30" s="166"/>
      <c r="E30" s="11"/>
      <c r="F30" s="293"/>
      <c r="G30" s="293"/>
      <c r="H30" s="166"/>
      <c r="I30" s="421"/>
      <c r="J30" s="293"/>
      <c r="K30" s="293"/>
      <c r="L30" s="166"/>
      <c r="M30" s="23"/>
      <c r="N30" s="148"/>
      <c r="O30" s="148"/>
    </row>
    <row r="31" spans="1:15" s="3" customFormat="1" ht="15.75" x14ac:dyDescent="0.2">
      <c r="A31" s="619" t="s">
        <v>380</v>
      </c>
      <c r="B31" s="284"/>
      <c r="C31" s="284"/>
      <c r="D31" s="166"/>
      <c r="E31" s="11"/>
      <c r="F31" s="293"/>
      <c r="G31" s="293"/>
      <c r="H31" s="166"/>
      <c r="I31" s="421"/>
      <c r="J31" s="293"/>
      <c r="K31" s="293"/>
      <c r="L31" s="166"/>
      <c r="M31" s="23"/>
      <c r="N31" s="148"/>
      <c r="O31" s="148"/>
    </row>
    <row r="32" spans="1:15" ht="15.75" x14ac:dyDescent="0.2">
      <c r="A32" s="619" t="s">
        <v>381</v>
      </c>
      <c r="B32" s="284"/>
      <c r="C32" s="284"/>
      <c r="D32" s="166"/>
      <c r="E32" s="11"/>
      <c r="F32" s="293"/>
      <c r="G32" s="293"/>
      <c r="H32" s="166"/>
      <c r="I32" s="421"/>
      <c r="J32" s="293"/>
      <c r="K32" s="293"/>
      <c r="L32" s="166"/>
      <c r="M32" s="23"/>
      <c r="O32" s="148"/>
    </row>
    <row r="33" spans="1:15" ht="15.75" x14ac:dyDescent="0.2">
      <c r="A33" s="619" t="s">
        <v>382</v>
      </c>
      <c r="B33" s="284"/>
      <c r="C33" s="284"/>
      <c r="D33" s="166"/>
      <c r="E33" s="11"/>
      <c r="F33" s="293"/>
      <c r="G33" s="293"/>
      <c r="H33" s="166"/>
      <c r="I33" s="421"/>
      <c r="J33" s="293"/>
      <c r="K33" s="293"/>
      <c r="L33" s="166"/>
      <c r="M33" s="23"/>
      <c r="O33" s="148"/>
    </row>
    <row r="34" spans="1:15" ht="15.75" x14ac:dyDescent="0.2">
      <c r="A34" s="13" t="s">
        <v>377</v>
      </c>
      <c r="B34" s="237"/>
      <c r="C34" s="312"/>
      <c r="D34" s="171"/>
      <c r="E34" s="11"/>
      <c r="F34" s="311"/>
      <c r="G34" s="312"/>
      <c r="H34" s="171"/>
      <c r="I34" s="11"/>
      <c r="J34" s="237"/>
      <c r="K34" s="237"/>
      <c r="L34" s="432"/>
      <c r="M34" s="24"/>
      <c r="O34" s="148"/>
    </row>
    <row r="35" spans="1:15" ht="15.75" x14ac:dyDescent="0.2">
      <c r="A35" s="13" t="s">
        <v>378</v>
      </c>
      <c r="B35" s="237"/>
      <c r="C35" s="312"/>
      <c r="D35" s="171"/>
      <c r="E35" s="11"/>
      <c r="F35" s="311"/>
      <c r="G35" s="312"/>
      <c r="H35" s="171"/>
      <c r="I35" s="11"/>
      <c r="J35" s="237"/>
      <c r="K35" s="237"/>
      <c r="L35" s="432"/>
      <c r="M35" s="24"/>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v>133262.12599999999</v>
      </c>
      <c r="C47" s="314">
        <v>116997.143</v>
      </c>
      <c r="D47" s="431">
        <f t="shared" ref="D47:D48" si="6">IF(B47=0, "    ---- ", IF(ABS(ROUND(100/B47*C47-100,1))&lt;999,ROUND(100/B47*C47-100,1),IF(ROUND(100/B47*C47-100,1)&gt;999,999,-999)))</f>
        <v>-12.2</v>
      </c>
      <c r="E47" s="11">
        <f>IFERROR(100/'Skjema total MA'!C47*C47,0)</f>
        <v>3.1707629879953618</v>
      </c>
      <c r="F47" s="145"/>
      <c r="G47" s="33"/>
      <c r="H47" s="159"/>
      <c r="I47" s="159"/>
      <c r="J47" s="37"/>
      <c r="K47" s="37"/>
      <c r="L47" s="159"/>
      <c r="M47" s="159"/>
      <c r="N47" s="148"/>
      <c r="O47" s="148"/>
    </row>
    <row r="48" spans="1:15" s="3" customFormat="1" ht="15.75" x14ac:dyDescent="0.2">
      <c r="A48" s="38" t="s">
        <v>387</v>
      </c>
      <c r="B48" s="284">
        <v>133262.12599999999</v>
      </c>
      <c r="C48" s="285">
        <v>116997.143</v>
      </c>
      <c r="D48" s="257">
        <f t="shared" si="6"/>
        <v>-12.2</v>
      </c>
      <c r="E48" s="27">
        <f>IFERROR(100/'Skjema total MA'!C48*C48,0)</f>
        <v>5.599564927023791</v>
      </c>
      <c r="F48" s="145"/>
      <c r="G48" s="33"/>
      <c r="H48" s="145"/>
      <c r="I48" s="145"/>
      <c r="J48" s="33"/>
      <c r="K48" s="33"/>
      <c r="L48" s="159"/>
      <c r="M48" s="159"/>
      <c r="N48" s="148"/>
      <c r="O48" s="148"/>
    </row>
    <row r="49" spans="1:15" s="3" customFormat="1" ht="15.75" x14ac:dyDescent="0.2">
      <c r="A49" s="38" t="s">
        <v>388</v>
      </c>
      <c r="B49" s="44"/>
      <c r="C49" s="290"/>
      <c r="D49" s="257"/>
      <c r="E49" s="27"/>
      <c r="F49" s="145"/>
      <c r="G49" s="33"/>
      <c r="H49" s="145"/>
      <c r="I49" s="145"/>
      <c r="J49" s="37"/>
      <c r="K49" s="37"/>
      <c r="L49" s="159"/>
      <c r="M49" s="159"/>
      <c r="N49" s="148"/>
      <c r="O49" s="148"/>
    </row>
    <row r="50" spans="1:15" s="3" customFormat="1" x14ac:dyDescent="0.2">
      <c r="A50" s="299" t="s">
        <v>6</v>
      </c>
      <c r="B50" s="293"/>
      <c r="C50" s="294"/>
      <c r="D50" s="257"/>
      <c r="E50" s="23"/>
      <c r="F50" s="145"/>
      <c r="G50" s="33"/>
      <c r="H50" s="145"/>
      <c r="I50" s="145"/>
      <c r="J50" s="33"/>
      <c r="K50" s="33"/>
      <c r="L50" s="159"/>
      <c r="M50" s="159"/>
      <c r="N50" s="148"/>
      <c r="O50" s="148"/>
    </row>
    <row r="51" spans="1:15" s="3" customFormat="1" x14ac:dyDescent="0.2">
      <c r="A51" s="299" t="s">
        <v>7</v>
      </c>
      <c r="B51" s="293"/>
      <c r="C51" s="294"/>
      <c r="D51" s="257"/>
      <c r="E51" s="23"/>
      <c r="F51" s="145"/>
      <c r="G51" s="33"/>
      <c r="H51" s="145"/>
      <c r="I51" s="145"/>
      <c r="J51" s="33"/>
      <c r="K51" s="33"/>
      <c r="L51" s="159"/>
      <c r="M51" s="159"/>
      <c r="N51" s="148"/>
      <c r="O51" s="148"/>
    </row>
    <row r="52" spans="1:15" s="3" customFormat="1" x14ac:dyDescent="0.2">
      <c r="A52" s="299" t="s">
        <v>8</v>
      </c>
      <c r="B52" s="293"/>
      <c r="C52" s="294"/>
      <c r="D52" s="257"/>
      <c r="E52" s="23"/>
      <c r="F52" s="145"/>
      <c r="G52" s="33"/>
      <c r="H52" s="145"/>
      <c r="I52" s="145"/>
      <c r="J52" s="33"/>
      <c r="K52" s="33"/>
      <c r="L52" s="159"/>
      <c r="M52" s="159"/>
      <c r="N52" s="148"/>
      <c r="O52" s="148"/>
    </row>
    <row r="53" spans="1:15" s="3" customFormat="1" ht="15.75" x14ac:dyDescent="0.2">
      <c r="A53" s="39" t="s">
        <v>389</v>
      </c>
      <c r="B53" s="313"/>
      <c r="C53" s="314"/>
      <c r="D53" s="432"/>
      <c r="E53" s="11"/>
      <c r="F53" s="145"/>
      <c r="G53" s="33"/>
      <c r="H53" s="145"/>
      <c r="I53" s="145"/>
      <c r="J53" s="33"/>
      <c r="K53" s="33"/>
      <c r="L53" s="159"/>
      <c r="M53" s="159"/>
      <c r="N53" s="148"/>
      <c r="O53" s="148"/>
    </row>
    <row r="54" spans="1:15" s="3" customFormat="1" ht="15.75" x14ac:dyDescent="0.2">
      <c r="A54" s="38" t="s">
        <v>387</v>
      </c>
      <c r="B54" s="284"/>
      <c r="C54" s="285"/>
      <c r="D54" s="257"/>
      <c r="E54" s="27"/>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c r="C56" s="314"/>
      <c r="D56" s="432"/>
      <c r="E56" s="11"/>
      <c r="F56" s="145"/>
      <c r="G56" s="33"/>
      <c r="H56" s="145"/>
      <c r="I56" s="145"/>
      <c r="J56" s="33"/>
      <c r="K56" s="33"/>
      <c r="L56" s="159"/>
      <c r="M56" s="159"/>
      <c r="N56" s="148"/>
      <c r="O56" s="148"/>
    </row>
    <row r="57" spans="1:15" s="3" customFormat="1" ht="15.75" x14ac:dyDescent="0.2">
      <c r="A57" s="38" t="s">
        <v>387</v>
      </c>
      <c r="B57" s="284"/>
      <c r="C57" s="285"/>
      <c r="D57" s="257"/>
      <c r="E57" s="27"/>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c r="C66" s="357"/>
      <c r="D66" s="354"/>
      <c r="E66" s="11"/>
      <c r="F66" s="356"/>
      <c r="G66" s="356"/>
      <c r="H66" s="354"/>
      <c r="I66" s="11"/>
      <c r="J66" s="312"/>
      <c r="K66" s="319"/>
      <c r="L66" s="432"/>
      <c r="M66" s="11"/>
      <c r="O66" s="148"/>
    </row>
    <row r="67" spans="1:15" x14ac:dyDescent="0.2">
      <c r="A67" s="423" t="s">
        <v>9</v>
      </c>
      <c r="B67" s="44"/>
      <c r="C67" s="145"/>
      <c r="D67" s="166"/>
      <c r="E67" s="27"/>
      <c r="F67" s="235"/>
      <c r="G67" s="145"/>
      <c r="H67" s="166"/>
      <c r="I67" s="27"/>
      <c r="J67" s="290"/>
      <c r="K67" s="44"/>
      <c r="L67" s="257"/>
      <c r="M67" s="27"/>
      <c r="O67" s="148"/>
    </row>
    <row r="68" spans="1:15" x14ac:dyDescent="0.2">
      <c r="A68" s="21" t="s">
        <v>10</v>
      </c>
      <c r="B68" s="295"/>
      <c r="C68" s="296"/>
      <c r="D68" s="166"/>
      <c r="E68" s="27"/>
      <c r="F68" s="295"/>
      <c r="G68" s="296"/>
      <c r="H68" s="166"/>
      <c r="I68" s="27"/>
      <c r="J68" s="290"/>
      <c r="K68" s="44"/>
      <c r="L68" s="257"/>
      <c r="M68" s="27"/>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c r="C77" s="235"/>
      <c r="D77" s="166"/>
      <c r="E77" s="27"/>
      <c r="F77" s="235"/>
      <c r="G77" s="145"/>
      <c r="H77" s="166"/>
      <c r="I77" s="27"/>
      <c r="J77" s="290"/>
      <c r="K77" s="44"/>
      <c r="L77" s="257"/>
      <c r="M77" s="27"/>
      <c r="O77" s="148"/>
    </row>
    <row r="78" spans="1:15" x14ac:dyDescent="0.2">
      <c r="A78" s="21" t="s">
        <v>9</v>
      </c>
      <c r="B78" s="235"/>
      <c r="C78" s="145"/>
      <c r="D78" s="166"/>
      <c r="E78" s="27"/>
      <c r="F78" s="235"/>
      <c r="G78" s="145"/>
      <c r="H78" s="166"/>
      <c r="I78" s="27"/>
      <c r="J78" s="290"/>
      <c r="K78" s="44"/>
      <c r="L78" s="257"/>
      <c r="M78" s="27"/>
      <c r="O78" s="148"/>
    </row>
    <row r="79" spans="1:15" x14ac:dyDescent="0.2">
      <c r="A79" s="21" t="s">
        <v>10</v>
      </c>
      <c r="B79" s="295"/>
      <c r="C79" s="296"/>
      <c r="D79" s="166"/>
      <c r="E79" s="27"/>
      <c r="F79" s="295"/>
      <c r="G79" s="296"/>
      <c r="H79" s="166"/>
      <c r="I79" s="27"/>
      <c r="J79" s="290"/>
      <c r="K79" s="44"/>
      <c r="L79" s="257"/>
      <c r="M79" s="27"/>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c r="G86" s="145"/>
      <c r="H86" s="166"/>
      <c r="I86" s="27"/>
      <c r="J86" s="290"/>
      <c r="K86" s="44"/>
      <c r="L86" s="257"/>
      <c r="M86" s="27"/>
      <c r="O86" s="148"/>
    </row>
    <row r="87" spans="1:15" ht="15.75" x14ac:dyDescent="0.2">
      <c r="A87" s="13" t="s">
        <v>376</v>
      </c>
      <c r="B87" s="357"/>
      <c r="C87" s="357"/>
      <c r="D87" s="171"/>
      <c r="E87" s="11"/>
      <c r="F87" s="356"/>
      <c r="G87" s="356"/>
      <c r="H87" s="171"/>
      <c r="I87" s="11"/>
      <c r="J87" s="312"/>
      <c r="K87" s="237"/>
      <c r="L87" s="432"/>
      <c r="M87" s="11"/>
      <c r="O87" s="148"/>
    </row>
    <row r="88" spans="1:15" x14ac:dyDescent="0.2">
      <c r="A88" s="21" t="s">
        <v>9</v>
      </c>
      <c r="B88" s="235"/>
      <c r="C88" s="145"/>
      <c r="D88" s="166"/>
      <c r="E88" s="27"/>
      <c r="F88" s="235"/>
      <c r="G88" s="145"/>
      <c r="H88" s="166"/>
      <c r="I88" s="27"/>
      <c r="J88" s="290"/>
      <c r="K88" s="44"/>
      <c r="L88" s="257"/>
      <c r="M88" s="27"/>
      <c r="O88" s="148"/>
    </row>
    <row r="89" spans="1:15" x14ac:dyDescent="0.2">
      <c r="A89" s="21" t="s">
        <v>10</v>
      </c>
      <c r="B89" s="235"/>
      <c r="C89" s="145"/>
      <c r="D89" s="166"/>
      <c r="E89" s="27"/>
      <c r="F89" s="235"/>
      <c r="G89" s="145"/>
      <c r="H89" s="166"/>
      <c r="I89" s="27"/>
      <c r="J89" s="290"/>
      <c r="K89" s="44"/>
      <c r="L89" s="257"/>
      <c r="M89" s="27"/>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c r="C98" s="235"/>
      <c r="D98" s="166"/>
      <c r="E98" s="27"/>
      <c r="F98" s="295"/>
      <c r="G98" s="295"/>
      <c r="H98" s="166"/>
      <c r="I98" s="27"/>
      <c r="J98" s="290"/>
      <c r="K98" s="44"/>
      <c r="L98" s="257"/>
      <c r="M98" s="27"/>
      <c r="O98" s="148"/>
    </row>
    <row r="99" spans="1:15" x14ac:dyDescent="0.2">
      <c r="A99" s="21" t="s">
        <v>9</v>
      </c>
      <c r="B99" s="295"/>
      <c r="C99" s="296"/>
      <c r="D99" s="166"/>
      <c r="E99" s="27"/>
      <c r="F99" s="235"/>
      <c r="G99" s="145"/>
      <c r="H99" s="166"/>
      <c r="I99" s="27"/>
      <c r="J99" s="290"/>
      <c r="K99" s="44"/>
      <c r="L99" s="257"/>
      <c r="M99" s="27"/>
      <c r="O99" s="148"/>
    </row>
    <row r="100" spans="1:15" x14ac:dyDescent="0.2">
      <c r="A100" s="21" t="s">
        <v>10</v>
      </c>
      <c r="B100" s="295"/>
      <c r="C100" s="296"/>
      <c r="D100" s="166"/>
      <c r="E100" s="27"/>
      <c r="F100" s="235"/>
      <c r="G100" s="235"/>
      <c r="H100" s="166"/>
      <c r="I100" s="27"/>
      <c r="J100" s="290"/>
      <c r="K100" s="44"/>
      <c r="L100" s="257"/>
      <c r="M100" s="27"/>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c r="G107" s="145"/>
      <c r="H107" s="166"/>
      <c r="I107" s="27"/>
      <c r="J107" s="290"/>
      <c r="K107" s="44"/>
      <c r="L107" s="257"/>
      <c r="M107" s="27"/>
      <c r="O107" s="148"/>
    </row>
    <row r="108" spans="1:15" ht="15.75" x14ac:dyDescent="0.2">
      <c r="A108" s="21" t="s">
        <v>395</v>
      </c>
      <c r="B108" s="235"/>
      <c r="C108" s="235"/>
      <c r="D108" s="166"/>
      <c r="E108" s="27"/>
      <c r="F108" s="235"/>
      <c r="G108" s="235"/>
      <c r="H108" s="166"/>
      <c r="I108" s="27"/>
      <c r="J108" s="290"/>
      <c r="K108" s="44"/>
      <c r="L108" s="257"/>
      <c r="M108" s="27"/>
      <c r="O108" s="148"/>
    </row>
    <row r="109" spans="1:15" ht="15.75" x14ac:dyDescent="0.2">
      <c r="A109" s="21" t="s">
        <v>396</v>
      </c>
      <c r="B109" s="235"/>
      <c r="C109" s="235"/>
      <c r="D109" s="166"/>
      <c r="E109" s="27"/>
      <c r="F109" s="235"/>
      <c r="G109" s="235"/>
      <c r="H109" s="166"/>
      <c r="I109" s="27"/>
      <c r="J109" s="290"/>
      <c r="K109" s="44"/>
      <c r="L109" s="257"/>
      <c r="M109" s="27"/>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c r="C111" s="159"/>
      <c r="D111" s="171"/>
      <c r="E111" s="11"/>
      <c r="F111" s="311"/>
      <c r="G111" s="159"/>
      <c r="H111" s="171"/>
      <c r="I111" s="11"/>
      <c r="J111" s="312"/>
      <c r="K111" s="237"/>
      <c r="L111" s="432"/>
      <c r="M111" s="11"/>
      <c r="O111" s="148"/>
    </row>
    <row r="112" spans="1:15" x14ac:dyDescent="0.2">
      <c r="A112" s="21" t="s">
        <v>9</v>
      </c>
      <c r="B112" s="235"/>
      <c r="C112" s="145"/>
      <c r="D112" s="166"/>
      <c r="E112" s="27"/>
      <c r="F112" s="235"/>
      <c r="G112" s="145"/>
      <c r="H112" s="166"/>
      <c r="I112" s="27"/>
      <c r="J112" s="290"/>
      <c r="K112" s="44"/>
      <c r="L112" s="257"/>
      <c r="M112" s="27"/>
      <c r="O112" s="148"/>
    </row>
    <row r="113" spans="1:15" x14ac:dyDescent="0.2">
      <c r="A113" s="21" t="s">
        <v>10</v>
      </c>
      <c r="B113" s="235"/>
      <c r="C113" s="145"/>
      <c r="D113" s="166"/>
      <c r="E113" s="27"/>
      <c r="F113" s="235"/>
      <c r="G113" s="145"/>
      <c r="H113" s="166"/>
      <c r="I113" s="27"/>
      <c r="J113" s="290"/>
      <c r="K113" s="44"/>
      <c r="L113" s="257"/>
      <c r="M113" s="27"/>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c r="C116" s="235"/>
      <c r="D116" s="166"/>
      <c r="E116" s="27"/>
      <c r="F116" s="235"/>
      <c r="G116" s="235"/>
      <c r="H116" s="166"/>
      <c r="I116" s="27"/>
      <c r="J116" s="290"/>
      <c r="K116" s="44"/>
      <c r="L116" s="257"/>
      <c r="M116" s="27"/>
      <c r="O116" s="148"/>
    </row>
    <row r="117" spans="1:15" ht="15.75" x14ac:dyDescent="0.2">
      <c r="A117" s="21" t="s">
        <v>399</v>
      </c>
      <c r="B117" s="235"/>
      <c r="C117" s="235"/>
      <c r="D117" s="166"/>
      <c r="E117" s="27"/>
      <c r="F117" s="235"/>
      <c r="G117" s="235"/>
      <c r="H117" s="166"/>
      <c r="I117" s="27"/>
      <c r="J117" s="290"/>
      <c r="K117" s="44"/>
      <c r="L117" s="257"/>
      <c r="M117" s="27"/>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c r="C119" s="159"/>
      <c r="D119" s="171"/>
      <c r="E119" s="11"/>
      <c r="F119" s="311"/>
      <c r="G119" s="159"/>
      <c r="H119" s="171"/>
      <c r="I119" s="11"/>
      <c r="J119" s="312"/>
      <c r="K119" s="237"/>
      <c r="L119" s="432"/>
      <c r="M119" s="11"/>
      <c r="O119" s="148"/>
    </row>
    <row r="120" spans="1:15" x14ac:dyDescent="0.2">
      <c r="A120" s="21" t="s">
        <v>9</v>
      </c>
      <c r="B120" s="235"/>
      <c r="C120" s="145"/>
      <c r="D120" s="166"/>
      <c r="E120" s="27"/>
      <c r="F120" s="235"/>
      <c r="G120" s="145"/>
      <c r="H120" s="166"/>
      <c r="I120" s="27"/>
      <c r="J120" s="290"/>
      <c r="K120" s="44"/>
      <c r="L120" s="257"/>
      <c r="M120" s="27"/>
      <c r="O120" s="148"/>
    </row>
    <row r="121" spans="1:15" x14ac:dyDescent="0.2">
      <c r="A121" s="21" t="s">
        <v>10</v>
      </c>
      <c r="B121" s="235"/>
      <c r="C121" s="145"/>
      <c r="D121" s="166"/>
      <c r="E121" s="27"/>
      <c r="F121" s="235"/>
      <c r="G121" s="145"/>
      <c r="H121" s="166"/>
      <c r="I121" s="27"/>
      <c r="J121" s="290"/>
      <c r="K121" s="44"/>
      <c r="L121" s="257"/>
      <c r="M121" s="27"/>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c r="G125" s="235"/>
      <c r="H125" s="166"/>
      <c r="I125" s="27"/>
      <c r="J125" s="290"/>
      <c r="K125" s="44"/>
      <c r="L125" s="257"/>
      <c r="M125" s="27"/>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870" priority="132">
      <formula>kvartal &lt; 4</formula>
    </cfRule>
  </conditionalFormatting>
  <conditionalFormatting sqref="B69">
    <cfRule type="expression" dxfId="869" priority="100">
      <formula>kvartal &lt; 4</formula>
    </cfRule>
  </conditionalFormatting>
  <conditionalFormatting sqref="C69">
    <cfRule type="expression" dxfId="868" priority="99">
      <formula>kvartal &lt; 4</formula>
    </cfRule>
  </conditionalFormatting>
  <conditionalFormatting sqref="B72">
    <cfRule type="expression" dxfId="867" priority="98">
      <formula>kvartal &lt; 4</formula>
    </cfRule>
  </conditionalFormatting>
  <conditionalFormatting sqref="C72">
    <cfRule type="expression" dxfId="866" priority="97">
      <formula>kvartal &lt; 4</formula>
    </cfRule>
  </conditionalFormatting>
  <conditionalFormatting sqref="B80">
    <cfRule type="expression" dxfId="865" priority="96">
      <formula>kvartal &lt; 4</formula>
    </cfRule>
  </conditionalFormatting>
  <conditionalFormatting sqref="C80">
    <cfRule type="expression" dxfId="864" priority="95">
      <formula>kvartal &lt; 4</formula>
    </cfRule>
  </conditionalFormatting>
  <conditionalFormatting sqref="B83">
    <cfRule type="expression" dxfId="863" priority="94">
      <formula>kvartal &lt; 4</formula>
    </cfRule>
  </conditionalFormatting>
  <conditionalFormatting sqref="C83">
    <cfRule type="expression" dxfId="862" priority="93">
      <formula>kvartal &lt; 4</formula>
    </cfRule>
  </conditionalFormatting>
  <conditionalFormatting sqref="B90">
    <cfRule type="expression" dxfId="861" priority="84">
      <formula>kvartal &lt; 4</formula>
    </cfRule>
  </conditionalFormatting>
  <conditionalFormatting sqref="C90">
    <cfRule type="expression" dxfId="860" priority="83">
      <formula>kvartal &lt; 4</formula>
    </cfRule>
  </conditionalFormatting>
  <conditionalFormatting sqref="B93">
    <cfRule type="expression" dxfId="859" priority="82">
      <formula>kvartal &lt; 4</formula>
    </cfRule>
  </conditionalFormatting>
  <conditionalFormatting sqref="C93">
    <cfRule type="expression" dxfId="858" priority="81">
      <formula>kvartal &lt; 4</formula>
    </cfRule>
  </conditionalFormatting>
  <conditionalFormatting sqref="B101">
    <cfRule type="expression" dxfId="857" priority="80">
      <formula>kvartal &lt; 4</formula>
    </cfRule>
  </conditionalFormatting>
  <conditionalFormatting sqref="C101">
    <cfRule type="expression" dxfId="856" priority="79">
      <formula>kvartal &lt; 4</formula>
    </cfRule>
  </conditionalFormatting>
  <conditionalFormatting sqref="B104">
    <cfRule type="expression" dxfId="855" priority="78">
      <formula>kvartal &lt; 4</formula>
    </cfRule>
  </conditionalFormatting>
  <conditionalFormatting sqref="C104">
    <cfRule type="expression" dxfId="854" priority="77">
      <formula>kvartal &lt; 4</formula>
    </cfRule>
  </conditionalFormatting>
  <conditionalFormatting sqref="B115">
    <cfRule type="expression" dxfId="853" priority="76">
      <formula>kvartal &lt; 4</formula>
    </cfRule>
  </conditionalFormatting>
  <conditionalFormatting sqref="C115">
    <cfRule type="expression" dxfId="852" priority="75">
      <formula>kvartal &lt; 4</formula>
    </cfRule>
  </conditionalFormatting>
  <conditionalFormatting sqref="B123">
    <cfRule type="expression" dxfId="851" priority="74">
      <formula>kvartal &lt; 4</formula>
    </cfRule>
  </conditionalFormatting>
  <conditionalFormatting sqref="C123">
    <cfRule type="expression" dxfId="850" priority="73">
      <formula>kvartal &lt; 4</formula>
    </cfRule>
  </conditionalFormatting>
  <conditionalFormatting sqref="F70">
    <cfRule type="expression" dxfId="849" priority="72">
      <formula>kvartal &lt; 4</formula>
    </cfRule>
  </conditionalFormatting>
  <conditionalFormatting sqref="G70">
    <cfRule type="expression" dxfId="848" priority="71">
      <formula>kvartal &lt; 4</formula>
    </cfRule>
  </conditionalFormatting>
  <conditionalFormatting sqref="F71:G71">
    <cfRule type="expression" dxfId="847" priority="70">
      <formula>kvartal &lt; 4</formula>
    </cfRule>
  </conditionalFormatting>
  <conditionalFormatting sqref="F73:G74">
    <cfRule type="expression" dxfId="846" priority="69">
      <formula>kvartal &lt; 4</formula>
    </cfRule>
  </conditionalFormatting>
  <conditionalFormatting sqref="F81:G82">
    <cfRule type="expression" dxfId="845" priority="68">
      <formula>kvartal &lt; 4</formula>
    </cfRule>
  </conditionalFormatting>
  <conditionalFormatting sqref="F84:G85">
    <cfRule type="expression" dxfId="844" priority="67">
      <formula>kvartal &lt; 4</formula>
    </cfRule>
  </conditionalFormatting>
  <conditionalFormatting sqref="F91:G92">
    <cfRule type="expression" dxfId="843" priority="62">
      <formula>kvartal &lt; 4</formula>
    </cfRule>
  </conditionalFormatting>
  <conditionalFormatting sqref="F94:G95">
    <cfRule type="expression" dxfId="842" priority="61">
      <formula>kvartal &lt; 4</formula>
    </cfRule>
  </conditionalFormatting>
  <conditionalFormatting sqref="F102:G103">
    <cfRule type="expression" dxfId="841" priority="60">
      <formula>kvartal &lt; 4</formula>
    </cfRule>
  </conditionalFormatting>
  <conditionalFormatting sqref="F105:G106">
    <cfRule type="expression" dxfId="840" priority="59">
      <formula>kvartal &lt; 4</formula>
    </cfRule>
  </conditionalFormatting>
  <conditionalFormatting sqref="F115">
    <cfRule type="expression" dxfId="839" priority="58">
      <formula>kvartal &lt; 4</formula>
    </cfRule>
  </conditionalFormatting>
  <conditionalFormatting sqref="G115">
    <cfRule type="expression" dxfId="838" priority="57">
      <formula>kvartal &lt; 4</formula>
    </cfRule>
  </conditionalFormatting>
  <conditionalFormatting sqref="F123:G123">
    <cfRule type="expression" dxfId="837" priority="56">
      <formula>kvartal &lt; 4</formula>
    </cfRule>
  </conditionalFormatting>
  <conditionalFormatting sqref="F69:G69">
    <cfRule type="expression" dxfId="836" priority="55">
      <formula>kvartal &lt; 4</formula>
    </cfRule>
  </conditionalFormatting>
  <conditionalFormatting sqref="F72:G72">
    <cfRule type="expression" dxfId="835" priority="54">
      <formula>kvartal &lt; 4</formula>
    </cfRule>
  </conditionalFormatting>
  <conditionalFormatting sqref="F80:G80">
    <cfRule type="expression" dxfId="834" priority="53">
      <formula>kvartal &lt; 4</formula>
    </cfRule>
  </conditionalFormatting>
  <conditionalFormatting sqref="F83:G83">
    <cfRule type="expression" dxfId="833" priority="52">
      <formula>kvartal &lt; 4</formula>
    </cfRule>
  </conditionalFormatting>
  <conditionalFormatting sqref="F90:G90">
    <cfRule type="expression" dxfId="832" priority="46">
      <formula>kvartal &lt; 4</formula>
    </cfRule>
  </conditionalFormatting>
  <conditionalFormatting sqref="F93">
    <cfRule type="expression" dxfId="831" priority="45">
      <formula>kvartal &lt; 4</formula>
    </cfRule>
  </conditionalFormatting>
  <conditionalFormatting sqref="G93">
    <cfRule type="expression" dxfId="830" priority="44">
      <formula>kvartal &lt; 4</formula>
    </cfRule>
  </conditionalFormatting>
  <conditionalFormatting sqref="F101">
    <cfRule type="expression" dxfId="829" priority="43">
      <formula>kvartal &lt; 4</formula>
    </cfRule>
  </conditionalFormatting>
  <conditionalFormatting sqref="G101">
    <cfRule type="expression" dxfId="828" priority="42">
      <formula>kvartal &lt; 4</formula>
    </cfRule>
  </conditionalFormatting>
  <conditionalFormatting sqref="G104">
    <cfRule type="expression" dxfId="827" priority="41">
      <formula>kvartal &lt; 4</formula>
    </cfRule>
  </conditionalFormatting>
  <conditionalFormatting sqref="F104">
    <cfRule type="expression" dxfId="826" priority="40">
      <formula>kvartal &lt; 4</formula>
    </cfRule>
  </conditionalFormatting>
  <conditionalFormatting sqref="J69:K73">
    <cfRule type="expression" dxfId="825" priority="39">
      <formula>kvartal &lt; 4</formula>
    </cfRule>
  </conditionalFormatting>
  <conditionalFormatting sqref="J74:K74">
    <cfRule type="expression" dxfId="824" priority="38">
      <formula>kvartal &lt; 4</formula>
    </cfRule>
  </conditionalFormatting>
  <conditionalFormatting sqref="J80:K85">
    <cfRule type="expression" dxfId="823" priority="37">
      <formula>kvartal &lt; 4</formula>
    </cfRule>
  </conditionalFormatting>
  <conditionalFormatting sqref="J90:K95">
    <cfRule type="expression" dxfId="822" priority="34">
      <formula>kvartal &lt; 4</formula>
    </cfRule>
  </conditionalFormatting>
  <conditionalFormatting sqref="J101:K106">
    <cfRule type="expression" dxfId="821" priority="33">
      <formula>kvartal &lt; 4</formula>
    </cfRule>
  </conditionalFormatting>
  <conditionalFormatting sqref="J115:K115">
    <cfRule type="expression" dxfId="820" priority="32">
      <formula>kvartal &lt; 4</formula>
    </cfRule>
  </conditionalFormatting>
  <conditionalFormatting sqref="J123:K123">
    <cfRule type="expression" dxfId="819" priority="31">
      <formula>kvartal &lt; 4</formula>
    </cfRule>
  </conditionalFormatting>
  <conditionalFormatting sqref="A50:A52">
    <cfRule type="expression" dxfId="818" priority="12">
      <formula>kvartal &lt; 4</formula>
    </cfRule>
  </conditionalFormatting>
  <conditionalFormatting sqref="A69:A74">
    <cfRule type="expression" dxfId="817" priority="10">
      <formula>kvartal &lt; 4</formula>
    </cfRule>
  </conditionalFormatting>
  <conditionalFormatting sqref="A80:A85">
    <cfRule type="expression" dxfId="816" priority="9">
      <formula>kvartal &lt; 4</formula>
    </cfRule>
  </conditionalFormatting>
  <conditionalFormatting sqref="A90:A95">
    <cfRule type="expression" dxfId="815" priority="6">
      <formula>kvartal &lt; 4</formula>
    </cfRule>
  </conditionalFormatting>
  <conditionalFormatting sqref="A101:A106">
    <cfRule type="expression" dxfId="814" priority="5">
      <formula>kvartal &lt; 4</formula>
    </cfRule>
  </conditionalFormatting>
  <conditionalFormatting sqref="A115">
    <cfRule type="expression" dxfId="813" priority="4">
      <formula>kvartal &lt; 4</formula>
    </cfRule>
  </conditionalFormatting>
  <conditionalFormatting sqref="A123">
    <cfRule type="expression" dxfId="812" priority="3">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O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99</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c r="C7" s="310"/>
      <c r="D7" s="354"/>
      <c r="E7" s="11"/>
      <c r="F7" s="309"/>
      <c r="G7" s="310"/>
      <c r="H7" s="354"/>
      <c r="I7" s="160"/>
      <c r="J7" s="311"/>
      <c r="K7" s="312"/>
      <c r="L7" s="431"/>
      <c r="M7" s="11"/>
      <c r="O7" s="148"/>
    </row>
    <row r="8" spans="1:15" ht="15.75" x14ac:dyDescent="0.2">
      <c r="A8" s="21" t="s">
        <v>25</v>
      </c>
      <c r="B8" s="284"/>
      <c r="C8" s="285"/>
      <c r="D8" s="166"/>
      <c r="E8" s="27"/>
      <c r="F8" s="288"/>
      <c r="G8" s="289"/>
      <c r="H8" s="166"/>
      <c r="I8" s="176"/>
      <c r="J8" s="235"/>
      <c r="K8" s="290"/>
      <c r="L8" s="257"/>
      <c r="M8" s="27"/>
      <c r="O8" s="148"/>
    </row>
    <row r="9" spans="1:15" ht="15.75" x14ac:dyDescent="0.2">
      <c r="A9" s="21" t="s">
        <v>24</v>
      </c>
      <c r="B9" s="284"/>
      <c r="C9" s="285"/>
      <c r="D9" s="166"/>
      <c r="E9" s="27"/>
      <c r="F9" s="288"/>
      <c r="G9" s="289"/>
      <c r="H9" s="166"/>
      <c r="I9" s="176"/>
      <c r="J9" s="235"/>
      <c r="K9" s="290"/>
      <c r="L9" s="257"/>
      <c r="M9" s="27"/>
      <c r="O9" s="148"/>
    </row>
    <row r="10" spans="1:15" ht="15.75" x14ac:dyDescent="0.2">
      <c r="A10" s="13" t="s">
        <v>376</v>
      </c>
      <c r="B10" s="313"/>
      <c r="C10" s="314"/>
      <c r="D10" s="171"/>
      <c r="E10" s="11"/>
      <c r="F10" s="313"/>
      <c r="G10" s="314"/>
      <c r="H10" s="171"/>
      <c r="I10" s="160"/>
      <c r="J10" s="311"/>
      <c r="K10" s="312"/>
      <c r="L10" s="432"/>
      <c r="M10" s="11"/>
      <c r="O10" s="148"/>
    </row>
    <row r="11" spans="1:15" s="43" customFormat="1" ht="15.75" x14ac:dyDescent="0.2">
      <c r="A11" s="13" t="s">
        <v>377</v>
      </c>
      <c r="B11" s="313"/>
      <c r="C11" s="314"/>
      <c r="D11" s="171"/>
      <c r="E11" s="11"/>
      <c r="F11" s="313"/>
      <c r="G11" s="314"/>
      <c r="H11" s="171"/>
      <c r="I11" s="160"/>
      <c r="J11" s="311"/>
      <c r="K11" s="312"/>
      <c r="L11" s="432"/>
      <c r="M11" s="11"/>
      <c r="N11" s="143"/>
      <c r="O11" s="148"/>
    </row>
    <row r="12" spans="1:15" s="43" customFormat="1" ht="15.75" x14ac:dyDescent="0.2">
      <c r="A12" s="41" t="s">
        <v>378</v>
      </c>
      <c r="B12" s="315"/>
      <c r="C12" s="316"/>
      <c r="D12" s="169"/>
      <c r="E12" s="36"/>
      <c r="F12" s="315"/>
      <c r="G12" s="316"/>
      <c r="H12" s="169"/>
      <c r="I12" s="169"/>
      <c r="J12" s="317"/>
      <c r="K12" s="318"/>
      <c r="L12" s="433"/>
      <c r="M12" s="36"/>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c r="C22" s="319"/>
      <c r="D22" s="354"/>
      <c r="E22" s="11"/>
      <c r="F22" s="321"/>
      <c r="G22" s="321"/>
      <c r="H22" s="354"/>
      <c r="I22" s="11"/>
      <c r="J22" s="319"/>
      <c r="K22" s="319"/>
      <c r="L22" s="431"/>
      <c r="M22" s="24"/>
      <c r="O22" s="148"/>
    </row>
    <row r="23" spans="1:15" ht="15.75" x14ac:dyDescent="0.2">
      <c r="A23" s="619" t="s">
        <v>379</v>
      </c>
      <c r="B23" s="284"/>
      <c r="C23" s="284"/>
      <c r="D23" s="166"/>
      <c r="E23" s="11"/>
      <c r="F23" s="293"/>
      <c r="G23" s="293"/>
      <c r="H23" s="166"/>
      <c r="I23" s="421"/>
      <c r="J23" s="293"/>
      <c r="K23" s="293"/>
      <c r="L23" s="166"/>
      <c r="M23" s="23"/>
      <c r="O23" s="148"/>
    </row>
    <row r="24" spans="1:15" ht="15.75" x14ac:dyDescent="0.2">
      <c r="A24" s="619" t="s">
        <v>380</v>
      </c>
      <c r="B24" s="284"/>
      <c r="C24" s="284"/>
      <c r="D24" s="166"/>
      <c r="E24" s="11"/>
      <c r="F24" s="293"/>
      <c r="G24" s="293"/>
      <c r="H24" s="166"/>
      <c r="I24" s="421"/>
      <c r="J24" s="293"/>
      <c r="K24" s="293"/>
      <c r="L24" s="166"/>
      <c r="M24" s="23"/>
      <c r="O24" s="148"/>
    </row>
    <row r="25" spans="1:15" ht="15.75" x14ac:dyDescent="0.2">
      <c r="A25" s="619" t="s">
        <v>381</v>
      </c>
      <c r="B25" s="284"/>
      <c r="C25" s="284"/>
      <c r="D25" s="166"/>
      <c r="E25" s="11"/>
      <c r="F25" s="293"/>
      <c r="G25" s="293"/>
      <c r="H25" s="166"/>
      <c r="I25" s="421"/>
      <c r="J25" s="293"/>
      <c r="K25" s="293"/>
      <c r="L25" s="166"/>
      <c r="M25" s="23"/>
      <c r="O25" s="148"/>
    </row>
    <row r="26" spans="1:15" ht="15.75" x14ac:dyDescent="0.2">
      <c r="A26" s="619" t="s">
        <v>382</v>
      </c>
      <c r="B26" s="284"/>
      <c r="C26" s="284"/>
      <c r="D26" s="166"/>
      <c r="E26" s="11"/>
      <c r="F26" s="293"/>
      <c r="G26" s="293"/>
      <c r="H26" s="166"/>
      <c r="I26" s="421"/>
      <c r="J26" s="293"/>
      <c r="K26" s="293"/>
      <c r="L26" s="166"/>
      <c r="M26" s="23"/>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c r="C28" s="290"/>
      <c r="D28" s="166"/>
      <c r="E28" s="11"/>
      <c r="F28" s="235"/>
      <c r="G28" s="290"/>
      <c r="H28" s="166"/>
      <c r="I28" s="27"/>
      <c r="J28" s="44"/>
      <c r="K28" s="44"/>
      <c r="L28" s="257"/>
      <c r="M28" s="23"/>
      <c r="O28" s="148"/>
    </row>
    <row r="29" spans="1:15" s="3" customFormat="1" ht="15.75" x14ac:dyDescent="0.2">
      <c r="A29" s="13" t="s">
        <v>376</v>
      </c>
      <c r="B29" s="237"/>
      <c r="C29" s="237"/>
      <c r="D29" s="171"/>
      <c r="E29" s="11"/>
      <c r="F29" s="311"/>
      <c r="G29" s="311"/>
      <c r="H29" s="171"/>
      <c r="I29" s="11"/>
      <c r="J29" s="237"/>
      <c r="K29" s="237"/>
      <c r="L29" s="432"/>
      <c r="M29" s="24"/>
      <c r="N29" s="148"/>
      <c r="O29" s="148"/>
    </row>
    <row r="30" spans="1:15" s="3" customFormat="1" ht="15.75" x14ac:dyDescent="0.2">
      <c r="A30" s="619" t="s">
        <v>379</v>
      </c>
      <c r="B30" s="284"/>
      <c r="C30" s="284"/>
      <c r="D30" s="166"/>
      <c r="E30" s="11"/>
      <c r="F30" s="293"/>
      <c r="G30" s="293"/>
      <c r="H30" s="166"/>
      <c r="I30" s="421"/>
      <c r="J30" s="293"/>
      <c r="K30" s="293"/>
      <c r="L30" s="166"/>
      <c r="M30" s="23"/>
      <c r="N30" s="148"/>
      <c r="O30" s="148"/>
    </row>
    <row r="31" spans="1:15" s="3" customFormat="1" ht="15.75" x14ac:dyDescent="0.2">
      <c r="A31" s="619" t="s">
        <v>380</v>
      </c>
      <c r="B31" s="284"/>
      <c r="C31" s="284"/>
      <c r="D31" s="166"/>
      <c r="E31" s="11"/>
      <c r="F31" s="293"/>
      <c r="G31" s="293"/>
      <c r="H31" s="166"/>
      <c r="I31" s="421"/>
      <c r="J31" s="293"/>
      <c r="K31" s="293"/>
      <c r="L31" s="166"/>
      <c r="M31" s="23"/>
      <c r="N31" s="148"/>
      <c r="O31" s="148"/>
    </row>
    <row r="32" spans="1:15" ht="15.75" x14ac:dyDescent="0.2">
      <c r="A32" s="619" t="s">
        <v>381</v>
      </c>
      <c r="B32" s="284"/>
      <c r="C32" s="284"/>
      <c r="D32" s="166"/>
      <c r="E32" s="11"/>
      <c r="F32" s="293"/>
      <c r="G32" s="293"/>
      <c r="H32" s="166"/>
      <c r="I32" s="421"/>
      <c r="J32" s="293"/>
      <c r="K32" s="293"/>
      <c r="L32" s="166"/>
      <c r="M32" s="23"/>
      <c r="O32" s="148"/>
    </row>
    <row r="33" spans="1:15" ht="15.75" x14ac:dyDescent="0.2">
      <c r="A33" s="619" t="s">
        <v>382</v>
      </c>
      <c r="B33" s="284"/>
      <c r="C33" s="284"/>
      <c r="D33" s="166"/>
      <c r="E33" s="11"/>
      <c r="F33" s="293"/>
      <c r="G33" s="293"/>
      <c r="H33" s="166"/>
      <c r="I33" s="421"/>
      <c r="J33" s="293"/>
      <c r="K33" s="293"/>
      <c r="L33" s="166"/>
      <c r="M33" s="23"/>
      <c r="O33" s="148"/>
    </row>
    <row r="34" spans="1:15" ht="15.75" x14ac:dyDescent="0.2">
      <c r="A34" s="13" t="s">
        <v>377</v>
      </c>
      <c r="B34" s="237"/>
      <c r="C34" s="312"/>
      <c r="D34" s="171"/>
      <c r="E34" s="11"/>
      <c r="F34" s="311"/>
      <c r="G34" s="312"/>
      <c r="H34" s="171"/>
      <c r="I34" s="11"/>
      <c r="J34" s="237"/>
      <c r="K34" s="237"/>
      <c r="L34" s="432"/>
      <c r="M34" s="24"/>
      <c r="O34" s="148"/>
    </row>
    <row r="35" spans="1:15" ht="15.75" x14ac:dyDescent="0.2">
      <c r="A35" s="13" t="s">
        <v>378</v>
      </c>
      <c r="B35" s="237"/>
      <c r="C35" s="312"/>
      <c r="D35" s="171"/>
      <c r="E35" s="11"/>
      <c r="F35" s="311"/>
      <c r="G35" s="312"/>
      <c r="H35" s="171"/>
      <c r="I35" s="11"/>
      <c r="J35" s="237"/>
      <c r="K35" s="237"/>
      <c r="L35" s="432"/>
      <c r="M35" s="24"/>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v>24813</v>
      </c>
      <c r="C47" s="314">
        <v>24377</v>
      </c>
      <c r="D47" s="431">
        <f t="shared" ref="D47:D57" si="0">IF(B47=0, "    ---- ", IF(ABS(ROUND(100/B47*C47-100,1))&lt;999,ROUND(100/B47*C47-100,1),IF(ROUND(100/B47*C47-100,1)&gt;999,999,-999)))</f>
        <v>-1.8</v>
      </c>
      <c r="E47" s="11">
        <f>IFERROR(100/'Skjema total MA'!C47*C47,0)</f>
        <v>0.66064595575947471</v>
      </c>
      <c r="F47" s="145"/>
      <c r="G47" s="33"/>
      <c r="H47" s="159"/>
      <c r="I47" s="159"/>
      <c r="J47" s="37"/>
      <c r="K47" s="37"/>
      <c r="L47" s="159"/>
      <c r="M47" s="159"/>
      <c r="N47" s="148"/>
      <c r="O47" s="148"/>
    </row>
    <row r="48" spans="1:15" s="3" customFormat="1" ht="15.75" x14ac:dyDescent="0.2">
      <c r="A48" s="38" t="s">
        <v>387</v>
      </c>
      <c r="B48" s="284">
        <v>24813</v>
      </c>
      <c r="C48" s="285">
        <v>24377</v>
      </c>
      <c r="D48" s="257">
        <f t="shared" si="0"/>
        <v>-1.8</v>
      </c>
      <c r="E48" s="27">
        <f>IFERROR(100/'Skjema total MA'!C48*C48,0)</f>
        <v>1.1667002349455571</v>
      </c>
      <c r="F48" s="145"/>
      <c r="G48" s="33"/>
      <c r="H48" s="145"/>
      <c r="I48" s="145"/>
      <c r="J48" s="33"/>
      <c r="K48" s="33"/>
      <c r="L48" s="159"/>
      <c r="M48" s="159"/>
      <c r="N48" s="148"/>
      <c r="O48" s="148"/>
    </row>
    <row r="49" spans="1:15" s="3" customFormat="1" ht="15.75" x14ac:dyDescent="0.2">
      <c r="A49" s="38" t="s">
        <v>388</v>
      </c>
      <c r="B49" s="44"/>
      <c r="C49" s="290"/>
      <c r="D49" s="257"/>
      <c r="E49" s="27"/>
      <c r="F49" s="145"/>
      <c r="G49" s="33"/>
      <c r="H49" s="145"/>
      <c r="I49" s="145"/>
      <c r="J49" s="37"/>
      <c r="K49" s="37"/>
      <c r="L49" s="159"/>
      <c r="M49" s="159"/>
      <c r="N49" s="148"/>
      <c r="O49" s="148"/>
    </row>
    <row r="50" spans="1:15" s="3" customFormat="1" x14ac:dyDescent="0.2">
      <c r="A50" s="299" t="s">
        <v>6</v>
      </c>
      <c r="B50" s="293"/>
      <c r="C50" s="294"/>
      <c r="D50" s="257"/>
      <c r="E50" s="23"/>
      <c r="F50" s="145"/>
      <c r="G50" s="33"/>
      <c r="H50" s="145"/>
      <c r="I50" s="145"/>
      <c r="J50" s="33"/>
      <c r="K50" s="33"/>
      <c r="L50" s="159"/>
      <c r="M50" s="159"/>
      <c r="N50" s="148"/>
      <c r="O50" s="148"/>
    </row>
    <row r="51" spans="1:15" s="3" customFormat="1" x14ac:dyDescent="0.2">
      <c r="A51" s="299" t="s">
        <v>7</v>
      </c>
      <c r="B51" s="293"/>
      <c r="C51" s="294"/>
      <c r="D51" s="257"/>
      <c r="E51" s="23"/>
      <c r="F51" s="145"/>
      <c r="G51" s="33"/>
      <c r="H51" s="145"/>
      <c r="I51" s="145"/>
      <c r="J51" s="33"/>
      <c r="K51" s="33"/>
      <c r="L51" s="159"/>
      <c r="M51" s="159"/>
      <c r="N51" s="148"/>
      <c r="O51" s="148"/>
    </row>
    <row r="52" spans="1:15" s="3" customFormat="1" x14ac:dyDescent="0.2">
      <c r="A52" s="299" t="s">
        <v>8</v>
      </c>
      <c r="B52" s="293"/>
      <c r="C52" s="294"/>
      <c r="D52" s="257"/>
      <c r="E52" s="23"/>
      <c r="F52" s="145"/>
      <c r="G52" s="33"/>
      <c r="H52" s="145"/>
      <c r="I52" s="145"/>
      <c r="J52" s="33"/>
      <c r="K52" s="33"/>
      <c r="L52" s="159"/>
      <c r="M52" s="159"/>
      <c r="N52" s="148"/>
      <c r="O52" s="148"/>
    </row>
    <row r="53" spans="1:15" s="3" customFormat="1" ht="15.75" x14ac:dyDescent="0.2">
      <c r="A53" s="39" t="s">
        <v>389</v>
      </c>
      <c r="B53" s="313"/>
      <c r="C53" s="314"/>
      <c r="D53" s="432"/>
      <c r="E53" s="11"/>
      <c r="F53" s="145"/>
      <c r="G53" s="33"/>
      <c r="H53" s="145"/>
      <c r="I53" s="145"/>
      <c r="J53" s="33"/>
      <c r="K53" s="33"/>
      <c r="L53" s="159"/>
      <c r="M53" s="159"/>
      <c r="N53" s="148"/>
      <c r="O53" s="148"/>
    </row>
    <row r="54" spans="1:15" s="3" customFormat="1" ht="15.75" x14ac:dyDescent="0.2">
      <c r="A54" s="38" t="s">
        <v>387</v>
      </c>
      <c r="B54" s="284"/>
      <c r="C54" s="285"/>
      <c r="D54" s="257"/>
      <c r="E54" s="27"/>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v>531</v>
      </c>
      <c r="C56" s="314">
        <v>254</v>
      </c>
      <c r="D56" s="432">
        <f t="shared" si="0"/>
        <v>-52.2</v>
      </c>
      <c r="E56" s="11">
        <f>IFERROR(100/'Skjema total MA'!C56*C56,0)</f>
        <v>0.23849614322628607</v>
      </c>
      <c r="F56" s="145"/>
      <c r="G56" s="33"/>
      <c r="H56" s="145"/>
      <c r="I56" s="145"/>
      <c r="J56" s="33"/>
      <c r="K56" s="33"/>
      <c r="L56" s="159"/>
      <c r="M56" s="159"/>
      <c r="N56" s="148"/>
      <c r="O56" s="148"/>
    </row>
    <row r="57" spans="1:15" s="3" customFormat="1" ht="15.75" x14ac:dyDescent="0.2">
      <c r="A57" s="38" t="s">
        <v>387</v>
      </c>
      <c r="B57" s="284">
        <v>531</v>
      </c>
      <c r="C57" s="285">
        <v>254</v>
      </c>
      <c r="D57" s="257">
        <f t="shared" si="0"/>
        <v>-52.2</v>
      </c>
      <c r="E57" s="27">
        <f>IFERROR(100/'Skjema total MA'!C57*C57,0)</f>
        <v>0.23850347296268762</v>
      </c>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c r="C66" s="357"/>
      <c r="D66" s="354"/>
      <c r="E66" s="11"/>
      <c r="F66" s="356"/>
      <c r="G66" s="356"/>
      <c r="H66" s="354"/>
      <c r="I66" s="11"/>
      <c r="J66" s="312"/>
      <c r="K66" s="319"/>
      <c r="L66" s="432"/>
      <c r="M66" s="11"/>
      <c r="O66" s="148"/>
    </row>
    <row r="67" spans="1:15" x14ac:dyDescent="0.2">
      <c r="A67" s="423" t="s">
        <v>9</v>
      </c>
      <c r="B67" s="44"/>
      <c r="C67" s="145"/>
      <c r="D67" s="166"/>
      <c r="E67" s="27"/>
      <c r="F67" s="235"/>
      <c r="G67" s="145"/>
      <c r="H67" s="166"/>
      <c r="I67" s="27"/>
      <c r="J67" s="290"/>
      <c r="K67" s="44"/>
      <c r="L67" s="257"/>
      <c r="M67" s="27"/>
      <c r="O67" s="148"/>
    </row>
    <row r="68" spans="1:15" x14ac:dyDescent="0.2">
      <c r="A68" s="21" t="s">
        <v>10</v>
      </c>
      <c r="B68" s="295"/>
      <c r="C68" s="296"/>
      <c r="D68" s="166"/>
      <c r="E68" s="27"/>
      <c r="F68" s="295"/>
      <c r="G68" s="296"/>
      <c r="H68" s="166"/>
      <c r="I68" s="27"/>
      <c r="J68" s="290"/>
      <c r="K68" s="44"/>
      <c r="L68" s="257"/>
      <c r="M68" s="27"/>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c r="C77" s="235"/>
      <c r="D77" s="166"/>
      <c r="E77" s="27"/>
      <c r="F77" s="235"/>
      <c r="G77" s="145"/>
      <c r="H77" s="166"/>
      <c r="I77" s="27"/>
      <c r="J77" s="290"/>
      <c r="K77" s="44"/>
      <c r="L77" s="257"/>
      <c r="M77" s="27"/>
      <c r="O77" s="148"/>
    </row>
    <row r="78" spans="1:15" x14ac:dyDescent="0.2">
      <c r="A78" s="21" t="s">
        <v>9</v>
      </c>
      <c r="B78" s="235"/>
      <c r="C78" s="145"/>
      <c r="D78" s="166"/>
      <c r="E78" s="27"/>
      <c r="F78" s="235"/>
      <c r="G78" s="145"/>
      <c r="H78" s="166"/>
      <c r="I78" s="27"/>
      <c r="J78" s="290"/>
      <c r="K78" s="44"/>
      <c r="L78" s="257"/>
      <c r="M78" s="27"/>
      <c r="O78" s="148"/>
    </row>
    <row r="79" spans="1:15" x14ac:dyDescent="0.2">
      <c r="A79" s="21" t="s">
        <v>10</v>
      </c>
      <c r="B79" s="295"/>
      <c r="C79" s="296"/>
      <c r="D79" s="166"/>
      <c r="E79" s="27"/>
      <c r="F79" s="295"/>
      <c r="G79" s="296"/>
      <c r="H79" s="166"/>
      <c r="I79" s="27"/>
      <c r="J79" s="290"/>
      <c r="K79" s="44"/>
      <c r="L79" s="257"/>
      <c r="M79" s="27"/>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c r="G86" s="145"/>
      <c r="H86" s="166"/>
      <c r="I86" s="27"/>
      <c r="J86" s="290"/>
      <c r="K86" s="44"/>
      <c r="L86" s="257"/>
      <c r="M86" s="27"/>
      <c r="O86" s="148"/>
    </row>
    <row r="87" spans="1:15" ht="15.75" x14ac:dyDescent="0.2">
      <c r="A87" s="13" t="s">
        <v>376</v>
      </c>
      <c r="B87" s="357"/>
      <c r="C87" s="357"/>
      <c r="D87" s="171"/>
      <c r="E87" s="11"/>
      <c r="F87" s="356"/>
      <c r="G87" s="356"/>
      <c r="H87" s="171"/>
      <c r="I87" s="11"/>
      <c r="J87" s="312"/>
      <c r="K87" s="237"/>
      <c r="L87" s="432"/>
      <c r="M87" s="11"/>
      <c r="O87" s="148"/>
    </row>
    <row r="88" spans="1:15" x14ac:dyDescent="0.2">
      <c r="A88" s="21" t="s">
        <v>9</v>
      </c>
      <c r="B88" s="235"/>
      <c r="C88" s="145"/>
      <c r="D88" s="166"/>
      <c r="E88" s="27"/>
      <c r="F88" s="235"/>
      <c r="G88" s="145"/>
      <c r="H88" s="166"/>
      <c r="I88" s="27"/>
      <c r="J88" s="290"/>
      <c r="K88" s="44"/>
      <c r="L88" s="257"/>
      <c r="M88" s="27"/>
      <c r="O88" s="148"/>
    </row>
    <row r="89" spans="1:15" x14ac:dyDescent="0.2">
      <c r="A89" s="21" t="s">
        <v>10</v>
      </c>
      <c r="B89" s="235"/>
      <c r="C89" s="145"/>
      <c r="D89" s="166"/>
      <c r="E89" s="27"/>
      <c r="F89" s="235"/>
      <c r="G89" s="145"/>
      <c r="H89" s="166"/>
      <c r="I89" s="27"/>
      <c r="J89" s="290"/>
      <c r="K89" s="44"/>
      <c r="L89" s="257"/>
      <c r="M89" s="27"/>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c r="C98" s="235"/>
      <c r="D98" s="166"/>
      <c r="E98" s="27"/>
      <c r="F98" s="295"/>
      <c r="G98" s="295"/>
      <c r="H98" s="166"/>
      <c r="I98" s="27"/>
      <c r="J98" s="290"/>
      <c r="K98" s="44"/>
      <c r="L98" s="257"/>
      <c r="M98" s="27"/>
      <c r="O98" s="148"/>
    </row>
    <row r="99" spans="1:15" x14ac:dyDescent="0.2">
      <c r="A99" s="21" t="s">
        <v>9</v>
      </c>
      <c r="B99" s="295"/>
      <c r="C99" s="296"/>
      <c r="D99" s="166"/>
      <c r="E99" s="27"/>
      <c r="F99" s="235"/>
      <c r="G99" s="145"/>
      <c r="H99" s="166"/>
      <c r="I99" s="27"/>
      <c r="J99" s="290"/>
      <c r="K99" s="44"/>
      <c r="L99" s="257"/>
      <c r="M99" s="27"/>
      <c r="O99" s="148"/>
    </row>
    <row r="100" spans="1:15" x14ac:dyDescent="0.2">
      <c r="A100" s="21" t="s">
        <v>10</v>
      </c>
      <c r="B100" s="295"/>
      <c r="C100" s="296"/>
      <c r="D100" s="166"/>
      <c r="E100" s="27"/>
      <c r="F100" s="235"/>
      <c r="G100" s="235"/>
      <c r="H100" s="166"/>
      <c r="I100" s="27"/>
      <c r="J100" s="290"/>
      <c r="K100" s="44"/>
      <c r="L100" s="257"/>
      <c r="M100" s="27"/>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c r="G107" s="145"/>
      <c r="H107" s="166"/>
      <c r="I107" s="27"/>
      <c r="J107" s="290"/>
      <c r="K107" s="44"/>
      <c r="L107" s="257"/>
      <c r="M107" s="27"/>
      <c r="O107" s="148"/>
    </row>
    <row r="108" spans="1:15" ht="15.75" x14ac:dyDescent="0.2">
      <c r="A108" s="21" t="s">
        <v>395</v>
      </c>
      <c r="B108" s="235"/>
      <c r="C108" s="235"/>
      <c r="D108" s="166"/>
      <c r="E108" s="27"/>
      <c r="F108" s="235"/>
      <c r="G108" s="235"/>
      <c r="H108" s="166"/>
      <c r="I108" s="27"/>
      <c r="J108" s="290"/>
      <c r="K108" s="44"/>
      <c r="L108" s="257"/>
      <c r="M108" s="27"/>
      <c r="O108" s="148"/>
    </row>
    <row r="109" spans="1:15" ht="15.75" x14ac:dyDescent="0.2">
      <c r="A109" s="21" t="s">
        <v>396</v>
      </c>
      <c r="B109" s="235"/>
      <c r="C109" s="235"/>
      <c r="D109" s="166"/>
      <c r="E109" s="27"/>
      <c r="F109" s="235"/>
      <c r="G109" s="235"/>
      <c r="H109" s="166"/>
      <c r="I109" s="27"/>
      <c r="J109" s="290"/>
      <c r="K109" s="44"/>
      <c r="L109" s="257"/>
      <c r="M109" s="27"/>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c r="C111" s="159"/>
      <c r="D111" s="171"/>
      <c r="E111" s="11"/>
      <c r="F111" s="311"/>
      <c r="G111" s="159"/>
      <c r="H111" s="171"/>
      <c r="I111" s="11"/>
      <c r="J111" s="312"/>
      <c r="K111" s="237"/>
      <c r="L111" s="432"/>
      <c r="M111" s="11"/>
      <c r="O111" s="148"/>
    </row>
    <row r="112" spans="1:15" x14ac:dyDescent="0.2">
      <c r="A112" s="21" t="s">
        <v>9</v>
      </c>
      <c r="B112" s="235"/>
      <c r="C112" s="145"/>
      <c r="D112" s="166"/>
      <c r="E112" s="27"/>
      <c r="F112" s="235"/>
      <c r="G112" s="145"/>
      <c r="H112" s="166"/>
      <c r="I112" s="27"/>
      <c r="J112" s="290"/>
      <c r="K112" s="44"/>
      <c r="L112" s="257"/>
      <c r="M112" s="27"/>
      <c r="O112" s="148"/>
    </row>
    <row r="113" spans="1:15" x14ac:dyDescent="0.2">
      <c r="A113" s="21" t="s">
        <v>10</v>
      </c>
      <c r="B113" s="235"/>
      <c r="C113" s="145"/>
      <c r="D113" s="166"/>
      <c r="E113" s="27"/>
      <c r="F113" s="235"/>
      <c r="G113" s="145"/>
      <c r="H113" s="166"/>
      <c r="I113" s="27"/>
      <c r="J113" s="290"/>
      <c r="K113" s="44"/>
      <c r="L113" s="257"/>
      <c r="M113" s="27"/>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c r="C116" s="235"/>
      <c r="D116" s="166"/>
      <c r="E116" s="27"/>
      <c r="F116" s="235"/>
      <c r="G116" s="235"/>
      <c r="H116" s="166"/>
      <c r="I116" s="27"/>
      <c r="J116" s="290"/>
      <c r="K116" s="44"/>
      <c r="L116" s="257"/>
      <c r="M116" s="27"/>
      <c r="O116" s="148"/>
    </row>
    <row r="117" spans="1:15" ht="15.75" x14ac:dyDescent="0.2">
      <c r="A117" s="21" t="s">
        <v>399</v>
      </c>
      <c r="B117" s="235"/>
      <c r="C117" s="235"/>
      <c r="D117" s="166"/>
      <c r="E117" s="27"/>
      <c r="F117" s="235"/>
      <c r="G117" s="235"/>
      <c r="H117" s="166"/>
      <c r="I117" s="27"/>
      <c r="J117" s="290"/>
      <c r="K117" s="44"/>
      <c r="L117" s="257"/>
      <c r="M117" s="27"/>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c r="C119" s="159"/>
      <c r="D119" s="171"/>
      <c r="E119" s="11"/>
      <c r="F119" s="311"/>
      <c r="G119" s="159"/>
      <c r="H119" s="171"/>
      <c r="I119" s="11"/>
      <c r="J119" s="312"/>
      <c r="K119" s="237"/>
      <c r="L119" s="432"/>
      <c r="M119" s="11"/>
      <c r="O119" s="148"/>
    </row>
    <row r="120" spans="1:15" x14ac:dyDescent="0.2">
      <c r="A120" s="21" t="s">
        <v>9</v>
      </c>
      <c r="B120" s="235"/>
      <c r="C120" s="145"/>
      <c r="D120" s="166"/>
      <c r="E120" s="27"/>
      <c r="F120" s="235"/>
      <c r="G120" s="145"/>
      <c r="H120" s="166"/>
      <c r="I120" s="27"/>
      <c r="J120" s="290"/>
      <c r="K120" s="44"/>
      <c r="L120" s="257"/>
      <c r="M120" s="27"/>
      <c r="O120" s="148"/>
    </row>
    <row r="121" spans="1:15" x14ac:dyDescent="0.2">
      <c r="A121" s="21" t="s">
        <v>10</v>
      </c>
      <c r="B121" s="235"/>
      <c r="C121" s="145"/>
      <c r="D121" s="166"/>
      <c r="E121" s="27"/>
      <c r="F121" s="235"/>
      <c r="G121" s="145"/>
      <c r="H121" s="166"/>
      <c r="I121" s="27"/>
      <c r="J121" s="290"/>
      <c r="K121" s="44"/>
      <c r="L121" s="257"/>
      <c r="M121" s="27"/>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c r="G125" s="235"/>
      <c r="H125" s="166"/>
      <c r="I125" s="27"/>
      <c r="J125" s="290"/>
      <c r="K125" s="44"/>
      <c r="L125" s="257"/>
      <c r="M125" s="27"/>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811" priority="132">
      <formula>kvartal &lt; 4</formula>
    </cfRule>
  </conditionalFormatting>
  <conditionalFormatting sqref="B69">
    <cfRule type="expression" dxfId="810" priority="100">
      <formula>kvartal &lt; 4</formula>
    </cfRule>
  </conditionalFormatting>
  <conditionalFormatting sqref="C69">
    <cfRule type="expression" dxfId="809" priority="99">
      <formula>kvartal &lt; 4</formula>
    </cfRule>
  </conditionalFormatting>
  <conditionalFormatting sqref="B72">
    <cfRule type="expression" dxfId="808" priority="98">
      <formula>kvartal &lt; 4</formula>
    </cfRule>
  </conditionalFormatting>
  <conditionalFormatting sqref="C72">
    <cfRule type="expression" dxfId="807" priority="97">
      <formula>kvartal &lt; 4</formula>
    </cfRule>
  </conditionalFormatting>
  <conditionalFormatting sqref="B80">
    <cfRule type="expression" dxfId="806" priority="96">
      <formula>kvartal &lt; 4</formula>
    </cfRule>
  </conditionalFormatting>
  <conditionalFormatting sqref="C80">
    <cfRule type="expression" dxfId="805" priority="95">
      <formula>kvartal &lt; 4</formula>
    </cfRule>
  </conditionalFormatting>
  <conditionalFormatting sqref="B83">
    <cfRule type="expression" dxfId="804" priority="94">
      <formula>kvartal &lt; 4</formula>
    </cfRule>
  </conditionalFormatting>
  <conditionalFormatting sqref="C83">
    <cfRule type="expression" dxfId="803" priority="93">
      <formula>kvartal &lt; 4</formula>
    </cfRule>
  </conditionalFormatting>
  <conditionalFormatting sqref="B90">
    <cfRule type="expression" dxfId="802" priority="84">
      <formula>kvartal &lt; 4</formula>
    </cfRule>
  </conditionalFormatting>
  <conditionalFormatting sqref="C90">
    <cfRule type="expression" dxfId="801" priority="83">
      <formula>kvartal &lt; 4</formula>
    </cfRule>
  </conditionalFormatting>
  <conditionalFormatting sqref="B93">
    <cfRule type="expression" dxfId="800" priority="82">
      <formula>kvartal &lt; 4</formula>
    </cfRule>
  </conditionalFormatting>
  <conditionalFormatting sqref="C93">
    <cfRule type="expression" dxfId="799" priority="81">
      <formula>kvartal &lt; 4</formula>
    </cfRule>
  </conditionalFormatting>
  <conditionalFormatting sqref="B101">
    <cfRule type="expression" dxfId="798" priority="80">
      <formula>kvartal &lt; 4</formula>
    </cfRule>
  </conditionalFormatting>
  <conditionalFormatting sqref="C101">
    <cfRule type="expression" dxfId="797" priority="79">
      <formula>kvartal &lt; 4</formula>
    </cfRule>
  </conditionalFormatting>
  <conditionalFormatting sqref="B104">
    <cfRule type="expression" dxfId="796" priority="78">
      <formula>kvartal &lt; 4</formula>
    </cfRule>
  </conditionalFormatting>
  <conditionalFormatting sqref="C104">
    <cfRule type="expression" dxfId="795" priority="77">
      <formula>kvartal &lt; 4</formula>
    </cfRule>
  </conditionalFormatting>
  <conditionalFormatting sqref="B115">
    <cfRule type="expression" dxfId="794" priority="76">
      <formula>kvartal &lt; 4</formula>
    </cfRule>
  </conditionalFormatting>
  <conditionalFormatting sqref="C115">
    <cfRule type="expression" dxfId="793" priority="75">
      <formula>kvartal &lt; 4</formula>
    </cfRule>
  </conditionalFormatting>
  <conditionalFormatting sqref="B123">
    <cfRule type="expression" dxfId="792" priority="74">
      <formula>kvartal &lt; 4</formula>
    </cfRule>
  </conditionalFormatting>
  <conditionalFormatting sqref="C123">
    <cfRule type="expression" dxfId="791" priority="73">
      <formula>kvartal &lt; 4</formula>
    </cfRule>
  </conditionalFormatting>
  <conditionalFormatting sqref="F70">
    <cfRule type="expression" dxfId="790" priority="72">
      <formula>kvartal &lt; 4</formula>
    </cfRule>
  </conditionalFormatting>
  <conditionalFormatting sqref="G70">
    <cfRule type="expression" dxfId="789" priority="71">
      <formula>kvartal &lt; 4</formula>
    </cfRule>
  </conditionalFormatting>
  <conditionalFormatting sqref="F71:G71">
    <cfRule type="expression" dxfId="788" priority="70">
      <formula>kvartal &lt; 4</formula>
    </cfRule>
  </conditionalFormatting>
  <conditionalFormatting sqref="F73:G74">
    <cfRule type="expression" dxfId="787" priority="69">
      <formula>kvartal &lt; 4</formula>
    </cfRule>
  </conditionalFormatting>
  <conditionalFormatting sqref="F81:G82">
    <cfRule type="expression" dxfId="786" priority="68">
      <formula>kvartal &lt; 4</formula>
    </cfRule>
  </conditionalFormatting>
  <conditionalFormatting sqref="F84:G85">
    <cfRule type="expression" dxfId="785" priority="67">
      <formula>kvartal &lt; 4</formula>
    </cfRule>
  </conditionalFormatting>
  <conditionalFormatting sqref="F91:G92">
    <cfRule type="expression" dxfId="784" priority="62">
      <formula>kvartal &lt; 4</formula>
    </cfRule>
  </conditionalFormatting>
  <conditionalFormatting sqref="F94:G95">
    <cfRule type="expression" dxfId="783" priority="61">
      <formula>kvartal &lt; 4</formula>
    </cfRule>
  </conditionalFormatting>
  <conditionalFormatting sqref="F102:G103">
    <cfRule type="expression" dxfId="782" priority="60">
      <formula>kvartal &lt; 4</formula>
    </cfRule>
  </conditionalFormatting>
  <conditionalFormatting sqref="F105:G106">
    <cfRule type="expression" dxfId="781" priority="59">
      <formula>kvartal &lt; 4</formula>
    </cfRule>
  </conditionalFormatting>
  <conditionalFormatting sqref="F115">
    <cfRule type="expression" dxfId="780" priority="58">
      <formula>kvartal &lt; 4</formula>
    </cfRule>
  </conditionalFormatting>
  <conditionalFormatting sqref="G115">
    <cfRule type="expression" dxfId="779" priority="57">
      <formula>kvartal &lt; 4</formula>
    </cfRule>
  </conditionalFormatting>
  <conditionalFormatting sqref="F123:G123">
    <cfRule type="expression" dxfId="778" priority="56">
      <formula>kvartal &lt; 4</formula>
    </cfRule>
  </conditionalFormatting>
  <conditionalFormatting sqref="F69:G69">
    <cfRule type="expression" dxfId="777" priority="55">
      <formula>kvartal &lt; 4</formula>
    </cfRule>
  </conditionalFormatting>
  <conditionalFormatting sqref="F72:G72">
    <cfRule type="expression" dxfId="776" priority="54">
      <formula>kvartal &lt; 4</formula>
    </cfRule>
  </conditionalFormatting>
  <conditionalFormatting sqref="F80:G80">
    <cfRule type="expression" dxfId="775" priority="53">
      <formula>kvartal &lt; 4</formula>
    </cfRule>
  </conditionalFormatting>
  <conditionalFormatting sqref="F83:G83">
    <cfRule type="expression" dxfId="774" priority="52">
      <formula>kvartal &lt; 4</formula>
    </cfRule>
  </conditionalFormatting>
  <conditionalFormatting sqref="F90:G90">
    <cfRule type="expression" dxfId="773" priority="46">
      <formula>kvartal &lt; 4</formula>
    </cfRule>
  </conditionalFormatting>
  <conditionalFormatting sqref="F93">
    <cfRule type="expression" dxfId="772" priority="45">
      <formula>kvartal &lt; 4</formula>
    </cfRule>
  </conditionalFormatting>
  <conditionalFormatting sqref="G93">
    <cfRule type="expression" dxfId="771" priority="44">
      <formula>kvartal &lt; 4</formula>
    </cfRule>
  </conditionalFormatting>
  <conditionalFormatting sqref="F101">
    <cfRule type="expression" dxfId="770" priority="43">
      <formula>kvartal &lt; 4</formula>
    </cfRule>
  </conditionalFormatting>
  <conditionalFormatting sqref="G101">
    <cfRule type="expression" dxfId="769" priority="42">
      <formula>kvartal &lt; 4</formula>
    </cfRule>
  </conditionalFormatting>
  <conditionalFormatting sqref="G104">
    <cfRule type="expression" dxfId="768" priority="41">
      <formula>kvartal &lt; 4</formula>
    </cfRule>
  </conditionalFormatting>
  <conditionalFormatting sqref="F104">
    <cfRule type="expression" dxfId="767" priority="40">
      <formula>kvartal &lt; 4</formula>
    </cfRule>
  </conditionalFormatting>
  <conditionalFormatting sqref="J69:K73">
    <cfRule type="expression" dxfId="766" priority="39">
      <formula>kvartal &lt; 4</formula>
    </cfRule>
  </conditionalFormatting>
  <conditionalFormatting sqref="J74:K74">
    <cfRule type="expression" dxfId="765" priority="38">
      <formula>kvartal &lt; 4</formula>
    </cfRule>
  </conditionalFormatting>
  <conditionalFormatting sqref="J80:K85">
    <cfRule type="expression" dxfId="764" priority="37">
      <formula>kvartal &lt; 4</formula>
    </cfRule>
  </conditionalFormatting>
  <conditionalFormatting sqref="J90:K95">
    <cfRule type="expression" dxfId="763" priority="34">
      <formula>kvartal &lt; 4</formula>
    </cfRule>
  </conditionalFormatting>
  <conditionalFormatting sqref="J101:K106">
    <cfRule type="expression" dxfId="762" priority="33">
      <formula>kvartal &lt; 4</formula>
    </cfRule>
  </conditionalFormatting>
  <conditionalFormatting sqref="J115:K115">
    <cfRule type="expression" dxfId="761" priority="32">
      <formula>kvartal &lt; 4</formula>
    </cfRule>
  </conditionalFormatting>
  <conditionalFormatting sqref="J123:K123">
    <cfRule type="expression" dxfId="760" priority="31">
      <formula>kvartal &lt; 4</formula>
    </cfRule>
  </conditionalFormatting>
  <conditionalFormatting sqref="A50:A52">
    <cfRule type="expression" dxfId="759" priority="12">
      <formula>kvartal &lt; 4</formula>
    </cfRule>
  </conditionalFormatting>
  <conditionalFormatting sqref="A69:A74">
    <cfRule type="expression" dxfId="758" priority="10">
      <formula>kvartal &lt; 4</formula>
    </cfRule>
  </conditionalFormatting>
  <conditionalFormatting sqref="A80:A85">
    <cfRule type="expression" dxfId="757" priority="9">
      <formula>kvartal &lt; 4</formula>
    </cfRule>
  </conditionalFormatting>
  <conditionalFormatting sqref="A90:A95">
    <cfRule type="expression" dxfId="756" priority="6">
      <formula>kvartal &lt; 4</formula>
    </cfRule>
  </conditionalFormatting>
  <conditionalFormatting sqref="A101:A106">
    <cfRule type="expression" dxfId="755" priority="5">
      <formula>kvartal &lt; 4</formula>
    </cfRule>
  </conditionalFormatting>
  <conditionalFormatting sqref="A115">
    <cfRule type="expression" dxfId="754" priority="4">
      <formula>kvartal &lt; 4</formula>
    </cfRule>
  </conditionalFormatting>
  <conditionalFormatting sqref="A123">
    <cfRule type="expression" dxfId="753" priority="3">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1:O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139</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c r="C7" s="310"/>
      <c r="D7" s="354"/>
      <c r="E7" s="11"/>
      <c r="F7" s="309"/>
      <c r="G7" s="310"/>
      <c r="H7" s="354"/>
      <c r="I7" s="160"/>
      <c r="J7" s="311"/>
      <c r="K7" s="312"/>
      <c r="L7" s="431"/>
      <c r="M7" s="11"/>
      <c r="O7" s="148"/>
    </row>
    <row r="8" spans="1:15" ht="15.75" x14ac:dyDescent="0.2">
      <c r="A8" s="21" t="s">
        <v>25</v>
      </c>
      <c r="B8" s="284"/>
      <c r="C8" s="285"/>
      <c r="D8" s="166"/>
      <c r="E8" s="27"/>
      <c r="F8" s="288"/>
      <c r="G8" s="289"/>
      <c r="H8" s="166"/>
      <c r="I8" s="176"/>
      <c r="J8" s="235"/>
      <c r="K8" s="290"/>
      <c r="L8" s="257"/>
      <c r="M8" s="27"/>
      <c r="O8" s="148"/>
    </row>
    <row r="9" spans="1:15" ht="15.75" x14ac:dyDescent="0.2">
      <c r="A9" s="21" t="s">
        <v>24</v>
      </c>
      <c r="B9" s="284"/>
      <c r="C9" s="285"/>
      <c r="D9" s="166"/>
      <c r="E9" s="27"/>
      <c r="F9" s="288"/>
      <c r="G9" s="289"/>
      <c r="H9" s="166"/>
      <c r="I9" s="176"/>
      <c r="J9" s="235"/>
      <c r="K9" s="290"/>
      <c r="L9" s="257"/>
      <c r="M9" s="27"/>
      <c r="O9" s="148"/>
    </row>
    <row r="10" spans="1:15" ht="15.75" x14ac:dyDescent="0.2">
      <c r="A10" s="13" t="s">
        <v>376</v>
      </c>
      <c r="B10" s="313"/>
      <c r="C10" s="314"/>
      <c r="D10" s="171"/>
      <c r="E10" s="11"/>
      <c r="F10" s="313"/>
      <c r="G10" s="314"/>
      <c r="H10" s="171"/>
      <c r="I10" s="160"/>
      <c r="J10" s="311"/>
      <c r="K10" s="312"/>
      <c r="L10" s="432"/>
      <c r="M10" s="11"/>
      <c r="O10" s="148"/>
    </row>
    <row r="11" spans="1:15" s="43" customFormat="1" ht="15.75" x14ac:dyDescent="0.2">
      <c r="A11" s="13" t="s">
        <v>377</v>
      </c>
      <c r="B11" s="313"/>
      <c r="C11" s="314"/>
      <c r="D11" s="171"/>
      <c r="E11" s="11"/>
      <c r="F11" s="313"/>
      <c r="G11" s="314"/>
      <c r="H11" s="171"/>
      <c r="I11" s="160"/>
      <c r="J11" s="311"/>
      <c r="K11" s="312"/>
      <c r="L11" s="432"/>
      <c r="M11" s="11"/>
      <c r="N11" s="143"/>
      <c r="O11" s="148"/>
    </row>
    <row r="12" spans="1:15" s="43" customFormat="1" ht="15.75" x14ac:dyDescent="0.2">
      <c r="A12" s="41" t="s">
        <v>378</v>
      </c>
      <c r="B12" s="315"/>
      <c r="C12" s="316"/>
      <c r="D12" s="169"/>
      <c r="E12" s="36"/>
      <c r="F12" s="315"/>
      <c r="G12" s="316"/>
      <c r="H12" s="169"/>
      <c r="I12" s="169"/>
      <c r="J12" s="317"/>
      <c r="K12" s="318"/>
      <c r="L12" s="433"/>
      <c r="M12" s="36"/>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c r="C22" s="319"/>
      <c r="D22" s="354"/>
      <c r="E22" s="11"/>
      <c r="F22" s="321"/>
      <c r="G22" s="321"/>
      <c r="H22" s="354"/>
      <c r="I22" s="11"/>
      <c r="J22" s="319"/>
      <c r="K22" s="319"/>
      <c r="L22" s="431"/>
      <c r="M22" s="24"/>
      <c r="O22" s="148"/>
    </row>
    <row r="23" spans="1:15" ht="15.75" x14ac:dyDescent="0.2">
      <c r="A23" s="619" t="s">
        <v>379</v>
      </c>
      <c r="B23" s="284"/>
      <c r="C23" s="284"/>
      <c r="D23" s="166"/>
      <c r="E23" s="11"/>
      <c r="F23" s="293"/>
      <c r="G23" s="293"/>
      <c r="H23" s="166"/>
      <c r="I23" s="421"/>
      <c r="J23" s="293"/>
      <c r="K23" s="293"/>
      <c r="L23" s="166"/>
      <c r="M23" s="23"/>
      <c r="O23" s="148"/>
    </row>
    <row r="24" spans="1:15" ht="15.75" x14ac:dyDescent="0.2">
      <c r="A24" s="619" t="s">
        <v>380</v>
      </c>
      <c r="B24" s="284"/>
      <c r="C24" s="284"/>
      <c r="D24" s="166"/>
      <c r="E24" s="11"/>
      <c r="F24" s="293"/>
      <c r="G24" s="293"/>
      <c r="H24" s="166"/>
      <c r="I24" s="421"/>
      <c r="J24" s="293"/>
      <c r="K24" s="293"/>
      <c r="L24" s="166"/>
      <c r="M24" s="23"/>
      <c r="O24" s="148"/>
    </row>
    <row r="25" spans="1:15" ht="15.75" x14ac:dyDescent="0.2">
      <c r="A25" s="619" t="s">
        <v>381</v>
      </c>
      <c r="B25" s="284"/>
      <c r="C25" s="284"/>
      <c r="D25" s="166"/>
      <c r="E25" s="11"/>
      <c r="F25" s="293"/>
      <c r="G25" s="293"/>
      <c r="H25" s="166"/>
      <c r="I25" s="421"/>
      <c r="J25" s="293"/>
      <c r="K25" s="293"/>
      <c r="L25" s="166"/>
      <c r="M25" s="23"/>
      <c r="O25" s="148"/>
    </row>
    <row r="26" spans="1:15" ht="15.75" x14ac:dyDescent="0.2">
      <c r="A26" s="619" t="s">
        <v>382</v>
      </c>
      <c r="B26" s="284"/>
      <c r="C26" s="284"/>
      <c r="D26" s="166"/>
      <c r="E26" s="11"/>
      <c r="F26" s="293"/>
      <c r="G26" s="293"/>
      <c r="H26" s="166"/>
      <c r="I26" s="421"/>
      <c r="J26" s="293"/>
      <c r="K26" s="293"/>
      <c r="L26" s="166"/>
      <c r="M26" s="23"/>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c r="C28" s="290"/>
      <c r="D28" s="166"/>
      <c r="E28" s="11"/>
      <c r="F28" s="235"/>
      <c r="G28" s="290"/>
      <c r="H28" s="166"/>
      <c r="I28" s="27"/>
      <c r="J28" s="44"/>
      <c r="K28" s="44"/>
      <c r="L28" s="257"/>
      <c r="M28" s="23"/>
      <c r="O28" s="148"/>
    </row>
    <row r="29" spans="1:15" s="3" customFormat="1" ht="15.75" x14ac:dyDescent="0.2">
      <c r="A29" s="13" t="s">
        <v>376</v>
      </c>
      <c r="B29" s="237"/>
      <c r="C29" s="237"/>
      <c r="D29" s="171"/>
      <c r="E29" s="11"/>
      <c r="F29" s="311"/>
      <c r="G29" s="311"/>
      <c r="H29" s="171"/>
      <c r="I29" s="11"/>
      <c r="J29" s="237"/>
      <c r="K29" s="237"/>
      <c r="L29" s="432"/>
      <c r="M29" s="24"/>
      <c r="N29" s="148"/>
      <c r="O29" s="148"/>
    </row>
    <row r="30" spans="1:15" s="3" customFormat="1" ht="15.75" x14ac:dyDescent="0.2">
      <c r="A30" s="619" t="s">
        <v>379</v>
      </c>
      <c r="B30" s="284"/>
      <c r="C30" s="284"/>
      <c r="D30" s="166"/>
      <c r="E30" s="11"/>
      <c r="F30" s="293"/>
      <c r="G30" s="293"/>
      <c r="H30" s="166"/>
      <c r="I30" s="421"/>
      <c r="J30" s="293"/>
      <c r="K30" s="293"/>
      <c r="L30" s="166"/>
      <c r="M30" s="23"/>
      <c r="N30" s="148"/>
      <c r="O30" s="148"/>
    </row>
    <row r="31" spans="1:15" s="3" customFormat="1" ht="15.75" x14ac:dyDescent="0.2">
      <c r="A31" s="619" t="s">
        <v>380</v>
      </c>
      <c r="B31" s="284"/>
      <c r="C31" s="284"/>
      <c r="D31" s="166"/>
      <c r="E31" s="11"/>
      <c r="F31" s="293"/>
      <c r="G31" s="293"/>
      <c r="H31" s="166"/>
      <c r="I31" s="421"/>
      <c r="J31" s="293"/>
      <c r="K31" s="293"/>
      <c r="L31" s="166"/>
      <c r="M31" s="23"/>
      <c r="N31" s="148"/>
      <c r="O31" s="148"/>
    </row>
    <row r="32" spans="1:15" ht="15.75" x14ac:dyDescent="0.2">
      <c r="A32" s="619" t="s">
        <v>381</v>
      </c>
      <c r="B32" s="284"/>
      <c r="C32" s="284"/>
      <c r="D32" s="166"/>
      <c r="E32" s="11"/>
      <c r="F32" s="293"/>
      <c r="G32" s="293"/>
      <c r="H32" s="166"/>
      <c r="I32" s="421"/>
      <c r="J32" s="293"/>
      <c r="K32" s="293"/>
      <c r="L32" s="166"/>
      <c r="M32" s="23"/>
      <c r="O32" s="148"/>
    </row>
    <row r="33" spans="1:15" ht="15.75" x14ac:dyDescent="0.2">
      <c r="A33" s="619" t="s">
        <v>382</v>
      </c>
      <c r="B33" s="284"/>
      <c r="C33" s="284"/>
      <c r="D33" s="166"/>
      <c r="E33" s="11"/>
      <c r="F33" s="293"/>
      <c r="G33" s="293"/>
      <c r="H33" s="166"/>
      <c r="I33" s="421"/>
      <c r="J33" s="293"/>
      <c r="K33" s="293"/>
      <c r="L33" s="166"/>
      <c r="M33" s="23"/>
      <c r="O33" s="148"/>
    </row>
    <row r="34" spans="1:15" ht="15.75" x14ac:dyDescent="0.2">
      <c r="A34" s="13" t="s">
        <v>377</v>
      </c>
      <c r="B34" s="237"/>
      <c r="C34" s="312"/>
      <c r="D34" s="171"/>
      <c r="E34" s="11"/>
      <c r="F34" s="311"/>
      <c r="G34" s="312"/>
      <c r="H34" s="171"/>
      <c r="I34" s="11"/>
      <c r="J34" s="237"/>
      <c r="K34" s="237"/>
      <c r="L34" s="432"/>
      <c r="M34" s="24"/>
      <c r="O34" s="148"/>
    </row>
    <row r="35" spans="1:15" ht="15.75" x14ac:dyDescent="0.2">
      <c r="A35" s="13" t="s">
        <v>378</v>
      </c>
      <c r="B35" s="237"/>
      <c r="C35" s="312"/>
      <c r="D35" s="171"/>
      <c r="E35" s="11"/>
      <c r="F35" s="311"/>
      <c r="G35" s="312"/>
      <c r="H35" s="171"/>
      <c r="I35" s="11"/>
      <c r="J35" s="237"/>
      <c r="K35" s="237"/>
      <c r="L35" s="432"/>
      <c r="M35" s="24"/>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v>2011</v>
      </c>
      <c r="C47" s="314">
        <v>1079</v>
      </c>
      <c r="D47" s="431">
        <f t="shared" ref="D47:D57" si="0">IF(B47=0, "    ---- ", IF(ABS(ROUND(100/B47*C47-100,1))&lt;999,ROUND(100/B47*C47-100,1),IF(ROUND(100/B47*C47-100,1)&gt;999,999,-999)))</f>
        <v>-46.3</v>
      </c>
      <c r="E47" s="11">
        <f>IFERROR(100/'Skjema total MA'!C47*C47,0)</f>
        <v>2.9242194948700544E-2</v>
      </c>
      <c r="F47" s="145"/>
      <c r="G47" s="33"/>
      <c r="H47" s="159"/>
      <c r="I47" s="159"/>
      <c r="J47" s="37"/>
      <c r="K47" s="37"/>
      <c r="L47" s="159"/>
      <c r="M47" s="159"/>
      <c r="N47" s="148"/>
      <c r="O47" s="148"/>
    </row>
    <row r="48" spans="1:15" s="3" customFormat="1" ht="15.75" x14ac:dyDescent="0.2">
      <c r="A48" s="38" t="s">
        <v>387</v>
      </c>
      <c r="B48" s="284">
        <v>2011</v>
      </c>
      <c r="C48" s="285">
        <v>1079</v>
      </c>
      <c r="D48" s="257">
        <f t="shared" si="0"/>
        <v>-46.3</v>
      </c>
      <c r="E48" s="27">
        <f>IFERROR(100/'Skjema total MA'!C48*C48,0)</f>
        <v>5.1641693133127789E-2</v>
      </c>
      <c r="F48" s="145"/>
      <c r="G48" s="33"/>
      <c r="H48" s="145"/>
      <c r="I48" s="145"/>
      <c r="J48" s="33"/>
      <c r="K48" s="33"/>
      <c r="L48" s="159"/>
      <c r="M48" s="159"/>
      <c r="N48" s="148"/>
      <c r="O48" s="148"/>
    </row>
    <row r="49" spans="1:15" s="3" customFormat="1" ht="15.75" x14ac:dyDescent="0.2">
      <c r="A49" s="38" t="s">
        <v>388</v>
      </c>
      <c r="B49" s="44"/>
      <c r="C49" s="290"/>
      <c r="D49" s="257"/>
      <c r="E49" s="27"/>
      <c r="F49" s="145"/>
      <c r="G49" s="33"/>
      <c r="H49" s="145"/>
      <c r="I49" s="145"/>
      <c r="J49" s="37"/>
      <c r="K49" s="37"/>
      <c r="L49" s="159"/>
      <c r="M49" s="159"/>
      <c r="N49" s="148"/>
      <c r="O49" s="148"/>
    </row>
    <row r="50" spans="1:15" s="3" customFormat="1" x14ac:dyDescent="0.2">
      <c r="A50" s="299" t="s">
        <v>6</v>
      </c>
      <c r="B50" s="293"/>
      <c r="C50" s="294"/>
      <c r="D50" s="257"/>
      <c r="E50" s="23"/>
      <c r="F50" s="145"/>
      <c r="G50" s="33"/>
      <c r="H50" s="145"/>
      <c r="I50" s="145"/>
      <c r="J50" s="33"/>
      <c r="K50" s="33"/>
      <c r="L50" s="159"/>
      <c r="M50" s="159"/>
      <c r="N50" s="148"/>
      <c r="O50" s="148"/>
    </row>
    <row r="51" spans="1:15" s="3" customFormat="1" x14ac:dyDescent="0.2">
      <c r="A51" s="299" t="s">
        <v>7</v>
      </c>
      <c r="B51" s="293"/>
      <c r="C51" s="294"/>
      <c r="D51" s="257"/>
      <c r="E51" s="23"/>
      <c r="F51" s="145"/>
      <c r="G51" s="33"/>
      <c r="H51" s="145"/>
      <c r="I51" s="145"/>
      <c r="J51" s="33"/>
      <c r="K51" s="33"/>
      <c r="L51" s="159"/>
      <c r="M51" s="159"/>
      <c r="N51" s="148"/>
      <c r="O51" s="148"/>
    </row>
    <row r="52" spans="1:15" s="3" customFormat="1" x14ac:dyDescent="0.2">
      <c r="A52" s="299" t="s">
        <v>8</v>
      </c>
      <c r="B52" s="293"/>
      <c r="C52" s="294"/>
      <c r="D52" s="257"/>
      <c r="E52" s="23"/>
      <c r="F52" s="145"/>
      <c r="G52" s="33"/>
      <c r="H52" s="145"/>
      <c r="I52" s="145"/>
      <c r="J52" s="33"/>
      <c r="K52" s="33"/>
      <c r="L52" s="159"/>
      <c r="M52" s="159"/>
      <c r="N52" s="148"/>
      <c r="O52" s="148"/>
    </row>
    <row r="53" spans="1:15" s="3" customFormat="1" ht="15.75" x14ac:dyDescent="0.2">
      <c r="A53" s="39" t="s">
        <v>389</v>
      </c>
      <c r="B53" s="313">
        <v>1</v>
      </c>
      <c r="C53" s="314">
        <v>112</v>
      </c>
      <c r="D53" s="432">
        <f t="shared" si="0"/>
        <v>999</v>
      </c>
      <c r="E53" s="11">
        <f>IFERROR(100/'Skjema total MA'!C53*C53,0)</f>
        <v>0.1146774947341528</v>
      </c>
      <c r="F53" s="145"/>
      <c r="G53" s="33"/>
      <c r="H53" s="145"/>
      <c r="I53" s="145"/>
      <c r="J53" s="33"/>
      <c r="K53" s="33"/>
      <c r="L53" s="159"/>
      <c r="M53" s="159"/>
      <c r="N53" s="148"/>
      <c r="O53" s="148"/>
    </row>
    <row r="54" spans="1:15" s="3" customFormat="1" ht="15.75" x14ac:dyDescent="0.2">
      <c r="A54" s="38" t="s">
        <v>387</v>
      </c>
      <c r="B54" s="284">
        <v>1</v>
      </c>
      <c r="C54" s="285">
        <v>112</v>
      </c>
      <c r="D54" s="257">
        <f t="shared" si="0"/>
        <v>999</v>
      </c>
      <c r="E54" s="27">
        <f>IFERROR(100/'Skjema total MA'!C54*C54,0)</f>
        <v>0.1146774947341528</v>
      </c>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v>1</v>
      </c>
      <c r="C56" s="314">
        <v>43</v>
      </c>
      <c r="D56" s="432">
        <f t="shared" si="0"/>
        <v>999</v>
      </c>
      <c r="E56" s="11">
        <f>IFERROR(100/'Skjema total MA'!C56*C56,0)</f>
        <v>4.0375331333583862E-2</v>
      </c>
      <c r="F56" s="145"/>
      <c r="G56" s="33"/>
      <c r="H56" s="145"/>
      <c r="I56" s="145"/>
      <c r="J56" s="33"/>
      <c r="K56" s="33"/>
      <c r="L56" s="159"/>
      <c r="M56" s="159"/>
      <c r="N56" s="148"/>
      <c r="O56" s="148"/>
    </row>
    <row r="57" spans="1:15" s="3" customFormat="1" ht="15.75" x14ac:dyDescent="0.2">
      <c r="A57" s="38" t="s">
        <v>387</v>
      </c>
      <c r="B57" s="284">
        <v>1</v>
      </c>
      <c r="C57" s="285">
        <v>43</v>
      </c>
      <c r="D57" s="257">
        <f t="shared" si="0"/>
        <v>999</v>
      </c>
      <c r="E57" s="27">
        <f>IFERROR(100/'Skjema total MA'!C57*C57,0)</f>
        <v>4.0376572194470738E-2</v>
      </c>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c r="C66" s="357"/>
      <c r="D66" s="354"/>
      <c r="E66" s="11"/>
      <c r="F66" s="356"/>
      <c r="G66" s="356"/>
      <c r="H66" s="354"/>
      <c r="I66" s="11"/>
      <c r="J66" s="312"/>
      <c r="K66" s="319"/>
      <c r="L66" s="432"/>
      <c r="M66" s="11"/>
      <c r="O66" s="148"/>
    </row>
    <row r="67" spans="1:15" x14ac:dyDescent="0.2">
      <c r="A67" s="423" t="s">
        <v>9</v>
      </c>
      <c r="B67" s="44"/>
      <c r="C67" s="145"/>
      <c r="D67" s="166"/>
      <c r="E67" s="27"/>
      <c r="F67" s="235"/>
      <c r="G67" s="145"/>
      <c r="H67" s="166"/>
      <c r="I67" s="27"/>
      <c r="J67" s="290"/>
      <c r="K67" s="44"/>
      <c r="L67" s="257"/>
      <c r="M67" s="27"/>
      <c r="O67" s="148"/>
    </row>
    <row r="68" spans="1:15" x14ac:dyDescent="0.2">
      <c r="A68" s="21" t="s">
        <v>10</v>
      </c>
      <c r="B68" s="295"/>
      <c r="C68" s="296"/>
      <c r="D68" s="166"/>
      <c r="E68" s="27"/>
      <c r="F68" s="295"/>
      <c r="G68" s="296"/>
      <c r="H68" s="166"/>
      <c r="I68" s="27"/>
      <c r="J68" s="290"/>
      <c r="K68" s="44"/>
      <c r="L68" s="257"/>
      <c r="M68" s="27"/>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c r="C77" s="235"/>
      <c r="D77" s="166"/>
      <c r="E77" s="27"/>
      <c r="F77" s="235"/>
      <c r="G77" s="145"/>
      <c r="H77" s="166"/>
      <c r="I77" s="27"/>
      <c r="J77" s="290"/>
      <c r="K77" s="44"/>
      <c r="L77" s="257"/>
      <c r="M77" s="27"/>
      <c r="O77" s="148"/>
    </row>
    <row r="78" spans="1:15" x14ac:dyDescent="0.2">
      <c r="A78" s="21" t="s">
        <v>9</v>
      </c>
      <c r="B78" s="235"/>
      <c r="C78" s="145"/>
      <c r="D78" s="166"/>
      <c r="E78" s="27"/>
      <c r="F78" s="235"/>
      <c r="G78" s="145"/>
      <c r="H78" s="166"/>
      <c r="I78" s="27"/>
      <c r="J78" s="290"/>
      <c r="K78" s="44"/>
      <c r="L78" s="257"/>
      <c r="M78" s="27"/>
      <c r="O78" s="148"/>
    </row>
    <row r="79" spans="1:15" x14ac:dyDescent="0.2">
      <c r="A79" s="21" t="s">
        <v>10</v>
      </c>
      <c r="B79" s="295"/>
      <c r="C79" s="296"/>
      <c r="D79" s="166"/>
      <c r="E79" s="27"/>
      <c r="F79" s="295"/>
      <c r="G79" s="296"/>
      <c r="H79" s="166"/>
      <c r="I79" s="27"/>
      <c r="J79" s="290"/>
      <c r="K79" s="44"/>
      <c r="L79" s="257"/>
      <c r="M79" s="27"/>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c r="G86" s="145"/>
      <c r="H86" s="166"/>
      <c r="I86" s="27"/>
      <c r="J86" s="290"/>
      <c r="K86" s="44"/>
      <c r="L86" s="257"/>
      <c r="M86" s="27"/>
      <c r="O86" s="148"/>
    </row>
    <row r="87" spans="1:15" ht="15.75" x14ac:dyDescent="0.2">
      <c r="A87" s="13" t="s">
        <v>376</v>
      </c>
      <c r="B87" s="357"/>
      <c r="C87" s="357"/>
      <c r="D87" s="171"/>
      <c r="E87" s="11"/>
      <c r="F87" s="356"/>
      <c r="G87" s="356"/>
      <c r="H87" s="171"/>
      <c r="I87" s="11"/>
      <c r="J87" s="312"/>
      <c r="K87" s="237"/>
      <c r="L87" s="432"/>
      <c r="M87" s="11"/>
      <c r="O87" s="148"/>
    </row>
    <row r="88" spans="1:15" x14ac:dyDescent="0.2">
      <c r="A88" s="21" t="s">
        <v>9</v>
      </c>
      <c r="B88" s="235"/>
      <c r="C88" s="145"/>
      <c r="D88" s="166"/>
      <c r="E88" s="27"/>
      <c r="F88" s="235"/>
      <c r="G88" s="145"/>
      <c r="H88" s="166"/>
      <c r="I88" s="27"/>
      <c r="J88" s="290"/>
      <c r="K88" s="44"/>
      <c r="L88" s="257"/>
      <c r="M88" s="27"/>
      <c r="O88" s="148"/>
    </row>
    <row r="89" spans="1:15" x14ac:dyDescent="0.2">
      <c r="A89" s="21" t="s">
        <v>10</v>
      </c>
      <c r="B89" s="235"/>
      <c r="C89" s="145"/>
      <c r="D89" s="166"/>
      <c r="E89" s="27"/>
      <c r="F89" s="235"/>
      <c r="G89" s="145"/>
      <c r="H89" s="166"/>
      <c r="I89" s="27"/>
      <c r="J89" s="290"/>
      <c r="K89" s="44"/>
      <c r="L89" s="257"/>
      <c r="M89" s="27"/>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c r="C98" s="235"/>
      <c r="D98" s="166"/>
      <c r="E98" s="27"/>
      <c r="F98" s="295"/>
      <c r="G98" s="295"/>
      <c r="H98" s="166"/>
      <c r="I98" s="27"/>
      <c r="J98" s="290"/>
      <c r="K98" s="44"/>
      <c r="L98" s="257"/>
      <c r="M98" s="27"/>
      <c r="O98" s="148"/>
    </row>
    <row r="99" spans="1:15" x14ac:dyDescent="0.2">
      <c r="A99" s="21" t="s">
        <v>9</v>
      </c>
      <c r="B99" s="295"/>
      <c r="C99" s="296"/>
      <c r="D99" s="166"/>
      <c r="E99" s="27"/>
      <c r="F99" s="235"/>
      <c r="G99" s="145"/>
      <c r="H99" s="166"/>
      <c r="I99" s="27"/>
      <c r="J99" s="290"/>
      <c r="K99" s="44"/>
      <c r="L99" s="257"/>
      <c r="M99" s="27"/>
      <c r="O99" s="148"/>
    </row>
    <row r="100" spans="1:15" x14ac:dyDescent="0.2">
      <c r="A100" s="21" t="s">
        <v>10</v>
      </c>
      <c r="B100" s="295"/>
      <c r="C100" s="296"/>
      <c r="D100" s="166"/>
      <c r="E100" s="27"/>
      <c r="F100" s="235"/>
      <c r="G100" s="235"/>
      <c r="H100" s="166"/>
      <c r="I100" s="27"/>
      <c r="J100" s="290"/>
      <c r="K100" s="44"/>
      <c r="L100" s="257"/>
      <c r="M100" s="27"/>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c r="G107" s="145"/>
      <c r="H107" s="166"/>
      <c r="I107" s="27"/>
      <c r="J107" s="290"/>
      <c r="K107" s="44"/>
      <c r="L107" s="257"/>
      <c r="M107" s="27"/>
      <c r="O107" s="148"/>
    </row>
    <row r="108" spans="1:15" ht="15.75" x14ac:dyDescent="0.2">
      <c r="A108" s="21" t="s">
        <v>395</v>
      </c>
      <c r="B108" s="235"/>
      <c r="C108" s="235"/>
      <c r="D108" s="166"/>
      <c r="E108" s="27"/>
      <c r="F108" s="235"/>
      <c r="G108" s="235"/>
      <c r="H108" s="166"/>
      <c r="I108" s="27"/>
      <c r="J108" s="290"/>
      <c r="K108" s="44"/>
      <c r="L108" s="257"/>
      <c r="M108" s="27"/>
      <c r="O108" s="148"/>
    </row>
    <row r="109" spans="1:15" ht="15.75" x14ac:dyDescent="0.2">
      <c r="A109" s="21" t="s">
        <v>396</v>
      </c>
      <c r="B109" s="235"/>
      <c r="C109" s="235"/>
      <c r="D109" s="166"/>
      <c r="E109" s="27"/>
      <c r="F109" s="235"/>
      <c r="G109" s="235"/>
      <c r="H109" s="166"/>
      <c r="I109" s="27"/>
      <c r="J109" s="290"/>
      <c r="K109" s="44"/>
      <c r="L109" s="257"/>
      <c r="M109" s="27"/>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c r="C111" s="159"/>
      <c r="D111" s="171"/>
      <c r="E111" s="11"/>
      <c r="F111" s="311"/>
      <c r="G111" s="159"/>
      <c r="H111" s="171"/>
      <c r="I111" s="11"/>
      <c r="J111" s="312"/>
      <c r="K111" s="237"/>
      <c r="L111" s="432"/>
      <c r="M111" s="11"/>
      <c r="O111" s="148"/>
    </row>
    <row r="112" spans="1:15" x14ac:dyDescent="0.2">
      <c r="A112" s="21" t="s">
        <v>9</v>
      </c>
      <c r="B112" s="235"/>
      <c r="C112" s="145"/>
      <c r="D112" s="166"/>
      <c r="E112" s="27"/>
      <c r="F112" s="235"/>
      <c r="G112" s="145"/>
      <c r="H112" s="166"/>
      <c r="I112" s="27"/>
      <c r="J112" s="290"/>
      <c r="K112" s="44"/>
      <c r="L112" s="257"/>
      <c r="M112" s="27"/>
      <c r="O112" s="148"/>
    </row>
    <row r="113" spans="1:15" x14ac:dyDescent="0.2">
      <c r="A113" s="21" t="s">
        <v>10</v>
      </c>
      <c r="B113" s="235"/>
      <c r="C113" s="145"/>
      <c r="D113" s="166"/>
      <c r="E113" s="27"/>
      <c r="F113" s="235"/>
      <c r="G113" s="145"/>
      <c r="H113" s="166"/>
      <c r="I113" s="27"/>
      <c r="J113" s="290"/>
      <c r="K113" s="44"/>
      <c r="L113" s="257"/>
      <c r="M113" s="27"/>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c r="C116" s="235"/>
      <c r="D116" s="166"/>
      <c r="E116" s="27"/>
      <c r="F116" s="235"/>
      <c r="G116" s="235"/>
      <c r="H116" s="166"/>
      <c r="I116" s="27"/>
      <c r="J116" s="290"/>
      <c r="K116" s="44"/>
      <c r="L116" s="257"/>
      <c r="M116" s="27"/>
      <c r="O116" s="148"/>
    </row>
    <row r="117" spans="1:15" ht="15.75" x14ac:dyDescent="0.2">
      <c r="A117" s="21" t="s">
        <v>399</v>
      </c>
      <c r="B117" s="235"/>
      <c r="C117" s="235"/>
      <c r="D117" s="166"/>
      <c r="E117" s="27"/>
      <c r="F117" s="235"/>
      <c r="G117" s="235"/>
      <c r="H117" s="166"/>
      <c r="I117" s="27"/>
      <c r="J117" s="290"/>
      <c r="K117" s="44"/>
      <c r="L117" s="257"/>
      <c r="M117" s="27"/>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c r="C119" s="159"/>
      <c r="D119" s="171"/>
      <c r="E119" s="11"/>
      <c r="F119" s="311"/>
      <c r="G119" s="159"/>
      <c r="H119" s="171"/>
      <c r="I119" s="11"/>
      <c r="J119" s="312"/>
      <c r="K119" s="237"/>
      <c r="L119" s="432"/>
      <c r="M119" s="11"/>
      <c r="O119" s="148"/>
    </row>
    <row r="120" spans="1:15" x14ac:dyDescent="0.2">
      <c r="A120" s="21" t="s">
        <v>9</v>
      </c>
      <c r="B120" s="235"/>
      <c r="C120" s="145"/>
      <c r="D120" s="166"/>
      <c r="E120" s="27"/>
      <c r="F120" s="235"/>
      <c r="G120" s="145"/>
      <c r="H120" s="166"/>
      <c r="I120" s="27"/>
      <c r="J120" s="290"/>
      <c r="K120" s="44"/>
      <c r="L120" s="257"/>
      <c r="M120" s="27"/>
      <c r="O120" s="148"/>
    </row>
    <row r="121" spans="1:15" x14ac:dyDescent="0.2">
      <c r="A121" s="21" t="s">
        <v>10</v>
      </c>
      <c r="B121" s="235"/>
      <c r="C121" s="145"/>
      <c r="D121" s="166"/>
      <c r="E121" s="27"/>
      <c r="F121" s="235"/>
      <c r="G121" s="145"/>
      <c r="H121" s="166"/>
      <c r="I121" s="27"/>
      <c r="J121" s="290"/>
      <c r="K121" s="44"/>
      <c r="L121" s="257"/>
      <c r="M121" s="27"/>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c r="G125" s="235"/>
      <c r="H125" s="166"/>
      <c r="I125" s="27"/>
      <c r="J125" s="290"/>
      <c r="K125" s="44"/>
      <c r="L125" s="257"/>
      <c r="M125" s="27"/>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752" priority="132">
      <formula>kvartal &lt; 4</formula>
    </cfRule>
  </conditionalFormatting>
  <conditionalFormatting sqref="B69">
    <cfRule type="expression" dxfId="751" priority="100">
      <formula>kvartal &lt; 4</formula>
    </cfRule>
  </conditionalFormatting>
  <conditionalFormatting sqref="C69">
    <cfRule type="expression" dxfId="750" priority="99">
      <formula>kvartal &lt; 4</formula>
    </cfRule>
  </conditionalFormatting>
  <conditionalFormatting sqref="B72">
    <cfRule type="expression" dxfId="749" priority="98">
      <formula>kvartal &lt; 4</formula>
    </cfRule>
  </conditionalFormatting>
  <conditionalFormatting sqref="C72">
    <cfRule type="expression" dxfId="748" priority="97">
      <formula>kvartal &lt; 4</formula>
    </cfRule>
  </conditionalFormatting>
  <conditionalFormatting sqref="B80">
    <cfRule type="expression" dxfId="747" priority="96">
      <formula>kvartal &lt; 4</formula>
    </cfRule>
  </conditionalFormatting>
  <conditionalFormatting sqref="C80">
    <cfRule type="expression" dxfId="746" priority="95">
      <formula>kvartal &lt; 4</formula>
    </cfRule>
  </conditionalFormatting>
  <conditionalFormatting sqref="B83">
    <cfRule type="expression" dxfId="745" priority="94">
      <formula>kvartal &lt; 4</formula>
    </cfRule>
  </conditionalFormatting>
  <conditionalFormatting sqref="C83">
    <cfRule type="expression" dxfId="744" priority="93">
      <formula>kvartal &lt; 4</formula>
    </cfRule>
  </conditionalFormatting>
  <conditionalFormatting sqref="B90">
    <cfRule type="expression" dxfId="743" priority="84">
      <formula>kvartal &lt; 4</formula>
    </cfRule>
  </conditionalFormatting>
  <conditionalFormatting sqref="C90">
    <cfRule type="expression" dxfId="742" priority="83">
      <formula>kvartal &lt; 4</formula>
    </cfRule>
  </conditionalFormatting>
  <conditionalFormatting sqref="B93">
    <cfRule type="expression" dxfId="741" priority="82">
      <formula>kvartal &lt; 4</formula>
    </cfRule>
  </conditionalFormatting>
  <conditionalFormatting sqref="C93">
    <cfRule type="expression" dxfId="740" priority="81">
      <formula>kvartal &lt; 4</formula>
    </cfRule>
  </conditionalFormatting>
  <conditionalFormatting sqref="B101">
    <cfRule type="expression" dxfId="739" priority="80">
      <formula>kvartal &lt; 4</formula>
    </cfRule>
  </conditionalFormatting>
  <conditionalFormatting sqref="C101">
    <cfRule type="expression" dxfId="738" priority="79">
      <formula>kvartal &lt; 4</formula>
    </cfRule>
  </conditionalFormatting>
  <conditionalFormatting sqref="B104">
    <cfRule type="expression" dxfId="737" priority="78">
      <formula>kvartal &lt; 4</formula>
    </cfRule>
  </conditionalFormatting>
  <conditionalFormatting sqref="C104">
    <cfRule type="expression" dxfId="736" priority="77">
      <formula>kvartal &lt; 4</formula>
    </cfRule>
  </conditionalFormatting>
  <conditionalFormatting sqref="B115">
    <cfRule type="expression" dxfId="735" priority="76">
      <formula>kvartal &lt; 4</formula>
    </cfRule>
  </conditionalFormatting>
  <conditionalFormatting sqref="C115">
    <cfRule type="expression" dxfId="734" priority="75">
      <formula>kvartal &lt; 4</formula>
    </cfRule>
  </conditionalFormatting>
  <conditionalFormatting sqref="B123">
    <cfRule type="expression" dxfId="733" priority="74">
      <formula>kvartal &lt; 4</formula>
    </cfRule>
  </conditionalFormatting>
  <conditionalFormatting sqref="C123">
    <cfRule type="expression" dxfId="732" priority="73">
      <formula>kvartal &lt; 4</formula>
    </cfRule>
  </conditionalFormatting>
  <conditionalFormatting sqref="F70">
    <cfRule type="expression" dxfId="731" priority="72">
      <formula>kvartal &lt; 4</formula>
    </cfRule>
  </conditionalFormatting>
  <conditionalFormatting sqref="G70">
    <cfRule type="expression" dxfId="730" priority="71">
      <formula>kvartal &lt; 4</formula>
    </cfRule>
  </conditionalFormatting>
  <conditionalFormatting sqref="F71:G71">
    <cfRule type="expression" dxfId="729" priority="70">
      <formula>kvartal &lt; 4</formula>
    </cfRule>
  </conditionalFormatting>
  <conditionalFormatting sqref="F73:G74">
    <cfRule type="expression" dxfId="728" priority="69">
      <formula>kvartal &lt; 4</formula>
    </cfRule>
  </conditionalFormatting>
  <conditionalFormatting sqref="F81:G82">
    <cfRule type="expression" dxfId="727" priority="68">
      <formula>kvartal &lt; 4</formula>
    </cfRule>
  </conditionalFormatting>
  <conditionalFormatting sqref="F84:G85">
    <cfRule type="expression" dxfId="726" priority="67">
      <formula>kvartal &lt; 4</formula>
    </cfRule>
  </conditionalFormatting>
  <conditionalFormatting sqref="F91:G92">
    <cfRule type="expression" dxfId="725" priority="62">
      <formula>kvartal &lt; 4</formula>
    </cfRule>
  </conditionalFormatting>
  <conditionalFormatting sqref="F94:G95">
    <cfRule type="expression" dxfId="724" priority="61">
      <formula>kvartal &lt; 4</formula>
    </cfRule>
  </conditionalFormatting>
  <conditionalFormatting sqref="F102:G103">
    <cfRule type="expression" dxfId="723" priority="60">
      <formula>kvartal &lt; 4</formula>
    </cfRule>
  </conditionalFormatting>
  <conditionalFormatting sqref="F105:G106">
    <cfRule type="expression" dxfId="722" priority="59">
      <formula>kvartal &lt; 4</formula>
    </cfRule>
  </conditionalFormatting>
  <conditionalFormatting sqref="F115">
    <cfRule type="expression" dxfId="721" priority="58">
      <formula>kvartal &lt; 4</formula>
    </cfRule>
  </conditionalFormatting>
  <conditionalFormatting sqref="G115">
    <cfRule type="expression" dxfId="720" priority="57">
      <formula>kvartal &lt; 4</formula>
    </cfRule>
  </conditionalFormatting>
  <conditionalFormatting sqref="F123:G123">
    <cfRule type="expression" dxfId="719" priority="56">
      <formula>kvartal &lt; 4</formula>
    </cfRule>
  </conditionalFormatting>
  <conditionalFormatting sqref="F69:G69">
    <cfRule type="expression" dxfId="718" priority="55">
      <formula>kvartal &lt; 4</formula>
    </cfRule>
  </conditionalFormatting>
  <conditionalFormatting sqref="F72:G72">
    <cfRule type="expression" dxfId="717" priority="54">
      <formula>kvartal &lt; 4</formula>
    </cfRule>
  </conditionalFormatting>
  <conditionalFormatting sqref="F80:G80">
    <cfRule type="expression" dxfId="716" priority="53">
      <formula>kvartal &lt; 4</formula>
    </cfRule>
  </conditionalFormatting>
  <conditionalFormatting sqref="F83:G83">
    <cfRule type="expression" dxfId="715" priority="52">
      <formula>kvartal &lt; 4</formula>
    </cfRule>
  </conditionalFormatting>
  <conditionalFormatting sqref="F90:G90">
    <cfRule type="expression" dxfId="714" priority="46">
      <formula>kvartal &lt; 4</formula>
    </cfRule>
  </conditionalFormatting>
  <conditionalFormatting sqref="F93">
    <cfRule type="expression" dxfId="713" priority="45">
      <formula>kvartal &lt; 4</formula>
    </cfRule>
  </conditionalFormatting>
  <conditionalFormatting sqref="G93">
    <cfRule type="expression" dxfId="712" priority="44">
      <formula>kvartal &lt; 4</formula>
    </cfRule>
  </conditionalFormatting>
  <conditionalFormatting sqref="F101">
    <cfRule type="expression" dxfId="711" priority="43">
      <formula>kvartal &lt; 4</formula>
    </cfRule>
  </conditionalFormatting>
  <conditionalFormatting sqref="G101">
    <cfRule type="expression" dxfId="710" priority="42">
      <formula>kvartal &lt; 4</formula>
    </cfRule>
  </conditionalFormatting>
  <conditionalFormatting sqref="G104">
    <cfRule type="expression" dxfId="709" priority="41">
      <formula>kvartal &lt; 4</formula>
    </cfRule>
  </conditionalFormatting>
  <conditionalFormatting sqref="F104">
    <cfRule type="expression" dxfId="708" priority="40">
      <formula>kvartal &lt; 4</formula>
    </cfRule>
  </conditionalFormatting>
  <conditionalFormatting sqref="J69:K73">
    <cfRule type="expression" dxfId="707" priority="39">
      <formula>kvartal &lt; 4</formula>
    </cfRule>
  </conditionalFormatting>
  <conditionalFormatting sqref="J74:K74">
    <cfRule type="expression" dxfId="706" priority="38">
      <formula>kvartal &lt; 4</formula>
    </cfRule>
  </conditionalFormatting>
  <conditionalFormatting sqref="J80:K85">
    <cfRule type="expression" dxfId="705" priority="37">
      <formula>kvartal &lt; 4</formula>
    </cfRule>
  </conditionalFormatting>
  <conditionalFormatting sqref="J90:K95">
    <cfRule type="expression" dxfId="704" priority="34">
      <formula>kvartal &lt; 4</formula>
    </cfRule>
  </conditionalFormatting>
  <conditionalFormatting sqref="J101:K106">
    <cfRule type="expression" dxfId="703" priority="33">
      <formula>kvartal &lt; 4</formula>
    </cfRule>
  </conditionalFormatting>
  <conditionalFormatting sqref="J115:K115">
    <cfRule type="expression" dxfId="702" priority="32">
      <formula>kvartal &lt; 4</formula>
    </cfRule>
  </conditionalFormatting>
  <conditionalFormatting sqref="J123:K123">
    <cfRule type="expression" dxfId="701" priority="31">
      <formula>kvartal &lt; 4</formula>
    </cfRule>
  </conditionalFormatting>
  <conditionalFormatting sqref="A50:A52">
    <cfRule type="expression" dxfId="700" priority="12">
      <formula>kvartal &lt; 4</formula>
    </cfRule>
  </conditionalFormatting>
  <conditionalFormatting sqref="A69:A74">
    <cfRule type="expression" dxfId="699" priority="10">
      <formula>kvartal &lt; 4</formula>
    </cfRule>
  </conditionalFormatting>
  <conditionalFormatting sqref="A80:A85">
    <cfRule type="expression" dxfId="698" priority="9">
      <formula>kvartal &lt; 4</formula>
    </cfRule>
  </conditionalFormatting>
  <conditionalFormatting sqref="A90:A95">
    <cfRule type="expression" dxfId="697" priority="6">
      <formula>kvartal &lt; 4</formula>
    </cfRule>
  </conditionalFormatting>
  <conditionalFormatting sqref="A101:A106">
    <cfRule type="expression" dxfId="696" priority="5">
      <formula>kvartal &lt; 4</formula>
    </cfRule>
  </conditionalFormatting>
  <conditionalFormatting sqref="A115">
    <cfRule type="expression" dxfId="695" priority="4">
      <formula>kvartal &lt; 4</formula>
    </cfRule>
  </conditionalFormatting>
  <conditionalFormatting sqref="A123">
    <cfRule type="expression" dxfId="694" priority="3">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O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140</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v>343782.57594198798</v>
      </c>
      <c r="C7" s="310">
        <v>345210.54780631303</v>
      </c>
      <c r="D7" s="354">
        <f>IF(B7=0, "    ---- ", IF(ABS(ROUND(100/B7*C7-100,1))&lt;999,ROUND(100/B7*C7-100,1),IF(ROUND(100/B7*C7-100,1)&gt;999,999,-999)))</f>
        <v>0.4</v>
      </c>
      <c r="E7" s="11">
        <f>IFERROR(100/'Skjema total MA'!C7*C7,0)</f>
        <v>9.8164432020958863</v>
      </c>
      <c r="F7" s="309">
        <v>3821825.6943000001</v>
      </c>
      <c r="G7" s="310">
        <v>3192723.8371100002</v>
      </c>
      <c r="H7" s="354">
        <f>IF(F7=0, "    ---- ", IF(ABS(ROUND(100/F7*G7-100,1))&lt;999,ROUND(100/F7*G7-100,1),IF(ROUND(100/F7*G7-100,1)&gt;999,999,-999)))</f>
        <v>-16.5</v>
      </c>
      <c r="I7" s="160">
        <f>IFERROR(100/'Skjema total MA'!F7*G7,0)</f>
        <v>58.07953021112408</v>
      </c>
      <c r="J7" s="311">
        <f t="shared" ref="J7:K12" si="0">SUM(B7,F7)</f>
        <v>4165608.2702419879</v>
      </c>
      <c r="K7" s="312">
        <f t="shared" si="0"/>
        <v>3537934.384916313</v>
      </c>
      <c r="L7" s="431">
        <f>IF(J7=0, "    ---- ", IF(ABS(ROUND(100/J7*K7-100,1))&lt;999,ROUND(100/J7*K7-100,1),IF(ROUND(100/J7*K7-100,1)&gt;999,999,-999)))</f>
        <v>-15.1</v>
      </c>
      <c r="M7" s="11">
        <f>IFERROR(100/'Skjema total MA'!I7*K7,0)</f>
        <v>39.250134840280708</v>
      </c>
      <c r="O7" s="148"/>
    </row>
    <row r="8" spans="1:15" ht="15.75" x14ac:dyDescent="0.2">
      <c r="A8" s="21" t="s">
        <v>25</v>
      </c>
      <c r="B8" s="284">
        <v>268124.58820337098</v>
      </c>
      <c r="C8" s="285">
        <v>278626.760402716</v>
      </c>
      <c r="D8" s="166">
        <f t="shared" ref="D8:D10" si="1">IF(B8=0, "    ---- ", IF(ABS(ROUND(100/B8*C8-100,1))&lt;999,ROUND(100/B8*C8-100,1),IF(ROUND(100/B8*C8-100,1)&gt;999,999,-999)))</f>
        <v>3.9</v>
      </c>
      <c r="E8" s="27">
        <f>IFERROR(100/'Skjema total MA'!C8*C8,0)</f>
        <v>13.246369017363891</v>
      </c>
      <c r="F8" s="288"/>
      <c r="G8" s="289"/>
      <c r="H8" s="166"/>
      <c r="I8" s="176"/>
      <c r="J8" s="235">
        <f t="shared" si="0"/>
        <v>268124.58820337098</v>
      </c>
      <c r="K8" s="290">
        <f t="shared" si="0"/>
        <v>278626.760402716</v>
      </c>
      <c r="L8" s="640">
        <f t="shared" ref="L8:L9" si="2">IF(J8=0, "    ---- ", IF(ABS(ROUND(100/J8*K8-100,1))&lt;999,ROUND(100/J8*K8-100,1),IF(ROUND(100/J8*K8-100,1)&gt;999,999,-999)))</f>
        <v>3.9</v>
      </c>
      <c r="M8" s="27">
        <f>IFERROR(100/'Skjema total MA'!I8*K8,0)</f>
        <v>13.246369017363891</v>
      </c>
      <c r="O8" s="148"/>
    </row>
    <row r="9" spans="1:15" ht="15.75" x14ac:dyDescent="0.2">
      <c r="A9" s="21" t="s">
        <v>24</v>
      </c>
      <c r="B9" s="284">
        <v>63481.152310123398</v>
      </c>
      <c r="C9" s="285">
        <v>60597.121104330799</v>
      </c>
      <c r="D9" s="166">
        <f t="shared" si="1"/>
        <v>-4.5</v>
      </c>
      <c r="E9" s="27">
        <f>IFERROR(100/'Skjema total MA'!C9*C9,0)</f>
        <v>7.7507750486221791</v>
      </c>
      <c r="F9" s="288"/>
      <c r="G9" s="289"/>
      <c r="H9" s="166"/>
      <c r="I9" s="176"/>
      <c r="J9" s="235">
        <f t="shared" si="0"/>
        <v>63481.152310123398</v>
      </c>
      <c r="K9" s="290">
        <f t="shared" si="0"/>
        <v>60597.121104330799</v>
      </c>
      <c r="L9" s="640">
        <f t="shared" si="2"/>
        <v>-4.5</v>
      </c>
      <c r="M9" s="27">
        <f>IFERROR(100/'Skjema total MA'!I9*K9,0)</f>
        <v>7.7507750486221791</v>
      </c>
      <c r="O9" s="148"/>
    </row>
    <row r="10" spans="1:15" ht="15.75" x14ac:dyDescent="0.2">
      <c r="A10" s="13" t="s">
        <v>376</v>
      </c>
      <c r="B10" s="313">
        <v>778778.981439027</v>
      </c>
      <c r="C10" s="314">
        <v>859622.28906115796</v>
      </c>
      <c r="D10" s="171">
        <f t="shared" si="1"/>
        <v>10.4</v>
      </c>
      <c r="E10" s="11">
        <f>IFERROR(100/'Skjema total MA'!C10*C10,0)</f>
        <v>4.0526277619305127</v>
      </c>
      <c r="F10" s="313">
        <v>21573668.520050101</v>
      </c>
      <c r="G10" s="314">
        <v>24881661.6808246</v>
      </c>
      <c r="H10" s="171">
        <f t="shared" ref="H10:H12" si="3">IF(F10=0, "    ---- ", IF(ABS(ROUND(100/F10*G10-100,1))&lt;999,ROUND(100/F10*G10-100,1),IF(ROUND(100/F10*G10-100,1)&gt;999,999,-999)))</f>
        <v>15.3</v>
      </c>
      <c r="I10" s="160">
        <f>IFERROR(100/'Skjema total MA'!F10*G10,0)</f>
        <v>55.780088530956014</v>
      </c>
      <c r="J10" s="311">
        <f t="shared" si="0"/>
        <v>22352447.501489129</v>
      </c>
      <c r="K10" s="312">
        <f t="shared" si="0"/>
        <v>25741283.969885759</v>
      </c>
      <c r="L10" s="432">
        <f t="shared" ref="L10:L12" si="4">IF(J10=0, "    ---- ", IF(ABS(ROUND(100/J10*K10-100,1))&lt;999,ROUND(100/J10*K10-100,1),IF(ROUND(100/J10*K10-100,1)&gt;999,999,-999)))</f>
        <v>15.2</v>
      </c>
      <c r="M10" s="11">
        <f>IFERROR(100/'Skjema total MA'!I10*K10,0)</f>
        <v>39.10968197726487</v>
      </c>
      <c r="O10" s="148"/>
    </row>
    <row r="11" spans="1:15" s="43" customFormat="1" ht="15.75" x14ac:dyDescent="0.2">
      <c r="A11" s="13" t="s">
        <v>377</v>
      </c>
      <c r="B11" s="313"/>
      <c r="C11" s="314"/>
      <c r="D11" s="171"/>
      <c r="E11" s="11"/>
      <c r="F11" s="313">
        <v>81520.573950000005</v>
      </c>
      <c r="G11" s="314">
        <v>96827.756800000003</v>
      </c>
      <c r="H11" s="171">
        <f t="shared" si="3"/>
        <v>18.8</v>
      </c>
      <c r="I11" s="160">
        <f>IFERROR(100/'Skjema total MA'!F11*G11,0)</f>
        <v>47.14882625312201</v>
      </c>
      <c r="J11" s="311">
        <f t="shared" si="0"/>
        <v>81520.573950000005</v>
      </c>
      <c r="K11" s="312">
        <f t="shared" si="0"/>
        <v>96827.756800000003</v>
      </c>
      <c r="L11" s="432">
        <f t="shared" si="4"/>
        <v>18.8</v>
      </c>
      <c r="M11" s="11">
        <f>IFERROR(100/'Skjema total MA'!I11*K11,0)</f>
        <v>42.485605199930028</v>
      </c>
      <c r="N11" s="143"/>
      <c r="O11" s="148"/>
    </row>
    <row r="12" spans="1:15" s="43" customFormat="1" ht="15.75" x14ac:dyDescent="0.2">
      <c r="A12" s="41" t="s">
        <v>378</v>
      </c>
      <c r="B12" s="315"/>
      <c r="C12" s="316"/>
      <c r="D12" s="169"/>
      <c r="E12" s="36"/>
      <c r="F12" s="315">
        <v>30027.784979999898</v>
      </c>
      <c r="G12" s="316">
        <v>72813.567689999996</v>
      </c>
      <c r="H12" s="169">
        <f t="shared" si="3"/>
        <v>142.5</v>
      </c>
      <c r="I12" s="169">
        <f>IFERROR(100/'Skjema total MA'!F12*G12,0)</f>
        <v>42.016198132358184</v>
      </c>
      <c r="J12" s="317">
        <f t="shared" si="0"/>
        <v>30027.784979999898</v>
      </c>
      <c r="K12" s="318">
        <f t="shared" si="0"/>
        <v>72813.567689999996</v>
      </c>
      <c r="L12" s="433">
        <f t="shared" si="4"/>
        <v>142.5</v>
      </c>
      <c r="M12" s="36">
        <f>IFERROR(100/'Skjema total MA'!I12*K12,0)</f>
        <v>41.997053353564603</v>
      </c>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v>105263.539358514</v>
      </c>
      <c r="C22" s="319">
        <v>106112.52559675901</v>
      </c>
      <c r="D22" s="354">
        <f t="shared" ref="D22:D34" si="5">IF(B22=0, "    ---- ", IF(ABS(ROUND(100/B22*C22-100,1))&lt;999,ROUND(100/B22*C22-100,1),IF(ROUND(100/B22*C22-100,1)&gt;999,999,-999)))</f>
        <v>0.8</v>
      </c>
      <c r="E22" s="11">
        <f>IFERROR(100/'Skjema total MA'!C22*C22,0)</f>
        <v>8.8382931060128307</v>
      </c>
      <c r="F22" s="321">
        <v>112614.61185</v>
      </c>
      <c r="G22" s="321">
        <v>197463.18742</v>
      </c>
      <c r="H22" s="354">
        <f t="shared" ref="H22:H35" si="6">IF(F22=0, "    ---- ", IF(ABS(ROUND(100/F22*G22-100,1))&lt;999,ROUND(100/F22*G22-100,1),IF(ROUND(100/F22*G22-100,1)&gt;999,999,-999)))</f>
        <v>75.3</v>
      </c>
      <c r="I22" s="11">
        <f>IFERROR(100/'Skjema total MA'!F22*G22,0)</f>
        <v>25.592544356285924</v>
      </c>
      <c r="J22" s="319">
        <f t="shared" ref="J22:K35" si="7">SUM(B22,F22)</f>
        <v>217878.151208514</v>
      </c>
      <c r="K22" s="319">
        <f t="shared" si="7"/>
        <v>303575.71301675902</v>
      </c>
      <c r="L22" s="431">
        <f t="shared" ref="L22:L35" si="8">IF(J22=0, "    ---- ", IF(ABS(ROUND(100/J22*K22-100,1))&lt;999,ROUND(100/J22*K22-100,1),IF(ROUND(100/J22*K22-100,1)&gt;999,999,-999)))</f>
        <v>39.299999999999997</v>
      </c>
      <c r="M22" s="24">
        <f>IFERROR(100/'Skjema total MA'!I22*K22,0)</f>
        <v>15.393017658569169</v>
      </c>
      <c r="O22" s="148"/>
    </row>
    <row r="23" spans="1:15" ht="15.75" x14ac:dyDescent="0.2">
      <c r="A23" s="619" t="s">
        <v>379</v>
      </c>
      <c r="B23" s="284"/>
      <c r="C23" s="284">
        <v>105783.687596759</v>
      </c>
      <c r="D23" s="166" t="str">
        <f t="shared" si="5"/>
        <v xml:space="preserve">    ---- </v>
      </c>
      <c r="E23" s="11">
        <f>IFERROR(100/'Skjema total MA'!C23*C23,0)</f>
        <v>12.101827820172245</v>
      </c>
      <c r="F23" s="293"/>
      <c r="G23" s="293">
        <v>3502.0169999999998</v>
      </c>
      <c r="H23" s="166" t="str">
        <f t="shared" si="6"/>
        <v xml:space="preserve">    ---- </v>
      </c>
      <c r="I23" s="421">
        <f>IFERROR(100/'Skjema total MA'!F23*G23,0)</f>
        <v>2.7628848669039434</v>
      </c>
      <c r="J23" s="293"/>
      <c r="K23" s="293">
        <f t="shared" ref="K23:K26" si="9">SUM(C23,G23)</f>
        <v>109285.70459675899</v>
      </c>
      <c r="L23" s="257" t="str">
        <f t="shared" si="8"/>
        <v xml:space="preserve">    ---- </v>
      </c>
      <c r="M23" s="23">
        <f>IFERROR(100/'Skjema total MA'!I23*K23,0)</f>
        <v>10.919120003309182</v>
      </c>
      <c r="O23" s="148"/>
    </row>
    <row r="24" spans="1:15" ht="15.75" x14ac:dyDescent="0.2">
      <c r="A24" s="619" t="s">
        <v>380</v>
      </c>
      <c r="B24" s="284"/>
      <c r="C24" s="284">
        <v>328.78800000000001</v>
      </c>
      <c r="D24" s="166" t="str">
        <f t="shared" si="5"/>
        <v xml:space="preserve">    ---- </v>
      </c>
      <c r="E24" s="11">
        <f>IFERROR(100/'Skjema total MA'!C24*C24,0)</f>
        <v>3.1024275582339729</v>
      </c>
      <c r="F24" s="293"/>
      <c r="G24" s="293"/>
      <c r="H24" s="166"/>
      <c r="I24" s="421"/>
      <c r="J24" s="293"/>
      <c r="K24" s="293">
        <f t="shared" si="9"/>
        <v>328.78800000000001</v>
      </c>
      <c r="L24" s="257" t="str">
        <f t="shared" si="8"/>
        <v xml:space="preserve">    ---- </v>
      </c>
      <c r="M24" s="23">
        <f>IFERROR(100/'Skjema total MA'!I24*K24,0)</f>
        <v>3.0951074772305955</v>
      </c>
      <c r="O24" s="148"/>
    </row>
    <row r="25" spans="1:15" ht="15.75" x14ac:dyDescent="0.2">
      <c r="A25" s="619" t="s">
        <v>381</v>
      </c>
      <c r="B25" s="284"/>
      <c r="C25" s="284"/>
      <c r="D25" s="166"/>
      <c r="E25" s="11"/>
      <c r="F25" s="293"/>
      <c r="G25" s="293">
        <v>57121.413180000003</v>
      </c>
      <c r="H25" s="166" t="str">
        <f t="shared" si="6"/>
        <v xml:space="preserve">    ---- </v>
      </c>
      <c r="I25" s="421">
        <f>IFERROR(100/'Skjema total MA'!F25*G25,0)</f>
        <v>61.678649185948373</v>
      </c>
      <c r="J25" s="293"/>
      <c r="K25" s="293">
        <f t="shared" si="9"/>
        <v>57121.413180000003</v>
      </c>
      <c r="L25" s="257" t="str">
        <f t="shared" si="8"/>
        <v xml:space="preserve">    ---- </v>
      </c>
      <c r="M25" s="23">
        <f>IFERROR(100/'Skjema total MA'!I25*K25,0)</f>
        <v>48.716242398808404</v>
      </c>
      <c r="O25" s="148"/>
    </row>
    <row r="26" spans="1:15" ht="15.75" x14ac:dyDescent="0.2">
      <c r="A26" s="619" t="s">
        <v>382</v>
      </c>
      <c r="B26" s="284"/>
      <c r="C26" s="284"/>
      <c r="D26" s="166"/>
      <c r="E26" s="11"/>
      <c r="F26" s="293"/>
      <c r="G26" s="293">
        <v>136839.75724000001</v>
      </c>
      <c r="H26" s="166" t="str">
        <f t="shared" si="6"/>
        <v xml:space="preserve">    ---- </v>
      </c>
      <c r="I26" s="421">
        <f>IFERROR(100/'Skjema total MA'!F26*G26,0)</f>
        <v>24.781874339339179</v>
      </c>
      <c r="J26" s="293"/>
      <c r="K26" s="293">
        <f t="shared" si="9"/>
        <v>136839.75724000001</v>
      </c>
      <c r="L26" s="257" t="str">
        <f t="shared" si="8"/>
        <v xml:space="preserve">    ---- </v>
      </c>
      <c r="M26" s="23">
        <f>IFERROR(100/'Skjema total MA'!I26*K26,0)</f>
        <v>24.781874339339179</v>
      </c>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v>107170.113278153</v>
      </c>
      <c r="C28" s="290">
        <v>109378.458000435</v>
      </c>
      <c r="D28" s="166">
        <f t="shared" si="5"/>
        <v>2.1</v>
      </c>
      <c r="E28" s="11">
        <f>IFERROR(100/'Skjema total MA'!C28*C28,0)</f>
        <v>7.6475789240256864</v>
      </c>
      <c r="F28" s="235"/>
      <c r="G28" s="290"/>
      <c r="H28" s="166"/>
      <c r="I28" s="27"/>
      <c r="J28" s="44">
        <f t="shared" si="7"/>
        <v>107170.113278153</v>
      </c>
      <c r="K28" s="44">
        <f t="shared" si="7"/>
        <v>109378.458000435</v>
      </c>
      <c r="L28" s="257">
        <f t="shared" si="8"/>
        <v>2.1</v>
      </c>
      <c r="M28" s="23">
        <f>IFERROR(100/'Skjema total MA'!I28*K28,0)</f>
        <v>7.6475789240256864</v>
      </c>
      <c r="O28" s="148"/>
    </row>
    <row r="29" spans="1:15" s="3" customFormat="1" ht="15.75" x14ac:dyDescent="0.2">
      <c r="A29" s="13" t="s">
        <v>376</v>
      </c>
      <c r="B29" s="237">
        <v>4076691.16433807</v>
      </c>
      <c r="C29" s="237">
        <v>3935168.7230000002</v>
      </c>
      <c r="D29" s="171">
        <f t="shared" si="5"/>
        <v>-3.5</v>
      </c>
      <c r="E29" s="11">
        <f>IFERROR(100/'Skjema total MA'!C29*C29,0)</f>
        <v>8.1664243431611734</v>
      </c>
      <c r="F29" s="311">
        <v>3450360.84</v>
      </c>
      <c r="G29" s="311">
        <v>3522129.35</v>
      </c>
      <c r="H29" s="171">
        <f t="shared" si="6"/>
        <v>2.1</v>
      </c>
      <c r="I29" s="11">
        <f>IFERROR(100/'Skjema total MA'!F29*G29,0)</f>
        <v>17.098173154650461</v>
      </c>
      <c r="J29" s="237">
        <f t="shared" si="7"/>
        <v>7527052.0043380698</v>
      </c>
      <c r="K29" s="237">
        <f t="shared" si="7"/>
        <v>7457298.0730000008</v>
      </c>
      <c r="L29" s="432">
        <f t="shared" si="8"/>
        <v>-0.9</v>
      </c>
      <c r="M29" s="24">
        <f>IFERROR(100/'Skjema total MA'!I29*K29,0)</f>
        <v>10.841204768726708</v>
      </c>
      <c r="N29" s="148"/>
      <c r="O29" s="148"/>
    </row>
    <row r="30" spans="1:15" s="3" customFormat="1" ht="15.75" x14ac:dyDescent="0.2">
      <c r="A30" s="619" t="s">
        <v>379</v>
      </c>
      <c r="B30" s="284"/>
      <c r="C30" s="284">
        <v>830285.21769895998</v>
      </c>
      <c r="D30" s="166" t="str">
        <f t="shared" si="5"/>
        <v xml:space="preserve">    ---- </v>
      </c>
      <c r="E30" s="11">
        <f>IFERROR(100/'Skjema total MA'!C30*C30,0)</f>
        <v>6.282443852157547</v>
      </c>
      <c r="F30" s="293"/>
      <c r="G30" s="293">
        <v>479157.26299999998</v>
      </c>
      <c r="H30" s="166" t="str">
        <f t="shared" si="6"/>
        <v xml:space="preserve">    ---- </v>
      </c>
      <c r="I30" s="421">
        <f>IFERROR(100/'Skjema total MA'!F30*G30,0)</f>
        <v>10.866729694691353</v>
      </c>
      <c r="J30" s="293"/>
      <c r="K30" s="293">
        <f t="shared" ref="K30:K33" si="10">SUM(C30,G30)</f>
        <v>1309442.4806989599</v>
      </c>
      <c r="L30" s="257" t="str">
        <f t="shared" si="8"/>
        <v xml:space="preserve">    ---- </v>
      </c>
      <c r="M30" s="23">
        <f>IFERROR(100/'Skjema total MA'!I30*K30,0)</f>
        <v>7.429310689743069</v>
      </c>
      <c r="N30" s="148"/>
      <c r="O30" s="148"/>
    </row>
    <row r="31" spans="1:15" s="3" customFormat="1" ht="15.75" x14ac:dyDescent="0.2">
      <c r="A31" s="619" t="s">
        <v>380</v>
      </c>
      <c r="B31" s="284"/>
      <c r="C31" s="284">
        <v>2811028.8303010399</v>
      </c>
      <c r="D31" s="166" t="str">
        <f t="shared" si="5"/>
        <v xml:space="preserve">    ---- </v>
      </c>
      <c r="E31" s="11">
        <f>IFERROR(100/'Skjema total MA'!C31*C31,0)</f>
        <v>9.0663894430970924</v>
      </c>
      <c r="F31" s="293"/>
      <c r="G31" s="293">
        <v>767791.00699999998</v>
      </c>
      <c r="H31" s="166" t="str">
        <f t="shared" si="6"/>
        <v xml:space="preserve">    ---- </v>
      </c>
      <c r="I31" s="421">
        <f>IFERROR(100/'Skjema total MA'!F31*G31,0)</f>
        <v>7.3505866024138289</v>
      </c>
      <c r="J31" s="293"/>
      <c r="K31" s="293">
        <f t="shared" si="10"/>
        <v>3578819.8373010401</v>
      </c>
      <c r="L31" s="257" t="str">
        <f t="shared" si="8"/>
        <v xml:space="preserve">    ---- </v>
      </c>
      <c r="M31" s="23">
        <f>IFERROR(100/'Skjema total MA'!I31*K31,0)</f>
        <v>8.6340137181235139</v>
      </c>
      <c r="N31" s="148"/>
      <c r="O31" s="148"/>
    </row>
    <row r="32" spans="1:15" ht="15.75" x14ac:dyDescent="0.2">
      <c r="A32" s="619" t="s">
        <v>381</v>
      </c>
      <c r="B32" s="284"/>
      <c r="C32" s="284">
        <v>293854.67499999999</v>
      </c>
      <c r="D32" s="166" t="str">
        <f t="shared" si="5"/>
        <v xml:space="preserve">    ---- </v>
      </c>
      <c r="E32" s="11">
        <f>IFERROR(100/'Skjema total MA'!C32*C32,0)</f>
        <v>12.539441565057006</v>
      </c>
      <c r="F32" s="293"/>
      <c r="G32" s="293">
        <v>1946767.19</v>
      </c>
      <c r="H32" s="166" t="str">
        <f t="shared" si="6"/>
        <v xml:space="preserve">    ---- </v>
      </c>
      <c r="I32" s="421">
        <f>IFERROR(100/'Skjema total MA'!F32*G32,0)</f>
        <v>45.292768652718081</v>
      </c>
      <c r="J32" s="293"/>
      <c r="K32" s="293">
        <f t="shared" si="10"/>
        <v>2240621.8649999998</v>
      </c>
      <c r="L32" s="257" t="str">
        <f t="shared" si="8"/>
        <v xml:space="preserve">    ---- </v>
      </c>
      <c r="M32" s="23">
        <f>IFERROR(100/'Skjema total MA'!I32*K32,0)</f>
        <v>33.736031127831971</v>
      </c>
      <c r="O32" s="148"/>
    </row>
    <row r="33" spans="1:15" ht="15.75" x14ac:dyDescent="0.2">
      <c r="A33" s="619" t="s">
        <v>382</v>
      </c>
      <c r="B33" s="284"/>
      <c r="C33" s="284"/>
      <c r="D33" s="166"/>
      <c r="E33" s="11"/>
      <c r="F33" s="293"/>
      <c r="G33" s="293">
        <v>328413.89</v>
      </c>
      <c r="H33" s="166" t="str">
        <f t="shared" si="6"/>
        <v xml:space="preserve">    ---- </v>
      </c>
      <c r="I33" s="421">
        <f>IFERROR(100/'Skjema total MA'!F34*G33,0)</f>
        <v>653.8893248285251</v>
      </c>
      <c r="J33" s="293"/>
      <c r="K33" s="293">
        <f t="shared" si="10"/>
        <v>328413.89</v>
      </c>
      <c r="L33" s="257" t="str">
        <f t="shared" si="8"/>
        <v xml:space="preserve">    ---- </v>
      </c>
      <c r="M33" s="23">
        <f>IFERROR(100/'Skjema total MA'!I34*K33,0)</f>
        <v>459.71128572016761</v>
      </c>
      <c r="O33" s="148"/>
    </row>
    <row r="34" spans="1:15" ht="15.75" x14ac:dyDescent="0.2">
      <c r="A34" s="13" t="s">
        <v>377</v>
      </c>
      <c r="B34" s="237">
        <v>2407.97694</v>
      </c>
      <c r="C34" s="312">
        <v>1506.04241</v>
      </c>
      <c r="D34" s="171">
        <f t="shared" si="5"/>
        <v>-37.5</v>
      </c>
      <c r="E34" s="11">
        <f>IFERROR(100/'Skjema total MA'!C34*C34,0)</f>
        <v>7.0991276704169355</v>
      </c>
      <c r="F34" s="311">
        <v>12708.0178</v>
      </c>
      <c r="G34" s="312">
        <v>3696.1748200000002</v>
      </c>
      <c r="H34" s="171">
        <f t="shared" si="6"/>
        <v>-70.900000000000006</v>
      </c>
      <c r="I34" s="11">
        <f>IFERROR(100/'Skjema total MA'!F34*G34,0)</f>
        <v>7.3592784321576517</v>
      </c>
      <c r="J34" s="237">
        <f t="shared" si="7"/>
        <v>15115.99474</v>
      </c>
      <c r="K34" s="237">
        <f t="shared" si="7"/>
        <v>5202.2172300000002</v>
      </c>
      <c r="L34" s="432">
        <f t="shared" si="8"/>
        <v>-65.599999999999994</v>
      </c>
      <c r="M34" s="24">
        <f>IFERROR(100/'Skjema total MA'!I34*K34,0)</f>
        <v>7.2820244338596911</v>
      </c>
      <c r="O34" s="148"/>
    </row>
    <row r="35" spans="1:15" ht="15.75" x14ac:dyDescent="0.2">
      <c r="A35" s="13" t="s">
        <v>378</v>
      </c>
      <c r="B35" s="237"/>
      <c r="C35" s="312"/>
      <c r="D35" s="171"/>
      <c r="E35" s="11"/>
      <c r="F35" s="311">
        <v>11778.678099999999</v>
      </c>
      <c r="G35" s="312">
        <v>15987.272629999999</v>
      </c>
      <c r="H35" s="171">
        <f t="shared" si="6"/>
        <v>35.700000000000003</v>
      </c>
      <c r="I35" s="11">
        <f>IFERROR(100/'Skjema total MA'!F35*G35,0)</f>
        <v>20.11422660783359</v>
      </c>
      <c r="J35" s="237">
        <f t="shared" si="7"/>
        <v>11778.678099999999</v>
      </c>
      <c r="K35" s="237">
        <f t="shared" si="7"/>
        <v>15987.272629999999</v>
      </c>
      <c r="L35" s="432">
        <f t="shared" si="8"/>
        <v>35.700000000000003</v>
      </c>
      <c r="M35" s="24">
        <f>IFERROR(100/'Skjema total MA'!I35*K35,0)</f>
        <v>28.957417234599941</v>
      </c>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c r="C47" s="314"/>
      <c r="D47" s="431"/>
      <c r="E47" s="11"/>
      <c r="F47" s="145"/>
      <c r="G47" s="33"/>
      <c r="H47" s="159"/>
      <c r="I47" s="159"/>
      <c r="J47" s="37"/>
      <c r="K47" s="37"/>
      <c r="L47" s="159"/>
      <c r="M47" s="159"/>
      <c r="N47" s="148"/>
      <c r="O47" s="148"/>
    </row>
    <row r="48" spans="1:15" s="3" customFormat="1" ht="15.75" x14ac:dyDescent="0.2">
      <c r="A48" s="38" t="s">
        <v>387</v>
      </c>
      <c r="B48" s="284"/>
      <c r="C48" s="285"/>
      <c r="D48" s="257"/>
      <c r="E48" s="27"/>
      <c r="F48" s="145"/>
      <c r="G48" s="33"/>
      <c r="H48" s="145"/>
      <c r="I48" s="145"/>
      <c r="J48" s="33"/>
      <c r="K48" s="33"/>
      <c r="L48" s="159"/>
      <c r="M48" s="159"/>
      <c r="N48" s="148"/>
      <c r="O48" s="148"/>
    </row>
    <row r="49" spans="1:15" s="3" customFormat="1" ht="15.75" x14ac:dyDescent="0.2">
      <c r="A49" s="38" t="s">
        <v>388</v>
      </c>
      <c r="B49" s="44"/>
      <c r="C49" s="290"/>
      <c r="D49" s="257"/>
      <c r="E49" s="27"/>
      <c r="F49" s="145"/>
      <c r="G49" s="33"/>
      <c r="H49" s="145"/>
      <c r="I49" s="145"/>
      <c r="J49" s="37"/>
      <c r="K49" s="37"/>
      <c r="L49" s="159"/>
      <c r="M49" s="159"/>
      <c r="N49" s="148"/>
      <c r="O49" s="148"/>
    </row>
    <row r="50" spans="1:15" s="3" customFormat="1" x14ac:dyDescent="0.2">
      <c r="A50" s="299" t="s">
        <v>6</v>
      </c>
      <c r="B50" s="293"/>
      <c r="C50" s="294"/>
      <c r="D50" s="257"/>
      <c r="E50" s="23"/>
      <c r="F50" s="145"/>
      <c r="G50" s="33"/>
      <c r="H50" s="145"/>
      <c r="I50" s="145"/>
      <c r="J50" s="33"/>
      <c r="K50" s="33"/>
      <c r="L50" s="159"/>
      <c r="M50" s="159"/>
      <c r="N50" s="148"/>
      <c r="O50" s="148"/>
    </row>
    <row r="51" spans="1:15" s="3" customFormat="1" x14ac:dyDescent="0.2">
      <c r="A51" s="299" t="s">
        <v>7</v>
      </c>
      <c r="B51" s="293"/>
      <c r="C51" s="294"/>
      <c r="D51" s="257"/>
      <c r="E51" s="23"/>
      <c r="F51" s="145"/>
      <c r="G51" s="33"/>
      <c r="H51" s="145"/>
      <c r="I51" s="145"/>
      <c r="J51" s="33"/>
      <c r="K51" s="33"/>
      <c r="L51" s="159"/>
      <c r="M51" s="159"/>
      <c r="N51" s="148"/>
      <c r="O51" s="148"/>
    </row>
    <row r="52" spans="1:15" s="3" customFormat="1" x14ac:dyDescent="0.2">
      <c r="A52" s="299" t="s">
        <v>8</v>
      </c>
      <c r="B52" s="293"/>
      <c r="C52" s="294"/>
      <c r="D52" s="257"/>
      <c r="E52" s="23"/>
      <c r="F52" s="145"/>
      <c r="G52" s="33"/>
      <c r="H52" s="145"/>
      <c r="I52" s="145"/>
      <c r="J52" s="33"/>
      <c r="K52" s="33"/>
      <c r="L52" s="159"/>
      <c r="M52" s="159"/>
      <c r="N52" s="148"/>
      <c r="O52" s="148"/>
    </row>
    <row r="53" spans="1:15" s="3" customFormat="1" ht="15.75" x14ac:dyDescent="0.2">
      <c r="A53" s="39" t="s">
        <v>389</v>
      </c>
      <c r="B53" s="313"/>
      <c r="C53" s="314"/>
      <c r="D53" s="432"/>
      <c r="E53" s="11"/>
      <c r="F53" s="145"/>
      <c r="G53" s="33"/>
      <c r="H53" s="145"/>
      <c r="I53" s="145"/>
      <c r="J53" s="33"/>
      <c r="K53" s="33"/>
      <c r="L53" s="159"/>
      <c r="M53" s="159"/>
      <c r="N53" s="148"/>
      <c r="O53" s="148"/>
    </row>
    <row r="54" spans="1:15" s="3" customFormat="1" ht="15.75" x14ac:dyDescent="0.2">
      <c r="A54" s="38" t="s">
        <v>387</v>
      </c>
      <c r="B54" s="284"/>
      <c r="C54" s="285"/>
      <c r="D54" s="257"/>
      <c r="E54" s="27"/>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c r="C56" s="314"/>
      <c r="D56" s="432"/>
      <c r="E56" s="11"/>
      <c r="F56" s="145"/>
      <c r="G56" s="33"/>
      <c r="H56" s="145"/>
      <c r="I56" s="145"/>
      <c r="J56" s="33"/>
      <c r="K56" s="33"/>
      <c r="L56" s="159"/>
      <c r="M56" s="159"/>
      <c r="N56" s="148"/>
      <c r="O56" s="148"/>
    </row>
    <row r="57" spans="1:15" s="3" customFormat="1" ht="15.75" x14ac:dyDescent="0.2">
      <c r="A57" s="38" t="s">
        <v>387</v>
      </c>
      <c r="B57" s="284"/>
      <c r="C57" s="285"/>
      <c r="D57" s="257"/>
      <c r="E57" s="27"/>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v>943821</v>
      </c>
      <c r="C66" s="357">
        <v>772504</v>
      </c>
      <c r="D66" s="354">
        <f t="shared" ref="D66:D111" si="11">IF(B66=0, "    ---- ", IF(ABS(ROUND(100/B66*C66-100,1))&lt;999,ROUND(100/B66*C66-100,1),IF(ROUND(100/B66*C66-100,1)&gt;999,999,-999)))</f>
        <v>-18.2</v>
      </c>
      <c r="E66" s="11">
        <f>IFERROR(100/'Skjema total MA'!C66*C66,0)</f>
        <v>10.734663724572597</v>
      </c>
      <c r="F66" s="356">
        <v>2658383.3689999999</v>
      </c>
      <c r="G66" s="356">
        <v>2736191.9870000002</v>
      </c>
      <c r="H66" s="354">
        <f t="shared" ref="H66:H111" si="12">IF(F66=0, "    ---- ", IF(ABS(ROUND(100/F66*G66-100,1))&lt;999,ROUND(100/F66*G66-100,1),IF(ROUND(100/F66*G66-100,1)&gt;999,999,-999)))</f>
        <v>2.9</v>
      </c>
      <c r="I66" s="11">
        <f>IFERROR(100/'Skjema total MA'!F66*G66,0)</f>
        <v>12.736717138261715</v>
      </c>
      <c r="J66" s="312">
        <f t="shared" ref="J66:K86" si="13">SUM(B66,F66)</f>
        <v>3602204.3689999999</v>
      </c>
      <c r="K66" s="319">
        <f t="shared" si="13"/>
        <v>3508695.9870000002</v>
      </c>
      <c r="L66" s="432">
        <f t="shared" ref="L66:L111" si="14">IF(J66=0, "    ---- ", IF(ABS(ROUND(100/J66*K66-100,1))&lt;999,ROUND(100/J66*K66-100,1),IF(ROUND(100/J66*K66-100,1)&gt;999,999,-999)))</f>
        <v>-2.6</v>
      </c>
      <c r="M66" s="11">
        <f>IFERROR(100/'Skjema total MA'!I66*K66,0)</f>
        <v>12.234347899595882</v>
      </c>
      <c r="O66" s="148"/>
    </row>
    <row r="67" spans="1:15" x14ac:dyDescent="0.2">
      <c r="A67" s="423" t="s">
        <v>9</v>
      </c>
      <c r="B67" s="44">
        <v>739922.35100000002</v>
      </c>
      <c r="C67" s="145">
        <v>585700.44700000004</v>
      </c>
      <c r="D67" s="166">
        <f t="shared" si="11"/>
        <v>-20.8</v>
      </c>
      <c r="E67" s="27">
        <f>IFERROR(100/'Skjema total MA'!C67*C67,0)</f>
        <v>10.098195922161512</v>
      </c>
      <c r="F67" s="235"/>
      <c r="G67" s="145"/>
      <c r="H67" s="166"/>
      <c r="I67" s="27"/>
      <c r="J67" s="290">
        <f t="shared" si="13"/>
        <v>739922.35100000002</v>
      </c>
      <c r="K67" s="44">
        <f t="shared" si="13"/>
        <v>585700.44700000004</v>
      </c>
      <c r="L67" s="257">
        <f t="shared" si="14"/>
        <v>-20.8</v>
      </c>
      <c r="M67" s="27">
        <f>IFERROR(100/'Skjema total MA'!I67*K67,0)</f>
        <v>10.098195922161512</v>
      </c>
      <c r="O67" s="148"/>
    </row>
    <row r="68" spans="1:15" x14ac:dyDescent="0.2">
      <c r="A68" s="21" t="s">
        <v>10</v>
      </c>
      <c r="B68" s="295">
        <v>20117</v>
      </c>
      <c r="C68" s="296">
        <v>18467</v>
      </c>
      <c r="D68" s="166">
        <f t="shared" si="11"/>
        <v>-8.1999999999999993</v>
      </c>
      <c r="E68" s="27">
        <f>IFERROR(100/'Skjema total MA'!C68*C68,0)</f>
        <v>13.940501330824143</v>
      </c>
      <c r="F68" s="295">
        <v>2658383.3689999999</v>
      </c>
      <c r="G68" s="296">
        <v>2736191.9870000002</v>
      </c>
      <c r="H68" s="166">
        <f t="shared" si="12"/>
        <v>2.9</v>
      </c>
      <c r="I68" s="27">
        <f>IFERROR(100/'Skjema total MA'!F68*G68,0)</f>
        <v>12.919932140938599</v>
      </c>
      <c r="J68" s="290">
        <f t="shared" si="13"/>
        <v>2678500.3689999999</v>
      </c>
      <c r="K68" s="44">
        <f t="shared" si="13"/>
        <v>2754658.9870000002</v>
      </c>
      <c r="L68" s="257">
        <f t="shared" si="14"/>
        <v>2.8</v>
      </c>
      <c r="M68" s="27">
        <f>IFERROR(100/'Skjema total MA'!I68*K68,0)</f>
        <v>12.926276182185374</v>
      </c>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v>183781.649</v>
      </c>
      <c r="C76" s="145">
        <v>168336.55300000001</v>
      </c>
      <c r="D76" s="166">
        <f t="shared" ref="D76" si="15">IF(B76=0, "    ---- ", IF(ABS(ROUND(100/B76*C76-100,1))&lt;999,ROUND(100/B76*C76-100,1),IF(ROUND(100/B76*C76-100,1)&gt;999,999,-999)))</f>
        <v>-8.4</v>
      </c>
      <c r="E76" s="27">
        <f>IFERROR(100/'Skjema total MA'!C77*C76,0)</f>
        <v>2.8890653101229953</v>
      </c>
      <c r="F76" s="235"/>
      <c r="G76" s="145"/>
      <c r="H76" s="166"/>
      <c r="I76" s="27"/>
      <c r="J76" s="290">
        <f t="shared" ref="J76" si="16">SUM(B76,F76)</f>
        <v>183781.649</v>
      </c>
      <c r="K76" s="44">
        <f t="shared" ref="K76" si="17">SUM(C76,G76)</f>
        <v>168336.55300000001</v>
      </c>
      <c r="L76" s="257">
        <f t="shared" ref="L76" si="18">IF(J76=0, "    ---- ", IF(ABS(ROUND(100/J76*K76-100,1))&lt;999,ROUND(100/J76*K76-100,1),IF(ROUND(100/J76*K76-100,1)&gt;999,999,-999)))</f>
        <v>-8.4</v>
      </c>
      <c r="M76" s="27">
        <f>IFERROR(100/'Skjema total MA'!I77*K76,0)</f>
        <v>0.62358286700480381</v>
      </c>
      <c r="N76" s="148"/>
      <c r="O76" s="148"/>
    </row>
    <row r="77" spans="1:15" ht="15.75" x14ac:dyDescent="0.2">
      <c r="A77" s="21" t="s">
        <v>393</v>
      </c>
      <c r="B77" s="235">
        <v>748529.57499999995</v>
      </c>
      <c r="C77" s="235">
        <v>592918.12699999998</v>
      </c>
      <c r="D77" s="166">
        <f t="shared" si="11"/>
        <v>-20.8</v>
      </c>
      <c r="E77" s="27">
        <f>IFERROR(100/'Skjema total MA'!C77*C77,0)</f>
        <v>10.175919382517002</v>
      </c>
      <c r="F77" s="235">
        <v>2655265.9509999999</v>
      </c>
      <c r="G77" s="145">
        <v>2733068.767</v>
      </c>
      <c r="H77" s="166">
        <f t="shared" si="12"/>
        <v>2.9</v>
      </c>
      <c r="I77" s="27">
        <f>IFERROR(100/'Skjema total MA'!F77*G77,0)</f>
        <v>12.911091600829252</v>
      </c>
      <c r="J77" s="290">
        <f t="shared" si="13"/>
        <v>3403795.5259999996</v>
      </c>
      <c r="K77" s="44">
        <f t="shared" si="13"/>
        <v>3325986.8939999999</v>
      </c>
      <c r="L77" s="257">
        <f t="shared" si="14"/>
        <v>-2.2999999999999998</v>
      </c>
      <c r="M77" s="27">
        <f>IFERROR(100/'Skjema total MA'!I77*K77,0)</f>
        <v>12.320725392190504</v>
      </c>
      <c r="O77" s="148"/>
    </row>
    <row r="78" spans="1:15" x14ac:dyDescent="0.2">
      <c r="A78" s="21" t="s">
        <v>9</v>
      </c>
      <c r="B78" s="235">
        <v>731530.58499999996</v>
      </c>
      <c r="C78" s="145">
        <v>577579.98</v>
      </c>
      <c r="D78" s="166">
        <f t="shared" si="11"/>
        <v>-21</v>
      </c>
      <c r="E78" s="27">
        <f>IFERROR(100/'Skjema total MA'!C78*C78,0)</f>
        <v>10.137717623789893</v>
      </c>
      <c r="F78" s="235"/>
      <c r="G78" s="145"/>
      <c r="H78" s="166"/>
      <c r="I78" s="27"/>
      <c r="J78" s="290">
        <f t="shared" si="13"/>
        <v>731530.58499999996</v>
      </c>
      <c r="K78" s="44">
        <f t="shared" si="13"/>
        <v>577579.98</v>
      </c>
      <c r="L78" s="257">
        <f t="shared" si="14"/>
        <v>-21</v>
      </c>
      <c r="M78" s="27">
        <f>IFERROR(100/'Skjema total MA'!I78*K78,0)</f>
        <v>10.137717623789893</v>
      </c>
      <c r="O78" s="148"/>
    </row>
    <row r="79" spans="1:15" x14ac:dyDescent="0.2">
      <c r="A79" s="21" t="s">
        <v>10</v>
      </c>
      <c r="B79" s="295">
        <v>16998.990000000002</v>
      </c>
      <c r="C79" s="296">
        <v>15338.147000000001</v>
      </c>
      <c r="D79" s="166">
        <f t="shared" si="11"/>
        <v>-9.8000000000000007</v>
      </c>
      <c r="E79" s="27">
        <f>IFERROR(100/'Skjema total MA'!C79*C79,0)</f>
        <v>11.858663804913121</v>
      </c>
      <c r="F79" s="295">
        <v>2655265.9509999999</v>
      </c>
      <c r="G79" s="296">
        <v>2733068.767</v>
      </c>
      <c r="H79" s="166">
        <f t="shared" si="12"/>
        <v>2.9</v>
      </c>
      <c r="I79" s="27">
        <f>IFERROR(100/'Skjema total MA'!F79*G79,0)</f>
        <v>12.911091600829252</v>
      </c>
      <c r="J79" s="290">
        <f t="shared" si="13"/>
        <v>2672264.9410000001</v>
      </c>
      <c r="K79" s="44">
        <f t="shared" si="13"/>
        <v>2748406.9139999999</v>
      </c>
      <c r="L79" s="257">
        <f t="shared" si="14"/>
        <v>2.8</v>
      </c>
      <c r="M79" s="27">
        <f>IFERROR(100/'Skjema total MA'!I79*K79,0)</f>
        <v>12.904700195865578</v>
      </c>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v>11509.776</v>
      </c>
      <c r="C86" s="145">
        <v>11249.32</v>
      </c>
      <c r="D86" s="166">
        <f t="shared" si="11"/>
        <v>-2.2999999999999998</v>
      </c>
      <c r="E86" s="27">
        <f>IFERROR(100/'Skjema total MA'!C86*C86,0)</f>
        <v>10.628431378004814</v>
      </c>
      <c r="F86" s="235">
        <v>3117.4180000000001</v>
      </c>
      <c r="G86" s="145">
        <v>3123.22</v>
      </c>
      <c r="H86" s="166">
        <f t="shared" si="12"/>
        <v>0.2</v>
      </c>
      <c r="I86" s="27">
        <f>IFERROR(100/'Skjema total MA'!F86*G86,0)</f>
        <v>32.234476805647134</v>
      </c>
      <c r="J86" s="290">
        <f t="shared" si="13"/>
        <v>14627.194</v>
      </c>
      <c r="K86" s="44">
        <f t="shared" si="13"/>
        <v>14372.539999999999</v>
      </c>
      <c r="L86" s="257">
        <f t="shared" si="14"/>
        <v>-1.7</v>
      </c>
      <c r="M86" s="27">
        <f>IFERROR(100/'Skjema total MA'!I86*K86,0)</f>
        <v>12.440436051497125</v>
      </c>
      <c r="O86" s="148"/>
    </row>
    <row r="87" spans="1:15" ht="15.75" x14ac:dyDescent="0.2">
      <c r="A87" s="13" t="s">
        <v>376</v>
      </c>
      <c r="B87" s="357">
        <v>44663484.937222876</v>
      </c>
      <c r="C87" s="357">
        <v>45419778.988371648</v>
      </c>
      <c r="D87" s="171">
        <f t="shared" si="11"/>
        <v>1.7</v>
      </c>
      <c r="E87" s="11">
        <f>IFERROR(100/'Skjema total MA'!C87*C87,0)</f>
        <v>11.774333187991353</v>
      </c>
      <c r="F87" s="356">
        <v>29623540.639949899</v>
      </c>
      <c r="G87" s="356">
        <v>33730048.969175398</v>
      </c>
      <c r="H87" s="171">
        <f t="shared" si="12"/>
        <v>13.9</v>
      </c>
      <c r="I87" s="11">
        <f>IFERROR(100/'Skjema total MA'!F87*G87,0)</f>
        <v>12.993706125888462</v>
      </c>
      <c r="J87" s="312">
        <f t="shared" ref="J87:K111" si="19">SUM(B87,F87)</f>
        <v>74287025.577172771</v>
      </c>
      <c r="K87" s="237">
        <f t="shared" si="19"/>
        <v>79149827.957547039</v>
      </c>
      <c r="L87" s="432">
        <f t="shared" si="14"/>
        <v>6.5</v>
      </c>
      <c r="M87" s="11">
        <f>IFERROR(100/'Skjema total MA'!I87*K87,0)</f>
        <v>12.264825120589551</v>
      </c>
      <c r="O87" s="148"/>
    </row>
    <row r="88" spans="1:15" x14ac:dyDescent="0.2">
      <c r="A88" s="21" t="s">
        <v>9</v>
      </c>
      <c r="B88" s="235">
        <v>43584984.9818893</v>
      </c>
      <c r="C88" s="145">
        <v>44284063.5349143</v>
      </c>
      <c r="D88" s="166">
        <f t="shared" si="11"/>
        <v>1.6</v>
      </c>
      <c r="E88" s="27">
        <f>IFERROR(100/'Skjema total MA'!C88*C88,0)</f>
        <v>11.745782683565544</v>
      </c>
      <c r="F88" s="235"/>
      <c r="G88" s="145"/>
      <c r="H88" s="166"/>
      <c r="I88" s="27"/>
      <c r="J88" s="290">
        <f t="shared" si="19"/>
        <v>43584984.9818893</v>
      </c>
      <c r="K88" s="44">
        <f t="shared" si="19"/>
        <v>44284063.5349143</v>
      </c>
      <c r="L88" s="257">
        <f t="shared" si="14"/>
        <v>1.6</v>
      </c>
      <c r="M88" s="27">
        <f>IFERROR(100/'Skjema total MA'!I88*K88,0)</f>
        <v>11.745782683565544</v>
      </c>
      <c r="O88" s="148"/>
    </row>
    <row r="89" spans="1:15" x14ac:dyDescent="0.2">
      <c r="A89" s="21" t="s">
        <v>10</v>
      </c>
      <c r="B89" s="235">
        <v>1072052.7243335799</v>
      </c>
      <c r="C89" s="145">
        <v>1035484.9074573501</v>
      </c>
      <c r="D89" s="166">
        <f t="shared" si="11"/>
        <v>-3.4</v>
      </c>
      <c r="E89" s="27">
        <f>IFERROR(100/'Skjema total MA'!C89*C89,0)</f>
        <v>39.268619736482194</v>
      </c>
      <c r="F89" s="235">
        <v>29623540.639949899</v>
      </c>
      <c r="G89" s="145">
        <v>33730048.969175398</v>
      </c>
      <c r="H89" s="166">
        <f t="shared" si="12"/>
        <v>13.9</v>
      </c>
      <c r="I89" s="27">
        <f>IFERROR(100/'Skjema total MA'!F89*G89,0)</f>
        <v>13.045541167932591</v>
      </c>
      <c r="J89" s="290">
        <f t="shared" si="19"/>
        <v>30695593.36428348</v>
      </c>
      <c r="K89" s="44">
        <f t="shared" si="19"/>
        <v>34765533.87663275</v>
      </c>
      <c r="L89" s="257">
        <f t="shared" si="14"/>
        <v>13.3</v>
      </c>
      <c r="M89" s="27">
        <f>IFERROR(100/'Skjema total MA'!I89*K89,0)</f>
        <v>13.310281525670691</v>
      </c>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v>6447.2309999999998</v>
      </c>
      <c r="C97" s="145">
        <v>100230.546</v>
      </c>
      <c r="D97" s="166">
        <f t="shared" ref="D97" si="20">IF(B97=0, "    ---- ", IF(ABS(ROUND(100/B97*C97-100,1))&lt;999,ROUND(100/B97*C97-100,1),IF(ROUND(100/B97*C97-100,1)&gt;999,999,-999)))</f>
        <v>999</v>
      </c>
      <c r="E97" s="27">
        <f>IFERROR(100/'Skjema total MA'!C98*C97,0)</f>
        <v>2.6742379299493812E-2</v>
      </c>
      <c r="F97" s="235"/>
      <c r="G97" s="145"/>
      <c r="H97" s="166"/>
      <c r="I97" s="27"/>
      <c r="J97" s="290">
        <f t="shared" ref="J97" si="21">SUM(B97,F97)</f>
        <v>6447.2309999999998</v>
      </c>
      <c r="K97" s="44">
        <f t="shared" ref="K97" si="22">SUM(C97,G97)</f>
        <v>100230.546</v>
      </c>
      <c r="L97" s="257">
        <f t="shared" ref="L97" si="23">IF(J97=0, "    ---- ", IF(ABS(ROUND(100/J97*K97-100,1))&lt;999,ROUND(100/J97*K97-100,1),IF(ROUND(100/J97*K97-100,1)&gt;999,999,-999)))</f>
        <v>999</v>
      </c>
      <c r="M97" s="27">
        <f>IFERROR(100/'Skjema total MA'!I98*K97,0)</f>
        <v>1.5842866901017306E-2</v>
      </c>
      <c r="O97" s="148"/>
    </row>
    <row r="98" spans="1:15" ht="15.75" x14ac:dyDescent="0.2">
      <c r="A98" s="21" t="s">
        <v>393</v>
      </c>
      <c r="B98" s="235">
        <v>44603012.481222875</v>
      </c>
      <c r="C98" s="235">
        <v>45293513.348371655</v>
      </c>
      <c r="D98" s="166">
        <f t="shared" si="11"/>
        <v>1.5</v>
      </c>
      <c r="E98" s="27">
        <f>IFERROR(100/'Skjema total MA'!C98*C98,0)</f>
        <v>12.084702339832019</v>
      </c>
      <c r="F98" s="295">
        <v>29603632.936949901</v>
      </c>
      <c r="G98" s="295">
        <v>33708782.177175403</v>
      </c>
      <c r="H98" s="166">
        <f t="shared" si="12"/>
        <v>13.9</v>
      </c>
      <c r="I98" s="27">
        <f>IFERROR(100/'Skjema total MA'!F98*G98,0)</f>
        <v>13.072833044535889</v>
      </c>
      <c r="J98" s="290">
        <f t="shared" si="19"/>
        <v>74206645.418172777</v>
      </c>
      <c r="K98" s="44">
        <f t="shared" si="19"/>
        <v>79002295.525547057</v>
      </c>
      <c r="L98" s="257">
        <f t="shared" si="14"/>
        <v>6.5</v>
      </c>
      <c r="M98" s="27">
        <f>IFERROR(100/'Skjema total MA'!I98*K98,0)</f>
        <v>12.487439237196982</v>
      </c>
      <c r="O98" s="148"/>
    </row>
    <row r="99" spans="1:15" x14ac:dyDescent="0.2">
      <c r="A99" s="21" t="s">
        <v>9</v>
      </c>
      <c r="B99" s="295">
        <v>43530959.756889299</v>
      </c>
      <c r="C99" s="296">
        <v>44258028.440914303</v>
      </c>
      <c r="D99" s="166">
        <f t="shared" si="11"/>
        <v>1.7</v>
      </c>
      <c r="E99" s="27">
        <f>IFERROR(100/'Skjema total MA'!C99*C99,0)</f>
        <v>11.892093406160887</v>
      </c>
      <c r="F99" s="235"/>
      <c r="G99" s="145"/>
      <c r="H99" s="166"/>
      <c r="I99" s="27"/>
      <c r="J99" s="290">
        <f t="shared" si="19"/>
        <v>43530959.756889299</v>
      </c>
      <c r="K99" s="44">
        <f t="shared" si="19"/>
        <v>44258028.440914303</v>
      </c>
      <c r="L99" s="257">
        <f t="shared" si="14"/>
        <v>1.7</v>
      </c>
      <c r="M99" s="27">
        <f>IFERROR(100/'Skjema total MA'!I99*K99,0)</f>
        <v>11.892093406160887</v>
      </c>
      <c r="O99" s="148"/>
    </row>
    <row r="100" spans="1:15" x14ac:dyDescent="0.2">
      <c r="A100" s="21" t="s">
        <v>10</v>
      </c>
      <c r="B100" s="295">
        <v>1072052.7243335799</v>
      </c>
      <c r="C100" s="296">
        <v>1035484.9074573501</v>
      </c>
      <c r="D100" s="166">
        <f t="shared" si="11"/>
        <v>-3.4</v>
      </c>
      <c r="E100" s="27">
        <f>IFERROR(100/'Skjema total MA'!C100*C100,0)</f>
        <v>39.268619736482194</v>
      </c>
      <c r="F100" s="235">
        <v>29603632.936949901</v>
      </c>
      <c r="G100" s="235">
        <v>33708782.177175403</v>
      </c>
      <c r="H100" s="166">
        <f t="shared" si="12"/>
        <v>13.9</v>
      </c>
      <c r="I100" s="27">
        <f>IFERROR(100/'Skjema total MA'!F100*G100,0)</f>
        <v>13.072833044535889</v>
      </c>
      <c r="J100" s="290">
        <f t="shared" si="19"/>
        <v>30675685.661283482</v>
      </c>
      <c r="K100" s="44">
        <f t="shared" si="19"/>
        <v>34744267.084632754</v>
      </c>
      <c r="L100" s="257">
        <f t="shared" si="14"/>
        <v>13.3</v>
      </c>
      <c r="M100" s="27">
        <f>IFERROR(100/'Skjema total MA'!I100*K100,0)</f>
        <v>13.338011050339841</v>
      </c>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v>54025.224999999999</v>
      </c>
      <c r="C107" s="145">
        <v>26035.094000000001</v>
      </c>
      <c r="D107" s="166">
        <f t="shared" si="11"/>
        <v>-51.8</v>
      </c>
      <c r="E107" s="27">
        <f>IFERROR(100/'Skjema total MA'!C107*C107,0)</f>
        <v>0.53597833614473211</v>
      </c>
      <c r="F107" s="235">
        <v>19907.703000000001</v>
      </c>
      <c r="G107" s="145">
        <v>21266.792000000001</v>
      </c>
      <c r="H107" s="166">
        <f t="shared" si="12"/>
        <v>6.8</v>
      </c>
      <c r="I107" s="27">
        <f>IFERROR(100/'Skjema total MA'!F107*G107,0)</f>
        <v>3.0274654355959227</v>
      </c>
      <c r="J107" s="290">
        <f t="shared" si="19"/>
        <v>73932.928</v>
      </c>
      <c r="K107" s="44">
        <f t="shared" si="19"/>
        <v>47301.885999999999</v>
      </c>
      <c r="L107" s="257">
        <f t="shared" si="14"/>
        <v>-36</v>
      </c>
      <c r="M107" s="27">
        <f>IFERROR(100/'Skjema total MA'!I107*K107,0)</f>
        <v>0.85076070367853895</v>
      </c>
      <c r="O107" s="148"/>
    </row>
    <row r="108" spans="1:15" ht="15.75" x14ac:dyDescent="0.2">
      <c r="A108" s="21" t="s">
        <v>395</v>
      </c>
      <c r="B108" s="235">
        <v>33149339.5085232</v>
      </c>
      <c r="C108" s="235">
        <v>34073254.560535297</v>
      </c>
      <c r="D108" s="166">
        <f t="shared" si="11"/>
        <v>2.8</v>
      </c>
      <c r="E108" s="27">
        <f>IFERROR(100/'Skjema total MA'!C108*C108,0)</f>
        <v>11.032833721447631</v>
      </c>
      <c r="F108" s="235"/>
      <c r="G108" s="235"/>
      <c r="H108" s="166"/>
      <c r="I108" s="27"/>
      <c r="J108" s="290">
        <f t="shared" si="19"/>
        <v>33149339.5085232</v>
      </c>
      <c r="K108" s="44">
        <f t="shared" si="19"/>
        <v>34073254.560535297</v>
      </c>
      <c r="L108" s="257">
        <f t="shared" si="14"/>
        <v>2.8</v>
      </c>
      <c r="M108" s="27">
        <f>IFERROR(100/'Skjema total MA'!I108*K108,0)</f>
        <v>10.483407086210166</v>
      </c>
      <c r="O108" s="148"/>
    </row>
    <row r="109" spans="1:15" ht="15.75" x14ac:dyDescent="0.2">
      <c r="A109" s="21" t="s">
        <v>396</v>
      </c>
      <c r="B109" s="235">
        <v>387879.84600000002</v>
      </c>
      <c r="C109" s="235">
        <v>510080.69116777199</v>
      </c>
      <c r="D109" s="166">
        <f t="shared" si="11"/>
        <v>31.5</v>
      </c>
      <c r="E109" s="27">
        <f>IFERROR(100/'Skjema total MA'!C109*C109,0)</f>
        <v>55.422446790053662</v>
      </c>
      <c r="F109" s="235">
        <v>11891119.473141201</v>
      </c>
      <c r="G109" s="235">
        <v>14223999.6978948</v>
      </c>
      <c r="H109" s="166">
        <f t="shared" si="12"/>
        <v>19.600000000000001</v>
      </c>
      <c r="I109" s="27">
        <f>IFERROR(100/'Skjema total MA'!F109*G109,0)</f>
        <v>17.292981056967093</v>
      </c>
      <c r="J109" s="290">
        <f t="shared" si="19"/>
        <v>12278999.319141202</v>
      </c>
      <c r="K109" s="44">
        <f t="shared" si="19"/>
        <v>14734080.389062572</v>
      </c>
      <c r="L109" s="257">
        <f t="shared" si="14"/>
        <v>20</v>
      </c>
      <c r="M109" s="27">
        <f>IFERROR(100/'Skjema total MA'!I109*K109,0)</f>
        <v>17.714900551700811</v>
      </c>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v>11025.343999999999</v>
      </c>
      <c r="C111" s="159">
        <v>853.54300000000001</v>
      </c>
      <c r="D111" s="171">
        <f t="shared" si="11"/>
        <v>-92.3</v>
      </c>
      <c r="E111" s="11">
        <f>IFERROR(100/'Skjema total MA'!C111*C111,0)</f>
        <v>0.23883515393924157</v>
      </c>
      <c r="F111" s="311">
        <v>787338.09</v>
      </c>
      <c r="G111" s="159">
        <v>1994516.48297</v>
      </c>
      <c r="H111" s="171">
        <f t="shared" si="12"/>
        <v>153.30000000000001</v>
      </c>
      <c r="I111" s="11">
        <f>IFERROR(100/'Skjema total MA'!F111*G111,0)</f>
        <v>18.444390827656733</v>
      </c>
      <c r="J111" s="312">
        <f t="shared" si="19"/>
        <v>798363.43400000001</v>
      </c>
      <c r="K111" s="237">
        <f t="shared" si="19"/>
        <v>1995370.0259700001</v>
      </c>
      <c r="L111" s="432">
        <f t="shared" si="14"/>
        <v>149.9</v>
      </c>
      <c r="M111" s="11">
        <f>IFERROR(100/'Skjema total MA'!I111*K111,0)</f>
        <v>17.861969859869287</v>
      </c>
      <c r="O111" s="148"/>
    </row>
    <row r="112" spans="1:15" x14ac:dyDescent="0.2">
      <c r="A112" s="21" t="s">
        <v>9</v>
      </c>
      <c r="B112" s="235">
        <v>11025.343999999999</v>
      </c>
      <c r="C112" s="145">
        <v>853.54300000000001</v>
      </c>
      <c r="D112" s="166">
        <f t="shared" ref="D112:D120" si="24">IF(B112=0, "    ---- ", IF(ABS(ROUND(100/B112*C112-100,1))&lt;999,ROUND(100/B112*C112-100,1),IF(ROUND(100/B112*C112-100,1)&gt;999,999,-999)))</f>
        <v>-92.3</v>
      </c>
      <c r="E112" s="27">
        <f>IFERROR(100/'Skjema total MA'!C112*C112,0)</f>
        <v>0.27823951836011945</v>
      </c>
      <c r="F112" s="235"/>
      <c r="G112" s="145"/>
      <c r="H112" s="166"/>
      <c r="I112" s="27"/>
      <c r="J112" s="290">
        <f t="shared" ref="J112:K125" si="25">SUM(B112,F112)</f>
        <v>11025.343999999999</v>
      </c>
      <c r="K112" s="44">
        <f t="shared" si="25"/>
        <v>853.54300000000001</v>
      </c>
      <c r="L112" s="257">
        <f t="shared" ref="L112:L125" si="26">IF(J112=0, "    ---- ", IF(ABS(ROUND(100/J112*K112-100,1))&lt;999,ROUND(100/J112*K112-100,1),IF(ROUND(100/J112*K112-100,1)&gt;999,999,-999)))</f>
        <v>-92.3</v>
      </c>
      <c r="M112" s="27">
        <f>IFERROR(100/'Skjema total MA'!I112*K112,0)</f>
        <v>0.27693756074238662</v>
      </c>
      <c r="O112" s="148"/>
    </row>
    <row r="113" spans="1:15" x14ac:dyDescent="0.2">
      <c r="A113" s="21" t="s">
        <v>10</v>
      </c>
      <c r="B113" s="235"/>
      <c r="C113" s="145"/>
      <c r="D113" s="166"/>
      <c r="E113" s="27"/>
      <c r="F113" s="235">
        <v>787338.09</v>
      </c>
      <c r="G113" s="145">
        <v>1994516.48297</v>
      </c>
      <c r="H113" s="166">
        <f t="shared" ref="H113:H125" si="27">IF(F113=0, "    ---- ", IF(ABS(ROUND(100/F113*G113-100,1))&lt;999,ROUND(100/F113*G113-100,1),IF(ROUND(100/F113*G113-100,1)&gt;999,999,-999)))</f>
        <v>153.30000000000001</v>
      </c>
      <c r="I113" s="27">
        <f>IFERROR(100/'Skjema total MA'!F113*G113,0)</f>
        <v>18.513998675560124</v>
      </c>
      <c r="J113" s="290">
        <f t="shared" si="25"/>
        <v>787338.09</v>
      </c>
      <c r="K113" s="44">
        <f t="shared" si="25"/>
        <v>1994516.48297</v>
      </c>
      <c r="L113" s="257">
        <f t="shared" si="26"/>
        <v>153.30000000000001</v>
      </c>
      <c r="M113" s="27">
        <f>IFERROR(100/'Skjema total MA'!I113*K113,0)</f>
        <v>18.510500935609077</v>
      </c>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v>4142.9719999999998</v>
      </c>
      <c r="C116" s="235">
        <v>556.01499999999999</v>
      </c>
      <c r="D116" s="166">
        <f t="shared" si="24"/>
        <v>-86.6</v>
      </c>
      <c r="E116" s="27">
        <f>IFERROR(100/'Skjema total MA'!C116*C116,0)</f>
        <v>0.36304433561982746</v>
      </c>
      <c r="F116" s="235"/>
      <c r="G116" s="235"/>
      <c r="H116" s="166"/>
      <c r="I116" s="27"/>
      <c r="J116" s="290">
        <f t="shared" si="25"/>
        <v>4142.9719999999998</v>
      </c>
      <c r="K116" s="44">
        <f t="shared" si="25"/>
        <v>556.01499999999999</v>
      </c>
      <c r="L116" s="257">
        <f t="shared" si="26"/>
        <v>-86.6</v>
      </c>
      <c r="M116" s="27">
        <f>IFERROR(100/'Skjema total MA'!I116*K116,0)</f>
        <v>0.3578833862350897</v>
      </c>
      <c r="O116" s="148"/>
    </row>
    <row r="117" spans="1:15" ht="15.75" x14ac:dyDescent="0.2">
      <c r="A117" s="21" t="s">
        <v>399</v>
      </c>
      <c r="B117" s="235"/>
      <c r="C117" s="235"/>
      <c r="D117" s="166"/>
      <c r="E117" s="27"/>
      <c r="F117" s="235">
        <v>199631.28200000001</v>
      </c>
      <c r="G117" s="235">
        <v>143047.826</v>
      </c>
      <c r="H117" s="166">
        <f t="shared" si="27"/>
        <v>-28.3</v>
      </c>
      <c r="I117" s="27">
        <f>IFERROR(100/'Skjema total MA'!F117*G117,0)</f>
        <v>8.6929808241011912</v>
      </c>
      <c r="J117" s="290">
        <f t="shared" si="25"/>
        <v>199631.28200000001</v>
      </c>
      <c r="K117" s="44">
        <f t="shared" si="25"/>
        <v>143047.826</v>
      </c>
      <c r="L117" s="257">
        <f t="shared" si="26"/>
        <v>-28.3</v>
      </c>
      <c r="M117" s="27">
        <f>IFERROR(100/'Skjema total MA'!I117*K117,0)</f>
        <v>8.6929808241011912</v>
      </c>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v>78304.335140000097</v>
      </c>
      <c r="C119" s="159">
        <v>149168.14468</v>
      </c>
      <c r="D119" s="171">
        <f t="shared" si="24"/>
        <v>90.5</v>
      </c>
      <c r="E119" s="11">
        <f>IFERROR(100/'Skjema total MA'!C119*C119,0)</f>
        <v>18.784601693441676</v>
      </c>
      <c r="F119" s="311">
        <v>1833070.5989999999</v>
      </c>
      <c r="G119" s="159">
        <v>3092031.0150000001</v>
      </c>
      <c r="H119" s="171">
        <f t="shared" si="27"/>
        <v>68.7</v>
      </c>
      <c r="I119" s="11">
        <f>IFERROR(100/'Skjema total MA'!F119*G119,0)</f>
        <v>28.383898795149459</v>
      </c>
      <c r="J119" s="312">
        <f t="shared" si="25"/>
        <v>1911374.93414</v>
      </c>
      <c r="K119" s="237">
        <f t="shared" si="25"/>
        <v>3241199.15968</v>
      </c>
      <c r="L119" s="432">
        <f t="shared" si="26"/>
        <v>69.599999999999994</v>
      </c>
      <c r="M119" s="11">
        <f>IFERROR(100/'Skjema total MA'!I119*K119,0)</f>
        <v>27.731693669780803</v>
      </c>
      <c r="O119" s="148"/>
    </row>
    <row r="120" spans="1:15" x14ac:dyDescent="0.2">
      <c r="A120" s="21" t="s">
        <v>9</v>
      </c>
      <c r="B120" s="235">
        <v>78304.335140000097</v>
      </c>
      <c r="C120" s="145">
        <v>149168.14468</v>
      </c>
      <c r="D120" s="166">
        <f t="shared" si="24"/>
        <v>90.5</v>
      </c>
      <c r="E120" s="27">
        <f>IFERROR(100/'Skjema total MA'!C120*C120,0)</f>
        <v>39.505671259874887</v>
      </c>
      <c r="F120" s="235"/>
      <c r="G120" s="145"/>
      <c r="H120" s="166"/>
      <c r="I120" s="27"/>
      <c r="J120" s="290">
        <f t="shared" si="25"/>
        <v>78304.335140000097</v>
      </c>
      <c r="K120" s="44">
        <f t="shared" si="25"/>
        <v>149168.14468</v>
      </c>
      <c r="L120" s="257">
        <f t="shared" si="26"/>
        <v>90.5</v>
      </c>
      <c r="M120" s="27">
        <f>IFERROR(100/'Skjema total MA'!I120*K120,0)</f>
        <v>39.505671259874887</v>
      </c>
      <c r="O120" s="148"/>
    </row>
    <row r="121" spans="1:15" x14ac:dyDescent="0.2">
      <c r="A121" s="21" t="s">
        <v>10</v>
      </c>
      <c r="B121" s="235"/>
      <c r="C121" s="145"/>
      <c r="D121" s="166"/>
      <c r="E121" s="27"/>
      <c r="F121" s="235">
        <v>1833070.5989999999</v>
      </c>
      <c r="G121" s="145">
        <v>3092031.0150000001</v>
      </c>
      <c r="H121" s="166">
        <f t="shared" si="27"/>
        <v>68.7</v>
      </c>
      <c r="I121" s="27">
        <f>IFERROR(100/'Skjema total MA'!F121*G121,0)</f>
        <v>28.383898795149459</v>
      </c>
      <c r="J121" s="290">
        <f t="shared" si="25"/>
        <v>1833070.5989999999</v>
      </c>
      <c r="K121" s="44">
        <f t="shared" si="25"/>
        <v>3092031.0150000001</v>
      </c>
      <c r="L121" s="257">
        <f t="shared" si="26"/>
        <v>68.7</v>
      </c>
      <c r="M121" s="27">
        <f>IFERROR(100/'Skjema total MA'!I121*K121,0)</f>
        <v>28.313137938450019</v>
      </c>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t="s">
        <v>422</v>
      </c>
      <c r="C123" s="284" t="s">
        <v>422</v>
      </c>
      <c r="D123" s="166" t="e">
        <f>IF(kvartal=4,IF(B123=0, "    ---- ", IF(ABS(ROUND(100/B123*C123-100,1))&lt;999,ROUND(100/B123*C123-100,1),IF(ROUND(100/B123*C123-100,1)&gt;999,999,-999))),"")</f>
        <v>#REF!</v>
      </c>
      <c r="E123" s="421" t="e">
        <f>IF(kvartal=4,IFERROR(100/'Skjema total MA'!B123*C123,0),"")</f>
        <v>#REF!</v>
      </c>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v>268487.17700000003</v>
      </c>
      <c r="G125" s="235">
        <v>212588.959</v>
      </c>
      <c r="H125" s="166">
        <f t="shared" si="27"/>
        <v>-20.8</v>
      </c>
      <c r="I125" s="27">
        <f>IFERROR(100/'Skjema total MA'!F125*G125,0)</f>
        <v>13.669038059151138</v>
      </c>
      <c r="J125" s="290">
        <f t="shared" si="25"/>
        <v>268487.17700000003</v>
      </c>
      <c r="K125" s="44">
        <f t="shared" si="25"/>
        <v>212588.959</v>
      </c>
      <c r="L125" s="257">
        <f t="shared" si="26"/>
        <v>-20.8</v>
      </c>
      <c r="M125" s="27">
        <f>IFERROR(100/'Skjema total MA'!I125*K125,0)</f>
        <v>13.646435186331468</v>
      </c>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693" priority="132">
      <formula>kvartal &lt; 4</formula>
    </cfRule>
  </conditionalFormatting>
  <conditionalFormatting sqref="B69">
    <cfRule type="expression" dxfId="692" priority="100">
      <formula>kvartal &lt; 4</formula>
    </cfRule>
  </conditionalFormatting>
  <conditionalFormatting sqref="C69">
    <cfRule type="expression" dxfId="691" priority="99">
      <formula>kvartal &lt; 4</formula>
    </cfRule>
  </conditionalFormatting>
  <conditionalFormatting sqref="B72">
    <cfRule type="expression" dxfId="690" priority="98">
      <formula>kvartal &lt; 4</formula>
    </cfRule>
  </conditionalFormatting>
  <conditionalFormatting sqref="C72">
    <cfRule type="expression" dxfId="689" priority="97">
      <formula>kvartal &lt; 4</formula>
    </cfRule>
  </conditionalFormatting>
  <conditionalFormatting sqref="B80">
    <cfRule type="expression" dxfId="688" priority="96">
      <formula>kvartal &lt; 4</formula>
    </cfRule>
  </conditionalFormatting>
  <conditionalFormatting sqref="C80">
    <cfRule type="expression" dxfId="687" priority="95">
      <formula>kvartal &lt; 4</formula>
    </cfRule>
  </conditionalFormatting>
  <conditionalFormatting sqref="B83">
    <cfRule type="expression" dxfId="686" priority="94">
      <formula>kvartal &lt; 4</formula>
    </cfRule>
  </conditionalFormatting>
  <conditionalFormatting sqref="C83">
    <cfRule type="expression" dxfId="685" priority="93">
      <formula>kvartal &lt; 4</formula>
    </cfRule>
  </conditionalFormatting>
  <conditionalFormatting sqref="B90">
    <cfRule type="expression" dxfId="684" priority="84">
      <formula>kvartal &lt; 4</formula>
    </cfRule>
  </conditionalFormatting>
  <conditionalFormatting sqref="C90">
    <cfRule type="expression" dxfId="683" priority="83">
      <formula>kvartal &lt; 4</formula>
    </cfRule>
  </conditionalFormatting>
  <conditionalFormatting sqref="B93">
    <cfRule type="expression" dxfId="682" priority="82">
      <formula>kvartal &lt; 4</formula>
    </cfRule>
  </conditionalFormatting>
  <conditionalFormatting sqref="C93">
    <cfRule type="expression" dxfId="681" priority="81">
      <formula>kvartal &lt; 4</formula>
    </cfRule>
  </conditionalFormatting>
  <conditionalFormatting sqref="B101">
    <cfRule type="expression" dxfId="680" priority="80">
      <formula>kvartal &lt; 4</formula>
    </cfRule>
  </conditionalFormatting>
  <conditionalFormatting sqref="C101">
    <cfRule type="expression" dxfId="679" priority="79">
      <formula>kvartal &lt; 4</formula>
    </cfRule>
  </conditionalFormatting>
  <conditionalFormatting sqref="B104">
    <cfRule type="expression" dxfId="678" priority="78">
      <formula>kvartal &lt; 4</formula>
    </cfRule>
  </conditionalFormatting>
  <conditionalFormatting sqref="C104">
    <cfRule type="expression" dxfId="677" priority="77">
      <formula>kvartal &lt; 4</formula>
    </cfRule>
  </conditionalFormatting>
  <conditionalFormatting sqref="B115">
    <cfRule type="expression" dxfId="676" priority="76">
      <formula>kvartal &lt; 4</formula>
    </cfRule>
  </conditionalFormatting>
  <conditionalFormatting sqref="C115">
    <cfRule type="expression" dxfId="675" priority="75">
      <formula>kvartal &lt; 4</formula>
    </cfRule>
  </conditionalFormatting>
  <conditionalFormatting sqref="B123">
    <cfRule type="expression" dxfId="674" priority="74">
      <formula>kvartal &lt; 4</formula>
    </cfRule>
  </conditionalFormatting>
  <conditionalFormatting sqref="C123">
    <cfRule type="expression" dxfId="673" priority="73">
      <formula>kvartal &lt; 4</formula>
    </cfRule>
  </conditionalFormatting>
  <conditionalFormatting sqref="F70">
    <cfRule type="expression" dxfId="672" priority="72">
      <formula>kvartal &lt; 4</formula>
    </cfRule>
  </conditionalFormatting>
  <conditionalFormatting sqref="G70">
    <cfRule type="expression" dxfId="671" priority="71">
      <formula>kvartal &lt; 4</formula>
    </cfRule>
  </conditionalFormatting>
  <conditionalFormatting sqref="F71:G71">
    <cfRule type="expression" dxfId="670" priority="70">
      <formula>kvartal &lt; 4</formula>
    </cfRule>
  </conditionalFormatting>
  <conditionalFormatting sqref="F73:G74">
    <cfRule type="expression" dxfId="669" priority="69">
      <formula>kvartal &lt; 4</formula>
    </cfRule>
  </conditionalFormatting>
  <conditionalFormatting sqref="F81:G82">
    <cfRule type="expression" dxfId="668" priority="68">
      <formula>kvartal &lt; 4</formula>
    </cfRule>
  </conditionalFormatting>
  <conditionalFormatting sqref="F84:G85">
    <cfRule type="expression" dxfId="667" priority="67">
      <formula>kvartal &lt; 4</formula>
    </cfRule>
  </conditionalFormatting>
  <conditionalFormatting sqref="F91:G92">
    <cfRule type="expression" dxfId="666" priority="62">
      <formula>kvartal &lt; 4</formula>
    </cfRule>
  </conditionalFormatting>
  <conditionalFormatting sqref="F94:G95">
    <cfRule type="expression" dxfId="665" priority="61">
      <formula>kvartal &lt; 4</formula>
    </cfRule>
  </conditionalFormatting>
  <conditionalFormatting sqref="F102:G103">
    <cfRule type="expression" dxfId="664" priority="60">
      <formula>kvartal &lt; 4</formula>
    </cfRule>
  </conditionalFormatting>
  <conditionalFormatting sqref="F105:G106">
    <cfRule type="expression" dxfId="663" priority="59">
      <formula>kvartal &lt; 4</formula>
    </cfRule>
  </conditionalFormatting>
  <conditionalFormatting sqref="F115">
    <cfRule type="expression" dxfId="662" priority="58">
      <formula>kvartal &lt; 4</formula>
    </cfRule>
  </conditionalFormatting>
  <conditionalFormatting sqref="G115">
    <cfRule type="expression" dxfId="661" priority="57">
      <formula>kvartal &lt; 4</formula>
    </cfRule>
  </conditionalFormatting>
  <conditionalFormatting sqref="F123:G123">
    <cfRule type="expression" dxfId="660" priority="56">
      <formula>kvartal &lt; 4</formula>
    </cfRule>
  </conditionalFormatting>
  <conditionalFormatting sqref="F69:G69">
    <cfRule type="expression" dxfId="659" priority="55">
      <formula>kvartal &lt; 4</formula>
    </cfRule>
  </conditionalFormatting>
  <conditionalFormatting sqref="F72:G72">
    <cfRule type="expression" dxfId="658" priority="54">
      <formula>kvartal &lt; 4</formula>
    </cfRule>
  </conditionalFormatting>
  <conditionalFormatting sqref="F80:G80">
    <cfRule type="expression" dxfId="657" priority="53">
      <formula>kvartal &lt; 4</formula>
    </cfRule>
  </conditionalFormatting>
  <conditionalFormatting sqref="F83:G83">
    <cfRule type="expression" dxfId="656" priority="52">
      <formula>kvartal &lt; 4</formula>
    </cfRule>
  </conditionalFormatting>
  <conditionalFormatting sqref="F90:G90">
    <cfRule type="expression" dxfId="655" priority="46">
      <formula>kvartal &lt; 4</formula>
    </cfRule>
  </conditionalFormatting>
  <conditionalFormatting sqref="F93">
    <cfRule type="expression" dxfId="654" priority="45">
      <formula>kvartal &lt; 4</formula>
    </cfRule>
  </conditionalFormatting>
  <conditionalFormatting sqref="G93">
    <cfRule type="expression" dxfId="653" priority="44">
      <formula>kvartal &lt; 4</formula>
    </cfRule>
  </conditionalFormatting>
  <conditionalFormatting sqref="F101">
    <cfRule type="expression" dxfId="652" priority="43">
      <formula>kvartal &lt; 4</formula>
    </cfRule>
  </conditionalFormatting>
  <conditionalFormatting sqref="G101">
    <cfRule type="expression" dxfId="651" priority="42">
      <formula>kvartal &lt; 4</formula>
    </cfRule>
  </conditionalFormatting>
  <conditionalFormatting sqref="G104">
    <cfRule type="expression" dxfId="650" priority="41">
      <formula>kvartal &lt; 4</formula>
    </cfRule>
  </conditionalFormatting>
  <conditionalFormatting sqref="F104">
    <cfRule type="expression" dxfId="649" priority="40">
      <formula>kvartal &lt; 4</formula>
    </cfRule>
  </conditionalFormatting>
  <conditionalFormatting sqref="J69:K73">
    <cfRule type="expression" dxfId="648" priority="39">
      <formula>kvartal &lt; 4</formula>
    </cfRule>
  </conditionalFormatting>
  <conditionalFormatting sqref="J74:K74">
    <cfRule type="expression" dxfId="647" priority="38">
      <formula>kvartal &lt; 4</formula>
    </cfRule>
  </conditionalFormatting>
  <conditionalFormatting sqref="J80:K85">
    <cfRule type="expression" dxfId="646" priority="37">
      <formula>kvartal &lt; 4</formula>
    </cfRule>
  </conditionalFormatting>
  <conditionalFormatting sqref="J90:K95">
    <cfRule type="expression" dxfId="645" priority="34">
      <formula>kvartal &lt; 4</formula>
    </cfRule>
  </conditionalFormatting>
  <conditionalFormatting sqref="J101:K106">
    <cfRule type="expression" dxfId="644" priority="33">
      <formula>kvartal &lt; 4</formula>
    </cfRule>
  </conditionalFormatting>
  <conditionalFormatting sqref="J115:K115">
    <cfRule type="expression" dxfId="643" priority="32">
      <formula>kvartal &lt; 4</formula>
    </cfRule>
  </conditionalFormatting>
  <conditionalFormatting sqref="J123:K123">
    <cfRule type="expression" dxfId="642" priority="31">
      <formula>kvartal &lt; 4</formula>
    </cfRule>
  </conditionalFormatting>
  <conditionalFormatting sqref="A50:A52">
    <cfRule type="expression" dxfId="641" priority="12">
      <formula>kvartal &lt; 4</formula>
    </cfRule>
  </conditionalFormatting>
  <conditionalFormatting sqref="A69:A74">
    <cfRule type="expression" dxfId="640" priority="10">
      <formula>kvartal &lt; 4</formula>
    </cfRule>
  </conditionalFormatting>
  <conditionalFormatting sqref="A80:A85">
    <cfRule type="expression" dxfId="639" priority="9">
      <formula>kvartal &lt; 4</formula>
    </cfRule>
  </conditionalFormatting>
  <conditionalFormatting sqref="A90:A95">
    <cfRule type="expression" dxfId="638" priority="6">
      <formula>kvartal &lt; 4</formula>
    </cfRule>
  </conditionalFormatting>
  <conditionalFormatting sqref="A101:A106">
    <cfRule type="expression" dxfId="637" priority="5">
      <formula>kvartal &lt; 4</formula>
    </cfRule>
  </conditionalFormatting>
  <conditionalFormatting sqref="A115">
    <cfRule type="expression" dxfId="636" priority="4">
      <formula>kvartal &lt; 4</formula>
    </cfRule>
  </conditionalFormatting>
  <conditionalFormatting sqref="A123">
    <cfRule type="expression" dxfId="635" priority="3">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O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102</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c r="C7" s="310"/>
      <c r="D7" s="354"/>
      <c r="E7" s="11"/>
      <c r="F7" s="309"/>
      <c r="G7" s="310"/>
      <c r="H7" s="354"/>
      <c r="I7" s="160"/>
      <c r="J7" s="311"/>
      <c r="K7" s="312"/>
      <c r="L7" s="431"/>
      <c r="M7" s="11"/>
      <c r="O7" s="148"/>
    </row>
    <row r="8" spans="1:15" ht="15.75" x14ac:dyDescent="0.2">
      <c r="A8" s="21" t="s">
        <v>25</v>
      </c>
      <c r="B8" s="284"/>
      <c r="C8" s="285"/>
      <c r="D8" s="166"/>
      <c r="E8" s="27"/>
      <c r="F8" s="288"/>
      <c r="G8" s="289"/>
      <c r="H8" s="166"/>
      <c r="I8" s="176"/>
      <c r="J8" s="235"/>
      <c r="K8" s="290"/>
      <c r="L8" s="257"/>
      <c r="M8" s="27"/>
      <c r="O8" s="148"/>
    </row>
    <row r="9" spans="1:15" ht="15.75" x14ac:dyDescent="0.2">
      <c r="A9" s="21" t="s">
        <v>24</v>
      </c>
      <c r="B9" s="284"/>
      <c r="C9" s="285"/>
      <c r="D9" s="166"/>
      <c r="E9" s="27"/>
      <c r="F9" s="288"/>
      <c r="G9" s="289"/>
      <c r="H9" s="166"/>
      <c r="I9" s="176"/>
      <c r="J9" s="235"/>
      <c r="K9" s="290"/>
      <c r="L9" s="257"/>
      <c r="M9" s="27"/>
      <c r="O9" s="148"/>
    </row>
    <row r="10" spans="1:15" ht="15.75" x14ac:dyDescent="0.2">
      <c r="A10" s="13" t="s">
        <v>376</v>
      </c>
      <c r="B10" s="313"/>
      <c r="C10" s="314"/>
      <c r="D10" s="171"/>
      <c r="E10" s="11"/>
      <c r="F10" s="313"/>
      <c r="G10" s="314"/>
      <c r="H10" s="171"/>
      <c r="I10" s="160"/>
      <c r="J10" s="311"/>
      <c r="K10" s="312"/>
      <c r="L10" s="432"/>
      <c r="M10" s="11"/>
      <c r="O10" s="148"/>
    </row>
    <row r="11" spans="1:15" s="43" customFormat="1" ht="15.75" x14ac:dyDescent="0.2">
      <c r="A11" s="13" t="s">
        <v>377</v>
      </c>
      <c r="B11" s="313"/>
      <c r="C11" s="314"/>
      <c r="D11" s="171"/>
      <c r="E11" s="11"/>
      <c r="F11" s="313"/>
      <c r="G11" s="314"/>
      <c r="H11" s="171"/>
      <c r="I11" s="160"/>
      <c r="J11" s="311"/>
      <c r="K11" s="312"/>
      <c r="L11" s="432"/>
      <c r="M11" s="11"/>
      <c r="N11" s="143"/>
      <c r="O11" s="148"/>
    </row>
    <row r="12" spans="1:15" s="43" customFormat="1" ht="15.75" x14ac:dyDescent="0.2">
      <c r="A12" s="41" t="s">
        <v>378</v>
      </c>
      <c r="B12" s="315"/>
      <c r="C12" s="316"/>
      <c r="D12" s="169"/>
      <c r="E12" s="36"/>
      <c r="F12" s="315"/>
      <c r="G12" s="316"/>
      <c r="H12" s="169"/>
      <c r="I12" s="169"/>
      <c r="J12" s="317"/>
      <c r="K12" s="318"/>
      <c r="L12" s="433"/>
      <c r="M12" s="36"/>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c r="C22" s="319"/>
      <c r="D22" s="354"/>
      <c r="E22" s="11"/>
      <c r="F22" s="321"/>
      <c r="G22" s="321"/>
      <c r="H22" s="354"/>
      <c r="I22" s="11"/>
      <c r="J22" s="319"/>
      <c r="K22" s="319"/>
      <c r="L22" s="431"/>
      <c r="M22" s="24"/>
      <c r="O22" s="148"/>
    </row>
    <row r="23" spans="1:15" ht="15.75" x14ac:dyDescent="0.2">
      <c r="A23" s="619" t="s">
        <v>379</v>
      </c>
      <c r="B23" s="284"/>
      <c r="C23" s="284"/>
      <c r="D23" s="166"/>
      <c r="E23" s="11"/>
      <c r="F23" s="293"/>
      <c r="G23" s="293"/>
      <c r="H23" s="166"/>
      <c r="I23" s="421"/>
      <c r="J23" s="293"/>
      <c r="K23" s="293"/>
      <c r="L23" s="166"/>
      <c r="M23" s="23"/>
      <c r="O23" s="148"/>
    </row>
    <row r="24" spans="1:15" ht="15.75" x14ac:dyDescent="0.2">
      <c r="A24" s="619" t="s">
        <v>380</v>
      </c>
      <c r="B24" s="284"/>
      <c r="C24" s="284"/>
      <c r="D24" s="166"/>
      <c r="E24" s="11"/>
      <c r="F24" s="293"/>
      <c r="G24" s="293"/>
      <c r="H24" s="166"/>
      <c r="I24" s="421"/>
      <c r="J24" s="293"/>
      <c r="K24" s="293"/>
      <c r="L24" s="166"/>
      <c r="M24" s="23"/>
      <c r="O24" s="148"/>
    </row>
    <row r="25" spans="1:15" ht="15.75" x14ac:dyDescent="0.2">
      <c r="A25" s="619" t="s">
        <v>381</v>
      </c>
      <c r="B25" s="284"/>
      <c r="C25" s="284"/>
      <c r="D25" s="166"/>
      <c r="E25" s="11"/>
      <c r="F25" s="293"/>
      <c r="G25" s="293"/>
      <c r="H25" s="166"/>
      <c r="I25" s="421"/>
      <c r="J25" s="293"/>
      <c r="K25" s="293"/>
      <c r="L25" s="166"/>
      <c r="M25" s="23"/>
      <c r="O25" s="148"/>
    </row>
    <row r="26" spans="1:15" ht="15.75" x14ac:dyDescent="0.2">
      <c r="A26" s="619" t="s">
        <v>382</v>
      </c>
      <c r="B26" s="284"/>
      <c r="C26" s="284"/>
      <c r="D26" s="166"/>
      <c r="E26" s="11"/>
      <c r="F26" s="293"/>
      <c r="G26" s="293"/>
      <c r="H26" s="166"/>
      <c r="I26" s="421"/>
      <c r="J26" s="293"/>
      <c r="K26" s="293"/>
      <c r="L26" s="166"/>
      <c r="M26" s="23"/>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c r="C28" s="290"/>
      <c r="D28" s="166"/>
      <c r="E28" s="11"/>
      <c r="F28" s="235"/>
      <c r="G28" s="290"/>
      <c r="H28" s="166"/>
      <c r="I28" s="27"/>
      <c r="J28" s="44"/>
      <c r="K28" s="44"/>
      <c r="L28" s="257"/>
      <c r="M28" s="23"/>
      <c r="O28" s="148"/>
    </row>
    <row r="29" spans="1:15" s="3" customFormat="1" ht="15.75" x14ac:dyDescent="0.2">
      <c r="A29" s="13" t="s">
        <v>376</v>
      </c>
      <c r="B29" s="237"/>
      <c r="C29" s="237"/>
      <c r="D29" s="171"/>
      <c r="E29" s="11"/>
      <c r="F29" s="311"/>
      <c r="G29" s="311"/>
      <c r="H29" s="171"/>
      <c r="I29" s="11"/>
      <c r="J29" s="237"/>
      <c r="K29" s="237"/>
      <c r="L29" s="432"/>
      <c r="M29" s="24"/>
      <c r="N29" s="148"/>
      <c r="O29" s="148"/>
    </row>
    <row r="30" spans="1:15" s="3" customFormat="1" ht="15.75" x14ac:dyDescent="0.2">
      <c r="A30" s="619" t="s">
        <v>379</v>
      </c>
      <c r="B30" s="284"/>
      <c r="C30" s="284"/>
      <c r="D30" s="166"/>
      <c r="E30" s="11"/>
      <c r="F30" s="293"/>
      <c r="G30" s="293"/>
      <c r="H30" s="166"/>
      <c r="I30" s="421"/>
      <c r="J30" s="293"/>
      <c r="K30" s="293"/>
      <c r="L30" s="166"/>
      <c r="M30" s="23"/>
      <c r="N30" s="148"/>
      <c r="O30" s="148"/>
    </row>
    <row r="31" spans="1:15" s="3" customFormat="1" ht="15.75" x14ac:dyDescent="0.2">
      <c r="A31" s="619" t="s">
        <v>380</v>
      </c>
      <c r="B31" s="284"/>
      <c r="C31" s="284"/>
      <c r="D31" s="166"/>
      <c r="E31" s="11"/>
      <c r="F31" s="293"/>
      <c r="G31" s="293"/>
      <c r="H31" s="166"/>
      <c r="I31" s="421"/>
      <c r="J31" s="293"/>
      <c r="K31" s="293"/>
      <c r="L31" s="166"/>
      <c r="M31" s="23"/>
      <c r="N31" s="148"/>
      <c r="O31" s="148"/>
    </row>
    <row r="32" spans="1:15" ht="15.75" x14ac:dyDescent="0.2">
      <c r="A32" s="619" t="s">
        <v>381</v>
      </c>
      <c r="B32" s="284"/>
      <c r="C32" s="284"/>
      <c r="D32" s="166"/>
      <c r="E32" s="11"/>
      <c r="F32" s="293"/>
      <c r="G32" s="293"/>
      <c r="H32" s="166"/>
      <c r="I32" s="421"/>
      <c r="J32" s="293"/>
      <c r="K32" s="293"/>
      <c r="L32" s="166"/>
      <c r="M32" s="23"/>
      <c r="O32" s="148"/>
    </row>
    <row r="33" spans="1:15" ht="15.75" x14ac:dyDescent="0.2">
      <c r="A33" s="619" t="s">
        <v>382</v>
      </c>
      <c r="B33" s="284"/>
      <c r="C33" s="284"/>
      <c r="D33" s="166"/>
      <c r="E33" s="11"/>
      <c r="F33" s="293"/>
      <c r="G33" s="293"/>
      <c r="H33" s="166"/>
      <c r="I33" s="421"/>
      <c r="J33" s="293"/>
      <c r="K33" s="293"/>
      <c r="L33" s="166"/>
      <c r="M33" s="23"/>
      <c r="O33" s="148"/>
    </row>
    <row r="34" spans="1:15" ht="15.75" x14ac:dyDescent="0.2">
      <c r="A34" s="13" t="s">
        <v>377</v>
      </c>
      <c r="B34" s="237"/>
      <c r="C34" s="312"/>
      <c r="D34" s="171"/>
      <c r="E34" s="11"/>
      <c r="F34" s="311"/>
      <c r="G34" s="312"/>
      <c r="H34" s="171"/>
      <c r="I34" s="11"/>
      <c r="J34" s="237"/>
      <c r="K34" s="237"/>
      <c r="L34" s="432"/>
      <c r="M34" s="24"/>
      <c r="O34" s="148"/>
    </row>
    <row r="35" spans="1:15" ht="15.75" x14ac:dyDescent="0.2">
      <c r="A35" s="13" t="s">
        <v>378</v>
      </c>
      <c r="B35" s="237"/>
      <c r="C35" s="312"/>
      <c r="D35" s="171"/>
      <c r="E35" s="11"/>
      <c r="F35" s="311"/>
      <c r="G35" s="312"/>
      <c r="H35" s="171"/>
      <c r="I35" s="11"/>
      <c r="J35" s="237"/>
      <c r="K35" s="237"/>
      <c r="L35" s="432"/>
      <c r="M35" s="24"/>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v>24586</v>
      </c>
      <c r="C47" s="314">
        <v>24041.633999999998</v>
      </c>
      <c r="D47" s="431">
        <f t="shared" ref="D47:D48" si="0">IF(B47=0, "    ---- ", IF(ABS(ROUND(100/B47*C47-100,1))&lt;999,ROUND(100/B47*C47-100,1),IF(ROUND(100/B47*C47-100,1)&gt;999,999,-999)))</f>
        <v>-2.2000000000000002</v>
      </c>
      <c r="E47" s="11">
        <f>IFERROR(100/'Skjema total MA'!C47*C47,0)</f>
        <v>0.65155713467405674</v>
      </c>
      <c r="F47" s="145"/>
      <c r="G47" s="33"/>
      <c r="H47" s="159"/>
      <c r="I47" s="159"/>
      <c r="J47" s="37"/>
      <c r="K47" s="37"/>
      <c r="L47" s="159"/>
      <c r="M47" s="159"/>
      <c r="N47" s="148"/>
      <c r="O47" s="148"/>
    </row>
    <row r="48" spans="1:15" s="3" customFormat="1" ht="15.75" x14ac:dyDescent="0.2">
      <c r="A48" s="38" t="s">
        <v>387</v>
      </c>
      <c r="B48" s="284">
        <v>24586</v>
      </c>
      <c r="C48" s="285">
        <v>24041.633999999998</v>
      </c>
      <c r="D48" s="257">
        <f t="shared" si="0"/>
        <v>-2.2000000000000002</v>
      </c>
      <c r="E48" s="27">
        <f>IFERROR(100/'Skjema total MA'!C48*C48,0)</f>
        <v>1.1506493841028467</v>
      </c>
      <c r="F48" s="145"/>
      <c r="G48" s="33"/>
      <c r="H48" s="145"/>
      <c r="I48" s="145"/>
      <c r="J48" s="33"/>
      <c r="K48" s="33"/>
      <c r="L48" s="159"/>
      <c r="M48" s="159"/>
      <c r="N48" s="148"/>
      <c r="O48" s="148"/>
    </row>
    <row r="49" spans="1:15" s="3" customFormat="1" ht="15.75" x14ac:dyDescent="0.2">
      <c r="A49" s="38" t="s">
        <v>388</v>
      </c>
      <c r="B49" s="44"/>
      <c r="C49" s="290"/>
      <c r="D49" s="257"/>
      <c r="E49" s="27"/>
      <c r="F49" s="145"/>
      <c r="G49" s="33"/>
      <c r="H49" s="145"/>
      <c r="I49" s="145"/>
      <c r="J49" s="37"/>
      <c r="K49" s="37"/>
      <c r="L49" s="159"/>
      <c r="M49" s="159"/>
      <c r="N49" s="148"/>
      <c r="O49" s="148"/>
    </row>
    <row r="50" spans="1:15" s="3" customFormat="1" x14ac:dyDescent="0.2">
      <c r="A50" s="299" t="s">
        <v>6</v>
      </c>
      <c r="B50" s="293"/>
      <c r="C50" s="294"/>
      <c r="D50" s="257"/>
      <c r="E50" s="23"/>
      <c r="F50" s="145"/>
      <c r="G50" s="33"/>
      <c r="H50" s="145"/>
      <c r="I50" s="145"/>
      <c r="J50" s="33"/>
      <c r="K50" s="33"/>
      <c r="L50" s="159"/>
      <c r="M50" s="159"/>
      <c r="N50" s="148"/>
      <c r="O50" s="148"/>
    </row>
    <row r="51" spans="1:15" s="3" customFormat="1" x14ac:dyDescent="0.2">
      <c r="A51" s="299" t="s">
        <v>7</v>
      </c>
      <c r="B51" s="293"/>
      <c r="C51" s="294"/>
      <c r="D51" s="257"/>
      <c r="E51" s="23"/>
      <c r="F51" s="145"/>
      <c r="G51" s="33"/>
      <c r="H51" s="145"/>
      <c r="I51" s="145"/>
      <c r="J51" s="33"/>
      <c r="K51" s="33"/>
      <c r="L51" s="159"/>
      <c r="M51" s="159"/>
      <c r="N51" s="148"/>
      <c r="O51" s="148"/>
    </row>
    <row r="52" spans="1:15" s="3" customFormat="1" x14ac:dyDescent="0.2">
      <c r="A52" s="299" t="s">
        <v>8</v>
      </c>
      <c r="B52" s="293"/>
      <c r="C52" s="294"/>
      <c r="D52" s="257"/>
      <c r="E52" s="23"/>
      <c r="F52" s="145"/>
      <c r="G52" s="33"/>
      <c r="H52" s="145"/>
      <c r="I52" s="145"/>
      <c r="J52" s="33"/>
      <c r="K52" s="33"/>
      <c r="L52" s="159"/>
      <c r="M52" s="159"/>
      <c r="N52" s="148"/>
      <c r="O52" s="148"/>
    </row>
    <row r="53" spans="1:15" s="3" customFormat="1" ht="15.75" x14ac:dyDescent="0.2">
      <c r="A53" s="39" t="s">
        <v>389</v>
      </c>
      <c r="B53" s="313"/>
      <c r="C53" s="314"/>
      <c r="D53" s="432"/>
      <c r="E53" s="11"/>
      <c r="F53" s="145"/>
      <c r="G53" s="33"/>
      <c r="H53" s="145"/>
      <c r="I53" s="145"/>
      <c r="J53" s="33"/>
      <c r="K53" s="33"/>
      <c r="L53" s="159"/>
      <c r="M53" s="159"/>
      <c r="N53" s="148"/>
      <c r="O53" s="148"/>
    </row>
    <row r="54" spans="1:15" s="3" customFormat="1" ht="15.75" x14ac:dyDescent="0.2">
      <c r="A54" s="38" t="s">
        <v>387</v>
      </c>
      <c r="B54" s="284"/>
      <c r="C54" s="285"/>
      <c r="D54" s="257"/>
      <c r="E54" s="27"/>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c r="C56" s="314"/>
      <c r="D56" s="432"/>
      <c r="E56" s="11"/>
      <c r="F56" s="145"/>
      <c r="G56" s="33"/>
      <c r="H56" s="145"/>
      <c r="I56" s="145"/>
      <c r="J56" s="33"/>
      <c r="K56" s="33"/>
      <c r="L56" s="159"/>
      <c r="M56" s="159"/>
      <c r="N56" s="148"/>
      <c r="O56" s="148"/>
    </row>
    <row r="57" spans="1:15" s="3" customFormat="1" ht="15.75" x14ac:dyDescent="0.2">
      <c r="A57" s="38" t="s">
        <v>387</v>
      </c>
      <c r="B57" s="284"/>
      <c r="C57" s="285"/>
      <c r="D57" s="257"/>
      <c r="E57" s="27"/>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c r="C66" s="357"/>
      <c r="D66" s="354"/>
      <c r="E66" s="11"/>
      <c r="F66" s="356"/>
      <c r="G66" s="356"/>
      <c r="H66" s="354"/>
      <c r="I66" s="11"/>
      <c r="J66" s="312"/>
      <c r="K66" s="319"/>
      <c r="L66" s="432"/>
      <c r="M66" s="11"/>
      <c r="O66" s="148"/>
    </row>
    <row r="67" spans="1:15" x14ac:dyDescent="0.2">
      <c r="A67" s="423" t="s">
        <v>9</v>
      </c>
      <c r="B67" s="44"/>
      <c r="C67" s="145"/>
      <c r="D67" s="166"/>
      <c r="E67" s="27"/>
      <c r="F67" s="235"/>
      <c r="G67" s="145"/>
      <c r="H67" s="166"/>
      <c r="I67" s="27"/>
      <c r="J67" s="290"/>
      <c r="K67" s="44"/>
      <c r="L67" s="257"/>
      <c r="M67" s="27"/>
      <c r="O67" s="148"/>
    </row>
    <row r="68" spans="1:15" x14ac:dyDescent="0.2">
      <c r="A68" s="21" t="s">
        <v>10</v>
      </c>
      <c r="B68" s="295"/>
      <c r="C68" s="296"/>
      <c r="D68" s="166"/>
      <c r="E68" s="27"/>
      <c r="F68" s="295"/>
      <c r="G68" s="296"/>
      <c r="H68" s="166"/>
      <c r="I68" s="27"/>
      <c r="J68" s="290"/>
      <c r="K68" s="44"/>
      <c r="L68" s="257"/>
      <c r="M68" s="27"/>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c r="C77" s="235"/>
      <c r="D77" s="166"/>
      <c r="E77" s="27"/>
      <c r="F77" s="235"/>
      <c r="G77" s="145"/>
      <c r="H77" s="166"/>
      <c r="I77" s="27"/>
      <c r="J77" s="290"/>
      <c r="K77" s="44"/>
      <c r="L77" s="257"/>
      <c r="M77" s="27"/>
      <c r="O77" s="148"/>
    </row>
    <row r="78" spans="1:15" x14ac:dyDescent="0.2">
      <c r="A78" s="21" t="s">
        <v>9</v>
      </c>
      <c r="B78" s="235"/>
      <c r="C78" s="145"/>
      <c r="D78" s="166"/>
      <c r="E78" s="27"/>
      <c r="F78" s="235"/>
      <c r="G78" s="145"/>
      <c r="H78" s="166"/>
      <c r="I78" s="27"/>
      <c r="J78" s="290"/>
      <c r="K78" s="44"/>
      <c r="L78" s="257"/>
      <c r="M78" s="27"/>
      <c r="O78" s="148"/>
    </row>
    <row r="79" spans="1:15" x14ac:dyDescent="0.2">
      <c r="A79" s="21" t="s">
        <v>10</v>
      </c>
      <c r="B79" s="295"/>
      <c r="C79" s="296"/>
      <c r="D79" s="166"/>
      <c r="E79" s="27"/>
      <c r="F79" s="295"/>
      <c r="G79" s="296"/>
      <c r="H79" s="166"/>
      <c r="I79" s="27"/>
      <c r="J79" s="290"/>
      <c r="K79" s="44"/>
      <c r="L79" s="257"/>
      <c r="M79" s="27"/>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c r="G86" s="145"/>
      <c r="H86" s="166"/>
      <c r="I86" s="27"/>
      <c r="J86" s="290"/>
      <c r="K86" s="44"/>
      <c r="L86" s="257"/>
      <c r="M86" s="27"/>
      <c r="O86" s="148"/>
    </row>
    <row r="87" spans="1:15" ht="15.75" x14ac:dyDescent="0.2">
      <c r="A87" s="13" t="s">
        <v>376</v>
      </c>
      <c r="B87" s="357"/>
      <c r="C87" s="357"/>
      <c r="D87" s="171"/>
      <c r="E87" s="11"/>
      <c r="F87" s="356"/>
      <c r="G87" s="356"/>
      <c r="H87" s="171"/>
      <c r="I87" s="11"/>
      <c r="J87" s="312"/>
      <c r="K87" s="237"/>
      <c r="L87" s="432"/>
      <c r="M87" s="11"/>
      <c r="O87" s="148"/>
    </row>
    <row r="88" spans="1:15" x14ac:dyDescent="0.2">
      <c r="A88" s="21" t="s">
        <v>9</v>
      </c>
      <c r="B88" s="235"/>
      <c r="C88" s="145"/>
      <c r="D88" s="166"/>
      <c r="E88" s="27"/>
      <c r="F88" s="235"/>
      <c r="G88" s="145"/>
      <c r="H88" s="166"/>
      <c r="I88" s="27"/>
      <c r="J88" s="290"/>
      <c r="K88" s="44"/>
      <c r="L88" s="257"/>
      <c r="M88" s="27"/>
      <c r="O88" s="148"/>
    </row>
    <row r="89" spans="1:15" x14ac:dyDescent="0.2">
      <c r="A89" s="21" t="s">
        <v>10</v>
      </c>
      <c r="B89" s="235"/>
      <c r="C89" s="145"/>
      <c r="D89" s="166"/>
      <c r="E89" s="27"/>
      <c r="F89" s="235"/>
      <c r="G89" s="145"/>
      <c r="H89" s="166"/>
      <c r="I89" s="27"/>
      <c r="J89" s="290"/>
      <c r="K89" s="44"/>
      <c r="L89" s="257"/>
      <c r="M89" s="27"/>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c r="C98" s="235"/>
      <c r="D98" s="166"/>
      <c r="E98" s="27"/>
      <c r="F98" s="295"/>
      <c r="G98" s="295"/>
      <c r="H98" s="166"/>
      <c r="I98" s="27"/>
      <c r="J98" s="290"/>
      <c r="K98" s="44"/>
      <c r="L98" s="257"/>
      <c r="M98" s="27"/>
      <c r="O98" s="148"/>
    </row>
    <row r="99" spans="1:15" x14ac:dyDescent="0.2">
      <c r="A99" s="21" t="s">
        <v>9</v>
      </c>
      <c r="B99" s="295"/>
      <c r="C99" s="296"/>
      <c r="D99" s="166"/>
      <c r="E99" s="27"/>
      <c r="F99" s="235"/>
      <c r="G99" s="145"/>
      <c r="H99" s="166"/>
      <c r="I99" s="27"/>
      <c r="J99" s="290"/>
      <c r="K99" s="44"/>
      <c r="L99" s="257"/>
      <c r="M99" s="27"/>
      <c r="O99" s="148"/>
    </row>
    <row r="100" spans="1:15" x14ac:dyDescent="0.2">
      <c r="A100" s="21" t="s">
        <v>10</v>
      </c>
      <c r="B100" s="295"/>
      <c r="C100" s="296"/>
      <c r="D100" s="166"/>
      <c r="E100" s="27"/>
      <c r="F100" s="235"/>
      <c r="G100" s="235"/>
      <c r="H100" s="166"/>
      <c r="I100" s="27"/>
      <c r="J100" s="290"/>
      <c r="K100" s="44"/>
      <c r="L100" s="257"/>
      <c r="M100" s="27"/>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c r="G107" s="145"/>
      <c r="H107" s="166"/>
      <c r="I107" s="27"/>
      <c r="J107" s="290"/>
      <c r="K107" s="44"/>
      <c r="L107" s="257"/>
      <c r="M107" s="27"/>
      <c r="O107" s="148"/>
    </row>
    <row r="108" spans="1:15" ht="15.75" x14ac:dyDescent="0.2">
      <c r="A108" s="21" t="s">
        <v>395</v>
      </c>
      <c r="B108" s="235"/>
      <c r="C108" s="235"/>
      <c r="D108" s="166"/>
      <c r="E108" s="27"/>
      <c r="F108" s="235"/>
      <c r="G108" s="235"/>
      <c r="H108" s="166"/>
      <c r="I108" s="27"/>
      <c r="J108" s="290"/>
      <c r="K108" s="44"/>
      <c r="L108" s="257"/>
      <c r="M108" s="27"/>
      <c r="O108" s="148"/>
    </row>
    <row r="109" spans="1:15" ht="15.75" x14ac:dyDescent="0.2">
      <c r="A109" s="21" t="s">
        <v>396</v>
      </c>
      <c r="B109" s="235"/>
      <c r="C109" s="235"/>
      <c r="D109" s="166"/>
      <c r="E109" s="27"/>
      <c r="F109" s="235"/>
      <c r="G109" s="235"/>
      <c r="H109" s="166"/>
      <c r="I109" s="27"/>
      <c r="J109" s="290"/>
      <c r="K109" s="44"/>
      <c r="L109" s="257"/>
      <c r="M109" s="27"/>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c r="C111" s="159"/>
      <c r="D111" s="171"/>
      <c r="E111" s="11"/>
      <c r="F111" s="311"/>
      <c r="G111" s="159"/>
      <c r="H111" s="171"/>
      <c r="I111" s="11"/>
      <c r="J111" s="312"/>
      <c r="K111" s="237"/>
      <c r="L111" s="432"/>
      <c r="M111" s="11"/>
      <c r="O111" s="148"/>
    </row>
    <row r="112" spans="1:15" x14ac:dyDescent="0.2">
      <c r="A112" s="21" t="s">
        <v>9</v>
      </c>
      <c r="B112" s="235"/>
      <c r="C112" s="145"/>
      <c r="D112" s="166"/>
      <c r="E112" s="27"/>
      <c r="F112" s="235"/>
      <c r="G112" s="145"/>
      <c r="H112" s="166"/>
      <c r="I112" s="27"/>
      <c r="J112" s="290"/>
      <c r="K112" s="44"/>
      <c r="L112" s="257"/>
      <c r="M112" s="27"/>
      <c r="O112" s="148"/>
    </row>
    <row r="113" spans="1:15" x14ac:dyDescent="0.2">
      <c r="A113" s="21" t="s">
        <v>10</v>
      </c>
      <c r="B113" s="235"/>
      <c r="C113" s="145"/>
      <c r="D113" s="166"/>
      <c r="E113" s="27"/>
      <c r="F113" s="235"/>
      <c r="G113" s="145"/>
      <c r="H113" s="166"/>
      <c r="I113" s="27"/>
      <c r="J113" s="290"/>
      <c r="K113" s="44"/>
      <c r="L113" s="257"/>
      <c r="M113" s="27"/>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c r="C116" s="235"/>
      <c r="D116" s="166"/>
      <c r="E116" s="27"/>
      <c r="F116" s="235"/>
      <c r="G116" s="235"/>
      <c r="H116" s="166"/>
      <c r="I116" s="27"/>
      <c r="J116" s="290"/>
      <c r="K116" s="44"/>
      <c r="L116" s="257"/>
      <c r="M116" s="27"/>
      <c r="O116" s="148"/>
    </row>
    <row r="117" spans="1:15" ht="15.75" x14ac:dyDescent="0.2">
      <c r="A117" s="21" t="s">
        <v>399</v>
      </c>
      <c r="B117" s="235"/>
      <c r="C117" s="235"/>
      <c r="D117" s="166"/>
      <c r="E117" s="27"/>
      <c r="F117" s="235"/>
      <c r="G117" s="235"/>
      <c r="H117" s="166"/>
      <c r="I117" s="27"/>
      <c r="J117" s="290"/>
      <c r="K117" s="44"/>
      <c r="L117" s="257"/>
      <c r="M117" s="27"/>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c r="C119" s="159"/>
      <c r="D119" s="171"/>
      <c r="E119" s="11"/>
      <c r="F119" s="311"/>
      <c r="G119" s="159"/>
      <c r="H119" s="171"/>
      <c r="I119" s="11"/>
      <c r="J119" s="312"/>
      <c r="K119" s="237"/>
      <c r="L119" s="432"/>
      <c r="M119" s="11"/>
      <c r="O119" s="148"/>
    </row>
    <row r="120" spans="1:15" x14ac:dyDescent="0.2">
      <c r="A120" s="21" t="s">
        <v>9</v>
      </c>
      <c r="B120" s="235"/>
      <c r="C120" s="145"/>
      <c r="D120" s="166"/>
      <c r="E120" s="27"/>
      <c r="F120" s="235"/>
      <c r="G120" s="145"/>
      <c r="H120" s="166"/>
      <c r="I120" s="27"/>
      <c r="J120" s="290"/>
      <c r="K120" s="44"/>
      <c r="L120" s="257"/>
      <c r="M120" s="27"/>
      <c r="O120" s="148"/>
    </row>
    <row r="121" spans="1:15" x14ac:dyDescent="0.2">
      <c r="A121" s="21" t="s">
        <v>10</v>
      </c>
      <c r="B121" s="235"/>
      <c r="C121" s="145"/>
      <c r="D121" s="166"/>
      <c r="E121" s="27"/>
      <c r="F121" s="235"/>
      <c r="G121" s="145"/>
      <c r="H121" s="166"/>
      <c r="I121" s="27"/>
      <c r="J121" s="290"/>
      <c r="K121" s="44"/>
      <c r="L121" s="257"/>
      <c r="M121" s="27"/>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c r="G125" s="235"/>
      <c r="H125" s="166"/>
      <c r="I125" s="27"/>
      <c r="J125" s="290"/>
      <c r="K125" s="44"/>
      <c r="L125" s="257"/>
      <c r="M125" s="27"/>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v>3128293</v>
      </c>
      <c r="C134" s="312">
        <v>3979326.8810000001</v>
      </c>
      <c r="D134" s="354">
        <f t="shared" ref="D134:D136" si="1">IF(B134=0, "    ---- ", IF(ABS(ROUND(100/B134*C134-100,1))&lt;999,ROUND(100/B134*C134-100,1),IF(ROUND(100/B134*C134-100,1)&gt;999,999,-999)))</f>
        <v>27.2</v>
      </c>
      <c r="E134" s="11">
        <f>IFERROR(100/'Skjema total MA'!C134*C134,0)</f>
        <v>11.265680910205296</v>
      </c>
      <c r="F134" s="319"/>
      <c r="G134" s="320"/>
      <c r="H134" s="435"/>
      <c r="I134" s="24"/>
      <c r="J134" s="321">
        <f t="shared" ref="J134:K136" si="2">SUM(B134,F134)</f>
        <v>3128293</v>
      </c>
      <c r="K134" s="321">
        <f t="shared" si="2"/>
        <v>3979326.8810000001</v>
      </c>
      <c r="L134" s="431">
        <f t="shared" ref="L134:L136" si="3">IF(J134=0, "    ---- ", IF(ABS(ROUND(100/J134*K134-100,1))&lt;999,ROUND(100/J134*K134-100,1),IF(ROUND(100/J134*K134-100,1)&gt;999,999,-999)))</f>
        <v>27.2</v>
      </c>
      <c r="M134" s="11">
        <f>IFERROR(100/'Skjema total MA'!I134*K134,0)</f>
        <v>11.228543056111354</v>
      </c>
      <c r="N134" s="148"/>
      <c r="O134" s="148"/>
    </row>
    <row r="135" spans="1:15" s="3" customFormat="1" ht="15.75" x14ac:dyDescent="0.2">
      <c r="A135" s="13" t="s">
        <v>405</v>
      </c>
      <c r="B135" s="237">
        <v>69246198</v>
      </c>
      <c r="C135" s="312">
        <v>74741399.903610006</v>
      </c>
      <c r="D135" s="171">
        <f t="shared" si="1"/>
        <v>7.9</v>
      </c>
      <c r="E135" s="11">
        <f>IFERROR(100/'Skjema total MA'!C135*C135,0)</f>
        <v>13.666925771176379</v>
      </c>
      <c r="F135" s="237"/>
      <c r="G135" s="312"/>
      <c r="H135" s="436"/>
      <c r="I135" s="24"/>
      <c r="J135" s="311">
        <f t="shared" si="2"/>
        <v>69246198</v>
      </c>
      <c r="K135" s="311">
        <f t="shared" si="2"/>
        <v>74741399.903610006</v>
      </c>
      <c r="L135" s="432">
        <f t="shared" si="3"/>
        <v>7.9</v>
      </c>
      <c r="M135" s="11">
        <f>IFERROR(100/'Skjema total MA'!I135*K135,0)</f>
        <v>13.605257376999836</v>
      </c>
      <c r="N135" s="148"/>
      <c r="O135" s="148"/>
    </row>
    <row r="136" spans="1:15" s="3" customFormat="1" ht="15.75" x14ac:dyDescent="0.2">
      <c r="A136" s="13" t="s">
        <v>402</v>
      </c>
      <c r="B136" s="237">
        <v>0</v>
      </c>
      <c r="C136" s="312">
        <v>310238.70312999998</v>
      </c>
      <c r="D136" s="171" t="str">
        <f t="shared" si="1"/>
        <v xml:space="preserve">    ---- </v>
      </c>
      <c r="E136" s="11">
        <f>IFERROR(100/'Skjema total MA'!C136*C136,0)</f>
        <v>98.316349872042352</v>
      </c>
      <c r="F136" s="237"/>
      <c r="G136" s="312"/>
      <c r="H136" s="436"/>
      <c r="I136" s="24"/>
      <c r="J136" s="311">
        <f t="shared" si="2"/>
        <v>0</v>
      </c>
      <c r="K136" s="311">
        <f t="shared" si="2"/>
        <v>310238.70312999998</v>
      </c>
      <c r="L136" s="432" t="str">
        <f t="shared" si="3"/>
        <v xml:space="preserve">    ---- </v>
      </c>
      <c r="M136" s="11">
        <f>IFERROR(100/'Skjema total MA'!I136*K136,0)</f>
        <v>98.31971618866703</v>
      </c>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634" priority="132">
      <formula>kvartal &lt; 4</formula>
    </cfRule>
  </conditionalFormatting>
  <conditionalFormatting sqref="B69">
    <cfRule type="expression" dxfId="633" priority="100">
      <formula>kvartal &lt; 4</formula>
    </cfRule>
  </conditionalFormatting>
  <conditionalFormatting sqref="C69">
    <cfRule type="expression" dxfId="632" priority="99">
      <formula>kvartal &lt; 4</formula>
    </cfRule>
  </conditionalFormatting>
  <conditionalFormatting sqref="B72">
    <cfRule type="expression" dxfId="631" priority="98">
      <formula>kvartal &lt; 4</formula>
    </cfRule>
  </conditionalFormatting>
  <conditionalFormatting sqref="C72">
    <cfRule type="expression" dxfId="630" priority="97">
      <formula>kvartal &lt; 4</formula>
    </cfRule>
  </conditionalFormatting>
  <conditionalFormatting sqref="B80">
    <cfRule type="expression" dxfId="629" priority="96">
      <formula>kvartal &lt; 4</formula>
    </cfRule>
  </conditionalFormatting>
  <conditionalFormatting sqref="C80">
    <cfRule type="expression" dxfId="628" priority="95">
      <formula>kvartal &lt; 4</formula>
    </cfRule>
  </conditionalFormatting>
  <conditionalFormatting sqref="B83">
    <cfRule type="expression" dxfId="627" priority="94">
      <formula>kvartal &lt; 4</formula>
    </cfRule>
  </conditionalFormatting>
  <conditionalFormatting sqref="C83">
    <cfRule type="expression" dxfId="626" priority="93">
      <formula>kvartal &lt; 4</formula>
    </cfRule>
  </conditionalFormatting>
  <conditionalFormatting sqref="B90">
    <cfRule type="expression" dxfId="625" priority="84">
      <formula>kvartal &lt; 4</formula>
    </cfRule>
  </conditionalFormatting>
  <conditionalFormatting sqref="C90">
    <cfRule type="expression" dxfId="624" priority="83">
      <formula>kvartal &lt; 4</formula>
    </cfRule>
  </conditionalFormatting>
  <conditionalFormatting sqref="B93">
    <cfRule type="expression" dxfId="623" priority="82">
      <formula>kvartal &lt; 4</formula>
    </cfRule>
  </conditionalFormatting>
  <conditionalFormatting sqref="C93">
    <cfRule type="expression" dxfId="622" priority="81">
      <formula>kvartal &lt; 4</formula>
    </cfRule>
  </conditionalFormatting>
  <conditionalFormatting sqref="B101">
    <cfRule type="expression" dxfId="621" priority="80">
      <formula>kvartal &lt; 4</formula>
    </cfRule>
  </conditionalFormatting>
  <conditionalFormatting sqref="C101">
    <cfRule type="expression" dxfId="620" priority="79">
      <formula>kvartal &lt; 4</formula>
    </cfRule>
  </conditionalFormatting>
  <conditionalFormatting sqref="B104">
    <cfRule type="expression" dxfId="619" priority="78">
      <formula>kvartal &lt; 4</formula>
    </cfRule>
  </conditionalFormatting>
  <conditionalFormatting sqref="C104">
    <cfRule type="expression" dxfId="618" priority="77">
      <formula>kvartal &lt; 4</formula>
    </cfRule>
  </conditionalFormatting>
  <conditionalFormatting sqref="B115">
    <cfRule type="expression" dxfId="617" priority="76">
      <formula>kvartal &lt; 4</formula>
    </cfRule>
  </conditionalFormatting>
  <conditionalFormatting sqref="C115">
    <cfRule type="expression" dxfId="616" priority="75">
      <formula>kvartal &lt; 4</formula>
    </cfRule>
  </conditionalFormatting>
  <conditionalFormatting sqref="B123">
    <cfRule type="expression" dxfId="615" priority="74">
      <formula>kvartal &lt; 4</formula>
    </cfRule>
  </conditionalFormatting>
  <conditionalFormatting sqref="C123">
    <cfRule type="expression" dxfId="614" priority="73">
      <formula>kvartal &lt; 4</formula>
    </cfRule>
  </conditionalFormatting>
  <conditionalFormatting sqref="F70">
    <cfRule type="expression" dxfId="613" priority="72">
      <formula>kvartal &lt; 4</formula>
    </cfRule>
  </conditionalFormatting>
  <conditionalFormatting sqref="G70">
    <cfRule type="expression" dxfId="612" priority="71">
      <formula>kvartal &lt; 4</formula>
    </cfRule>
  </conditionalFormatting>
  <conditionalFormatting sqref="F71:G71">
    <cfRule type="expression" dxfId="611" priority="70">
      <formula>kvartal &lt; 4</formula>
    </cfRule>
  </conditionalFormatting>
  <conditionalFormatting sqref="F73:G74">
    <cfRule type="expression" dxfId="610" priority="69">
      <formula>kvartal &lt; 4</formula>
    </cfRule>
  </conditionalFormatting>
  <conditionalFormatting sqref="F81:G82">
    <cfRule type="expression" dxfId="609" priority="68">
      <formula>kvartal &lt; 4</formula>
    </cfRule>
  </conditionalFormatting>
  <conditionalFormatting sqref="F84:G85">
    <cfRule type="expression" dxfId="608" priority="67">
      <formula>kvartal &lt; 4</formula>
    </cfRule>
  </conditionalFormatting>
  <conditionalFormatting sqref="F91:G92">
    <cfRule type="expression" dxfId="607" priority="62">
      <formula>kvartal &lt; 4</formula>
    </cfRule>
  </conditionalFormatting>
  <conditionalFormatting sqref="F94:G95">
    <cfRule type="expression" dxfId="606" priority="61">
      <formula>kvartal &lt; 4</formula>
    </cfRule>
  </conditionalFormatting>
  <conditionalFormatting sqref="F102:G103">
    <cfRule type="expression" dxfId="605" priority="60">
      <formula>kvartal &lt; 4</formula>
    </cfRule>
  </conditionalFormatting>
  <conditionalFormatting sqref="F105:G106">
    <cfRule type="expression" dxfId="604" priority="59">
      <formula>kvartal &lt; 4</formula>
    </cfRule>
  </conditionalFormatting>
  <conditionalFormatting sqref="F115">
    <cfRule type="expression" dxfId="603" priority="58">
      <formula>kvartal &lt; 4</formula>
    </cfRule>
  </conditionalFormatting>
  <conditionalFormatting sqref="G115">
    <cfRule type="expression" dxfId="602" priority="57">
      <formula>kvartal &lt; 4</formula>
    </cfRule>
  </conditionalFormatting>
  <conditionalFormatting sqref="F123:G123">
    <cfRule type="expression" dxfId="601" priority="56">
      <formula>kvartal &lt; 4</formula>
    </cfRule>
  </conditionalFormatting>
  <conditionalFormatting sqref="F69:G69">
    <cfRule type="expression" dxfId="600" priority="55">
      <formula>kvartal &lt; 4</formula>
    </cfRule>
  </conditionalFormatting>
  <conditionalFormatting sqref="F72:G72">
    <cfRule type="expression" dxfId="599" priority="54">
      <formula>kvartal &lt; 4</formula>
    </cfRule>
  </conditionalFormatting>
  <conditionalFormatting sqref="F80:G80">
    <cfRule type="expression" dxfId="598" priority="53">
      <formula>kvartal &lt; 4</formula>
    </cfRule>
  </conditionalFormatting>
  <conditionalFormatting sqref="F83:G83">
    <cfRule type="expression" dxfId="597" priority="52">
      <formula>kvartal &lt; 4</formula>
    </cfRule>
  </conditionalFormatting>
  <conditionalFormatting sqref="F90:G90">
    <cfRule type="expression" dxfId="596" priority="46">
      <formula>kvartal &lt; 4</formula>
    </cfRule>
  </conditionalFormatting>
  <conditionalFormatting sqref="F93">
    <cfRule type="expression" dxfId="595" priority="45">
      <formula>kvartal &lt; 4</formula>
    </cfRule>
  </conditionalFormatting>
  <conditionalFormatting sqref="G93">
    <cfRule type="expression" dxfId="594" priority="44">
      <formula>kvartal &lt; 4</formula>
    </cfRule>
  </conditionalFormatting>
  <conditionalFormatting sqref="F101">
    <cfRule type="expression" dxfId="593" priority="43">
      <formula>kvartal &lt; 4</formula>
    </cfRule>
  </conditionalFormatting>
  <conditionalFormatting sqref="G101">
    <cfRule type="expression" dxfId="592" priority="42">
      <formula>kvartal &lt; 4</formula>
    </cfRule>
  </conditionalFormatting>
  <conditionalFormatting sqref="G104">
    <cfRule type="expression" dxfId="591" priority="41">
      <formula>kvartal &lt; 4</formula>
    </cfRule>
  </conditionalFormatting>
  <conditionalFormatting sqref="F104">
    <cfRule type="expression" dxfId="590" priority="40">
      <formula>kvartal &lt; 4</formula>
    </cfRule>
  </conditionalFormatting>
  <conditionalFormatting sqref="J69:K73">
    <cfRule type="expression" dxfId="589" priority="39">
      <formula>kvartal &lt; 4</formula>
    </cfRule>
  </conditionalFormatting>
  <conditionalFormatting sqref="J74:K74">
    <cfRule type="expression" dxfId="588" priority="38">
      <formula>kvartal &lt; 4</formula>
    </cfRule>
  </conditionalFormatting>
  <conditionalFormatting sqref="J80:K85">
    <cfRule type="expression" dxfId="587" priority="37">
      <formula>kvartal &lt; 4</formula>
    </cfRule>
  </conditionalFormatting>
  <conditionalFormatting sqref="J90:K95">
    <cfRule type="expression" dxfId="586" priority="34">
      <formula>kvartal &lt; 4</formula>
    </cfRule>
  </conditionalFormatting>
  <conditionalFormatting sqref="J101:K106">
    <cfRule type="expression" dxfId="585" priority="33">
      <formula>kvartal &lt; 4</formula>
    </cfRule>
  </conditionalFormatting>
  <conditionalFormatting sqref="J115:K115">
    <cfRule type="expression" dxfId="584" priority="32">
      <formula>kvartal &lt; 4</formula>
    </cfRule>
  </conditionalFormatting>
  <conditionalFormatting sqref="J123:K123">
    <cfRule type="expression" dxfId="583" priority="31">
      <formula>kvartal &lt; 4</formula>
    </cfRule>
  </conditionalFormatting>
  <conditionalFormatting sqref="A50:A52">
    <cfRule type="expression" dxfId="582" priority="12">
      <formula>kvartal &lt; 4</formula>
    </cfRule>
  </conditionalFormatting>
  <conditionalFormatting sqref="A69:A74">
    <cfRule type="expression" dxfId="581" priority="10">
      <formula>kvartal &lt; 4</formula>
    </cfRule>
  </conditionalFormatting>
  <conditionalFormatting sqref="A80:A85">
    <cfRule type="expression" dxfId="580" priority="9">
      <formula>kvartal &lt; 4</formula>
    </cfRule>
  </conditionalFormatting>
  <conditionalFormatting sqref="A90:A95">
    <cfRule type="expression" dxfId="579" priority="6">
      <formula>kvartal &lt; 4</formula>
    </cfRule>
  </conditionalFormatting>
  <conditionalFormatting sqref="A101:A106">
    <cfRule type="expression" dxfId="578" priority="5">
      <formula>kvartal &lt; 4</formula>
    </cfRule>
  </conditionalFormatting>
  <conditionalFormatting sqref="A115">
    <cfRule type="expression" dxfId="577" priority="4">
      <formula>kvartal &lt; 4</formula>
    </cfRule>
  </conditionalFormatting>
  <conditionalFormatting sqref="A123">
    <cfRule type="expression" dxfId="576" priority="3">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618" t="s">
        <v>375</v>
      </c>
      <c r="D1" s="26"/>
      <c r="E1" s="26"/>
      <c r="F1" s="26"/>
      <c r="G1" s="26"/>
      <c r="H1" s="26"/>
      <c r="I1" s="26"/>
      <c r="J1" s="26"/>
      <c r="K1" s="26"/>
      <c r="L1" s="26"/>
      <c r="M1" s="26"/>
      <c r="O1" s="430"/>
    </row>
    <row r="2" spans="1:15" ht="15.75" x14ac:dyDescent="0.25">
      <c r="A2" s="165" t="s">
        <v>28</v>
      </c>
      <c r="B2" s="731"/>
      <c r="C2" s="731"/>
      <c r="D2" s="731"/>
      <c r="E2" s="615"/>
      <c r="F2" s="731"/>
      <c r="G2" s="731"/>
      <c r="H2" s="731"/>
      <c r="I2" s="615"/>
      <c r="J2" s="731"/>
      <c r="K2" s="731"/>
      <c r="L2" s="731"/>
      <c r="M2" s="615"/>
      <c r="O2" s="148"/>
    </row>
    <row r="3" spans="1:15" ht="15.75" x14ac:dyDescent="0.25">
      <c r="A3" s="163"/>
      <c r="B3" s="615"/>
      <c r="C3" s="615"/>
      <c r="D3" s="615"/>
      <c r="E3" s="615"/>
      <c r="F3" s="615"/>
      <c r="G3" s="615"/>
      <c r="H3" s="615"/>
      <c r="I3" s="615"/>
      <c r="J3" s="615"/>
      <c r="K3" s="615"/>
      <c r="L3" s="615"/>
      <c r="M3" s="615"/>
      <c r="O3" s="148"/>
    </row>
    <row r="4" spans="1:15" x14ac:dyDescent="0.2">
      <c r="A4" s="144"/>
      <c r="B4" s="726" t="s">
        <v>0</v>
      </c>
      <c r="C4" s="727"/>
      <c r="D4" s="727"/>
      <c r="E4" s="613"/>
      <c r="F4" s="726" t="s">
        <v>1</v>
      </c>
      <c r="G4" s="727"/>
      <c r="H4" s="727"/>
      <c r="I4" s="614"/>
      <c r="J4" s="726" t="s">
        <v>2</v>
      </c>
      <c r="K4" s="727"/>
      <c r="L4" s="727"/>
      <c r="M4" s="614"/>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c r="C7" s="310"/>
      <c r="D7" s="354"/>
      <c r="E7" s="11"/>
      <c r="F7" s="309"/>
      <c r="G7" s="310"/>
      <c r="H7" s="354"/>
      <c r="I7" s="160"/>
      <c r="J7" s="311"/>
      <c r="K7" s="312"/>
      <c r="L7" s="431"/>
      <c r="M7" s="11"/>
      <c r="O7" s="148"/>
    </row>
    <row r="8" spans="1:15" ht="15.75" x14ac:dyDescent="0.2">
      <c r="A8" s="21" t="s">
        <v>25</v>
      </c>
      <c r="B8" s="284"/>
      <c r="C8" s="285"/>
      <c r="D8" s="166"/>
      <c r="E8" s="27"/>
      <c r="F8" s="288"/>
      <c r="G8" s="289"/>
      <c r="H8" s="166"/>
      <c r="I8" s="176"/>
      <c r="J8" s="235"/>
      <c r="K8" s="290"/>
      <c r="L8" s="257"/>
      <c r="M8" s="27"/>
      <c r="O8" s="148"/>
    </row>
    <row r="9" spans="1:15" ht="15.75" x14ac:dyDescent="0.2">
      <c r="A9" s="21" t="s">
        <v>24</v>
      </c>
      <c r="B9" s="284"/>
      <c r="C9" s="285"/>
      <c r="D9" s="166"/>
      <c r="E9" s="27"/>
      <c r="F9" s="288"/>
      <c r="G9" s="289"/>
      <c r="H9" s="166"/>
      <c r="I9" s="176"/>
      <c r="J9" s="235"/>
      <c r="K9" s="290"/>
      <c r="L9" s="257"/>
      <c r="M9" s="27"/>
      <c r="O9" s="148"/>
    </row>
    <row r="10" spans="1:15" ht="15.75" x14ac:dyDescent="0.2">
      <c r="A10" s="13" t="s">
        <v>376</v>
      </c>
      <c r="B10" s="313"/>
      <c r="C10" s="314"/>
      <c r="D10" s="171"/>
      <c r="E10" s="11"/>
      <c r="F10" s="313"/>
      <c r="G10" s="314"/>
      <c r="H10" s="171"/>
      <c r="I10" s="160"/>
      <c r="J10" s="311"/>
      <c r="K10" s="312"/>
      <c r="L10" s="432"/>
      <c r="M10" s="11"/>
      <c r="O10" s="148"/>
    </row>
    <row r="11" spans="1:15" s="43" customFormat="1" ht="15.75" x14ac:dyDescent="0.2">
      <c r="A11" s="13" t="s">
        <v>377</v>
      </c>
      <c r="B11" s="313"/>
      <c r="C11" s="314"/>
      <c r="D11" s="171"/>
      <c r="E11" s="11"/>
      <c r="F11" s="313"/>
      <c r="G11" s="314"/>
      <c r="H11" s="171"/>
      <c r="I11" s="160"/>
      <c r="J11" s="311"/>
      <c r="K11" s="312"/>
      <c r="L11" s="432"/>
      <c r="M11" s="11"/>
      <c r="N11" s="143"/>
      <c r="O11" s="148"/>
    </row>
    <row r="12" spans="1:15" s="43" customFormat="1" ht="15.75" x14ac:dyDescent="0.2">
      <c r="A12" s="41" t="s">
        <v>378</v>
      </c>
      <c r="B12" s="315"/>
      <c r="C12" s="316"/>
      <c r="D12" s="169"/>
      <c r="E12" s="36"/>
      <c r="F12" s="315"/>
      <c r="G12" s="316"/>
      <c r="H12" s="169"/>
      <c r="I12" s="169"/>
      <c r="J12" s="317"/>
      <c r="K12" s="318"/>
      <c r="L12" s="433"/>
      <c r="M12" s="36"/>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615"/>
      <c r="F18" s="729"/>
      <c r="G18" s="729"/>
      <c r="H18" s="729"/>
      <c r="I18" s="615"/>
      <c r="J18" s="729"/>
      <c r="K18" s="729"/>
      <c r="L18" s="729"/>
      <c r="M18" s="615"/>
      <c r="O18" s="148"/>
    </row>
    <row r="19" spans="1:15" x14ac:dyDescent="0.2">
      <c r="A19" s="144"/>
      <c r="B19" s="726" t="s">
        <v>0</v>
      </c>
      <c r="C19" s="727"/>
      <c r="D19" s="727"/>
      <c r="E19" s="613"/>
      <c r="F19" s="726" t="s">
        <v>1</v>
      </c>
      <c r="G19" s="727"/>
      <c r="H19" s="727"/>
      <c r="I19" s="614"/>
      <c r="J19" s="726" t="s">
        <v>2</v>
      </c>
      <c r="K19" s="727"/>
      <c r="L19" s="727"/>
      <c r="M19" s="614"/>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c r="C22" s="319"/>
      <c r="D22" s="354"/>
      <c r="E22" s="11"/>
      <c r="F22" s="321"/>
      <c r="G22" s="321"/>
      <c r="H22" s="354"/>
      <c r="I22" s="11"/>
      <c r="J22" s="319"/>
      <c r="K22" s="319"/>
      <c r="L22" s="431"/>
      <c r="M22" s="24"/>
      <c r="O22" s="148"/>
    </row>
    <row r="23" spans="1:15" ht="15.75" x14ac:dyDescent="0.2">
      <c r="A23" s="619" t="s">
        <v>379</v>
      </c>
      <c r="B23" s="284"/>
      <c r="C23" s="284"/>
      <c r="D23" s="166"/>
      <c r="E23" s="11"/>
      <c r="F23" s="293"/>
      <c r="G23" s="293"/>
      <c r="H23" s="166"/>
      <c r="I23" s="421"/>
      <c r="J23" s="293"/>
      <c r="K23" s="293"/>
      <c r="L23" s="166"/>
      <c r="M23" s="23"/>
      <c r="O23" s="148"/>
    </row>
    <row r="24" spans="1:15" ht="15.75" x14ac:dyDescent="0.2">
      <c r="A24" s="619" t="s">
        <v>380</v>
      </c>
      <c r="B24" s="284"/>
      <c r="C24" s="284"/>
      <c r="D24" s="166"/>
      <c r="E24" s="11"/>
      <c r="F24" s="293"/>
      <c r="G24" s="293"/>
      <c r="H24" s="166"/>
      <c r="I24" s="421"/>
      <c r="J24" s="293"/>
      <c r="K24" s="293"/>
      <c r="L24" s="166"/>
      <c r="M24" s="23"/>
      <c r="O24" s="148"/>
    </row>
    <row r="25" spans="1:15" ht="15.75" x14ac:dyDescent="0.2">
      <c r="A25" s="619" t="s">
        <v>381</v>
      </c>
      <c r="B25" s="284"/>
      <c r="C25" s="284"/>
      <c r="D25" s="166"/>
      <c r="E25" s="11"/>
      <c r="F25" s="293"/>
      <c r="G25" s="293"/>
      <c r="H25" s="166"/>
      <c r="I25" s="421"/>
      <c r="J25" s="293"/>
      <c r="K25" s="293"/>
      <c r="L25" s="166"/>
      <c r="M25" s="23"/>
      <c r="O25" s="148"/>
    </row>
    <row r="26" spans="1:15" ht="15.75" x14ac:dyDescent="0.2">
      <c r="A26" s="619" t="s">
        <v>382</v>
      </c>
      <c r="B26" s="284"/>
      <c r="C26" s="284"/>
      <c r="D26" s="166"/>
      <c r="E26" s="11"/>
      <c r="F26" s="293"/>
      <c r="G26" s="293"/>
      <c r="H26" s="166"/>
      <c r="I26" s="421"/>
      <c r="J26" s="293"/>
      <c r="K26" s="293"/>
      <c r="L26" s="166"/>
      <c r="M26" s="23"/>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c r="C28" s="290"/>
      <c r="D28" s="166"/>
      <c r="E28" s="11"/>
      <c r="F28" s="235"/>
      <c r="G28" s="290"/>
      <c r="H28" s="166"/>
      <c r="I28" s="27"/>
      <c r="J28" s="44"/>
      <c r="K28" s="44"/>
      <c r="L28" s="257"/>
      <c r="M28" s="23"/>
      <c r="O28" s="148"/>
    </row>
    <row r="29" spans="1:15" s="3" customFormat="1" ht="15.75" x14ac:dyDescent="0.2">
      <c r="A29" s="13" t="s">
        <v>376</v>
      </c>
      <c r="B29" s="237"/>
      <c r="C29" s="237"/>
      <c r="D29" s="171"/>
      <c r="E29" s="11"/>
      <c r="F29" s="311"/>
      <c r="G29" s="311"/>
      <c r="H29" s="171"/>
      <c r="I29" s="11"/>
      <c r="J29" s="237"/>
      <c r="K29" s="237"/>
      <c r="L29" s="432"/>
      <c r="M29" s="24"/>
      <c r="N29" s="148"/>
      <c r="O29" s="148"/>
    </row>
    <row r="30" spans="1:15" s="3" customFormat="1" ht="15.75" x14ac:dyDescent="0.2">
      <c r="A30" s="619" t="s">
        <v>379</v>
      </c>
      <c r="B30" s="284"/>
      <c r="C30" s="284"/>
      <c r="D30" s="166"/>
      <c r="E30" s="11"/>
      <c r="F30" s="293"/>
      <c r="G30" s="293"/>
      <c r="H30" s="166"/>
      <c r="I30" s="421"/>
      <c r="J30" s="293"/>
      <c r="K30" s="293"/>
      <c r="L30" s="166"/>
      <c r="M30" s="23"/>
      <c r="N30" s="148"/>
      <c r="O30" s="148"/>
    </row>
    <row r="31" spans="1:15" s="3" customFormat="1" ht="15.75" x14ac:dyDescent="0.2">
      <c r="A31" s="619" t="s">
        <v>380</v>
      </c>
      <c r="B31" s="284"/>
      <c r="C31" s="284"/>
      <c r="D31" s="166"/>
      <c r="E31" s="11"/>
      <c r="F31" s="293"/>
      <c r="G31" s="293"/>
      <c r="H31" s="166"/>
      <c r="I31" s="421"/>
      <c r="J31" s="293"/>
      <c r="K31" s="293"/>
      <c r="L31" s="166"/>
      <c r="M31" s="23"/>
      <c r="N31" s="148"/>
      <c r="O31" s="148"/>
    </row>
    <row r="32" spans="1:15" ht="15.75" x14ac:dyDescent="0.2">
      <c r="A32" s="619" t="s">
        <v>381</v>
      </c>
      <c r="B32" s="284"/>
      <c r="C32" s="284"/>
      <c r="D32" s="166"/>
      <c r="E32" s="11"/>
      <c r="F32" s="293"/>
      <c r="G32" s="293"/>
      <c r="H32" s="166"/>
      <c r="I32" s="421"/>
      <c r="J32" s="293"/>
      <c r="K32" s="293"/>
      <c r="L32" s="166"/>
      <c r="M32" s="23"/>
      <c r="O32" s="148"/>
    </row>
    <row r="33" spans="1:15" ht="15.75" x14ac:dyDescent="0.2">
      <c r="A33" s="619" t="s">
        <v>382</v>
      </c>
      <c r="B33" s="284"/>
      <c r="C33" s="284"/>
      <c r="D33" s="166"/>
      <c r="E33" s="11"/>
      <c r="F33" s="293"/>
      <c r="G33" s="293"/>
      <c r="H33" s="166"/>
      <c r="I33" s="421"/>
      <c r="J33" s="293"/>
      <c r="K33" s="293"/>
      <c r="L33" s="166"/>
      <c r="M33" s="23"/>
      <c r="O33" s="148"/>
    </row>
    <row r="34" spans="1:15" ht="15.75" x14ac:dyDescent="0.2">
      <c r="A34" s="13" t="s">
        <v>377</v>
      </c>
      <c r="B34" s="237"/>
      <c r="C34" s="312"/>
      <c r="D34" s="171"/>
      <c r="E34" s="11"/>
      <c r="F34" s="311"/>
      <c r="G34" s="312"/>
      <c r="H34" s="171"/>
      <c r="I34" s="11"/>
      <c r="J34" s="237"/>
      <c r="K34" s="237"/>
      <c r="L34" s="432"/>
      <c r="M34" s="24"/>
      <c r="O34" s="148"/>
    </row>
    <row r="35" spans="1:15" ht="15.75" x14ac:dyDescent="0.2">
      <c r="A35" s="13" t="s">
        <v>378</v>
      </c>
      <c r="B35" s="237"/>
      <c r="C35" s="312"/>
      <c r="D35" s="171"/>
      <c r="E35" s="11"/>
      <c r="F35" s="311"/>
      <c r="G35" s="312"/>
      <c r="H35" s="171"/>
      <c r="I35" s="11"/>
      <c r="J35" s="237"/>
      <c r="K35" s="237"/>
      <c r="L35" s="432"/>
      <c r="M35" s="24"/>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617"/>
      <c r="O40" s="148"/>
    </row>
    <row r="41" spans="1:15" x14ac:dyDescent="0.2">
      <c r="A41" s="155"/>
      <c r="O41" s="148"/>
    </row>
    <row r="42" spans="1:15" ht="15.75" x14ac:dyDescent="0.25">
      <c r="A42" s="147" t="s">
        <v>284</v>
      </c>
      <c r="B42" s="731"/>
      <c r="C42" s="731"/>
      <c r="D42" s="731"/>
      <c r="E42" s="615"/>
      <c r="F42" s="732"/>
      <c r="G42" s="732"/>
      <c r="H42" s="732"/>
      <c r="I42" s="617"/>
      <c r="J42" s="732"/>
      <c r="K42" s="732"/>
      <c r="L42" s="732"/>
      <c r="M42" s="617"/>
      <c r="O42" s="148"/>
    </row>
    <row r="43" spans="1:15" ht="15.75" x14ac:dyDescent="0.25">
      <c r="A43" s="163"/>
      <c r="B43" s="616"/>
      <c r="C43" s="616"/>
      <c r="D43" s="616"/>
      <c r="E43" s="616"/>
      <c r="F43" s="617"/>
      <c r="G43" s="617"/>
      <c r="H43" s="617"/>
      <c r="I43" s="617"/>
      <c r="J43" s="617"/>
      <c r="K43" s="617"/>
      <c r="L43" s="617"/>
      <c r="M43" s="617"/>
      <c r="O43" s="148"/>
    </row>
    <row r="44" spans="1:15" ht="15.75" x14ac:dyDescent="0.25">
      <c r="A44" s="250"/>
      <c r="B44" s="726" t="s">
        <v>0</v>
      </c>
      <c r="C44" s="727"/>
      <c r="D44" s="727"/>
      <c r="E44" s="245"/>
      <c r="F44" s="617"/>
      <c r="G44" s="617"/>
      <c r="H44" s="617"/>
      <c r="I44" s="617"/>
      <c r="J44" s="617"/>
      <c r="K44" s="617"/>
      <c r="L44" s="617"/>
      <c r="M44" s="617"/>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c r="C47" s="314">
        <v>299297.71739252901</v>
      </c>
      <c r="D47" s="431" t="str">
        <f t="shared" ref="D47:D48" si="0">IF(B47=0, "    ---- ", IF(ABS(ROUND(100/B47*C47-100,1))&lt;999,ROUND(100/B47*C47-100,1),IF(ROUND(100/B47*C47-100,1)&gt;999,999,-999)))</f>
        <v xml:space="preserve">    ---- </v>
      </c>
      <c r="E47" s="11">
        <f>IFERROR(100/'Skjema total MA'!C47*C47,0)</f>
        <v>8.1113273398456123</v>
      </c>
      <c r="F47" s="145"/>
      <c r="G47" s="33"/>
      <c r="H47" s="159"/>
      <c r="I47" s="159"/>
      <c r="J47" s="37"/>
      <c r="K47" s="37"/>
      <c r="L47" s="159"/>
      <c r="M47" s="159"/>
      <c r="N47" s="148"/>
      <c r="O47" s="148"/>
    </row>
    <row r="48" spans="1:15" s="3" customFormat="1" ht="15.75" x14ac:dyDescent="0.2">
      <c r="A48" s="38" t="s">
        <v>387</v>
      </c>
      <c r="B48" s="284"/>
      <c r="C48" s="285">
        <v>299297.71739252901</v>
      </c>
      <c r="D48" s="257" t="str">
        <f t="shared" si="0"/>
        <v xml:space="preserve">    ---- </v>
      </c>
      <c r="E48" s="27">
        <f>IFERROR(100/'Skjema total MA'!C48*C48,0)</f>
        <v>14.324597661752167</v>
      </c>
      <c r="F48" s="145"/>
      <c r="G48" s="33"/>
      <c r="H48" s="145"/>
      <c r="I48" s="145"/>
      <c r="J48" s="33"/>
      <c r="K48" s="33"/>
      <c r="L48" s="159"/>
      <c r="M48" s="159"/>
      <c r="N48" s="148"/>
      <c r="O48" s="148"/>
    </row>
    <row r="49" spans="1:15" s="3" customFormat="1" ht="15.75" x14ac:dyDescent="0.2">
      <c r="A49" s="38" t="s">
        <v>388</v>
      </c>
      <c r="B49" s="44"/>
      <c r="C49" s="290"/>
      <c r="D49" s="257"/>
      <c r="E49" s="27"/>
      <c r="F49" s="145"/>
      <c r="G49" s="33"/>
      <c r="H49" s="145"/>
      <c r="I49" s="145"/>
      <c r="J49" s="37"/>
      <c r="K49" s="37"/>
      <c r="L49" s="159"/>
      <c r="M49" s="159"/>
      <c r="N49" s="148"/>
      <c r="O49" s="148"/>
    </row>
    <row r="50" spans="1:15" s="3" customFormat="1" x14ac:dyDescent="0.2">
      <c r="A50" s="299" t="s">
        <v>6</v>
      </c>
      <c r="B50" s="293"/>
      <c r="C50" s="294"/>
      <c r="D50" s="257"/>
      <c r="E50" s="23"/>
      <c r="F50" s="145"/>
      <c r="G50" s="33"/>
      <c r="H50" s="145"/>
      <c r="I50" s="145"/>
      <c r="J50" s="33"/>
      <c r="K50" s="33"/>
      <c r="L50" s="159"/>
      <c r="M50" s="159"/>
      <c r="N50" s="148"/>
      <c r="O50" s="148"/>
    </row>
    <row r="51" spans="1:15" s="3" customFormat="1" x14ac:dyDescent="0.2">
      <c r="A51" s="299" t="s">
        <v>7</v>
      </c>
      <c r="B51" s="293"/>
      <c r="C51" s="294"/>
      <c r="D51" s="257"/>
      <c r="E51" s="23"/>
      <c r="F51" s="145"/>
      <c r="G51" s="33"/>
      <c r="H51" s="145"/>
      <c r="I51" s="145"/>
      <c r="J51" s="33"/>
      <c r="K51" s="33"/>
      <c r="L51" s="159"/>
      <c r="M51" s="159"/>
      <c r="N51" s="148"/>
      <c r="O51" s="148"/>
    </row>
    <row r="52" spans="1:15" s="3" customFormat="1" x14ac:dyDescent="0.2">
      <c r="A52" s="299" t="s">
        <v>8</v>
      </c>
      <c r="B52" s="293"/>
      <c r="C52" s="294"/>
      <c r="D52" s="257"/>
      <c r="E52" s="23"/>
      <c r="F52" s="145"/>
      <c r="G52" s="33"/>
      <c r="H52" s="145"/>
      <c r="I52" s="145"/>
      <c r="J52" s="33"/>
      <c r="K52" s="33"/>
      <c r="L52" s="159"/>
      <c r="M52" s="159"/>
      <c r="N52" s="148"/>
      <c r="O52" s="148"/>
    </row>
    <row r="53" spans="1:15" s="3" customFormat="1" ht="15.75" x14ac:dyDescent="0.2">
      <c r="A53" s="39" t="s">
        <v>389</v>
      </c>
      <c r="B53" s="313"/>
      <c r="C53" s="314"/>
      <c r="D53" s="432"/>
      <c r="E53" s="11"/>
      <c r="F53" s="145"/>
      <c r="G53" s="33"/>
      <c r="H53" s="145"/>
      <c r="I53" s="145"/>
      <c r="J53" s="33"/>
      <c r="K53" s="33"/>
      <c r="L53" s="159"/>
      <c r="M53" s="159"/>
      <c r="N53" s="148"/>
      <c r="O53" s="148"/>
    </row>
    <row r="54" spans="1:15" s="3" customFormat="1" ht="15.75" x14ac:dyDescent="0.2">
      <c r="A54" s="38" t="s">
        <v>387</v>
      </c>
      <c r="B54" s="284"/>
      <c r="C54" s="285"/>
      <c r="D54" s="257"/>
      <c r="E54" s="27"/>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c r="C56" s="314"/>
      <c r="D56" s="432"/>
      <c r="E56" s="11"/>
      <c r="F56" s="145"/>
      <c r="G56" s="33"/>
      <c r="H56" s="145"/>
      <c r="I56" s="145"/>
      <c r="J56" s="33"/>
      <c r="K56" s="33"/>
      <c r="L56" s="159"/>
      <c r="M56" s="159"/>
      <c r="N56" s="148"/>
      <c r="O56" s="148"/>
    </row>
    <row r="57" spans="1:15" s="3" customFormat="1" ht="15.75" x14ac:dyDescent="0.2">
      <c r="A57" s="38" t="s">
        <v>387</v>
      </c>
      <c r="B57" s="284"/>
      <c r="C57" s="285"/>
      <c r="D57" s="257"/>
      <c r="E57" s="27"/>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615"/>
      <c r="F62" s="729"/>
      <c r="G62" s="729"/>
      <c r="H62" s="729"/>
      <c r="I62" s="615"/>
      <c r="J62" s="729"/>
      <c r="K62" s="729"/>
      <c r="L62" s="729"/>
      <c r="M62" s="615"/>
      <c r="O62" s="148"/>
    </row>
    <row r="63" spans="1:15" x14ac:dyDescent="0.2">
      <c r="A63" s="144"/>
      <c r="B63" s="726" t="s">
        <v>0</v>
      </c>
      <c r="C63" s="727"/>
      <c r="D63" s="728"/>
      <c r="E63" s="612"/>
      <c r="F63" s="727" t="s">
        <v>1</v>
      </c>
      <c r="G63" s="727"/>
      <c r="H63" s="727"/>
      <c r="I63" s="614"/>
      <c r="J63" s="726" t="s">
        <v>2</v>
      </c>
      <c r="K63" s="727"/>
      <c r="L63" s="727"/>
      <c r="M63" s="614"/>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c r="C66" s="357"/>
      <c r="D66" s="354"/>
      <c r="E66" s="11"/>
      <c r="F66" s="356"/>
      <c r="G66" s="356"/>
      <c r="H66" s="354"/>
      <c r="I66" s="11"/>
      <c r="J66" s="312"/>
      <c r="K66" s="319"/>
      <c r="L66" s="432"/>
      <c r="M66" s="11"/>
      <c r="O66" s="148"/>
    </row>
    <row r="67" spans="1:15" x14ac:dyDescent="0.2">
      <c r="A67" s="423" t="s">
        <v>9</v>
      </c>
      <c r="B67" s="44"/>
      <c r="C67" s="145"/>
      <c r="D67" s="166"/>
      <c r="E67" s="27"/>
      <c r="F67" s="235"/>
      <c r="G67" s="145"/>
      <c r="H67" s="166"/>
      <c r="I67" s="27"/>
      <c r="J67" s="290"/>
      <c r="K67" s="44"/>
      <c r="L67" s="257"/>
      <c r="M67" s="27"/>
      <c r="O67" s="148"/>
    </row>
    <row r="68" spans="1:15" x14ac:dyDescent="0.2">
      <c r="A68" s="21" t="s">
        <v>10</v>
      </c>
      <c r="B68" s="295"/>
      <c r="C68" s="296"/>
      <c r="D68" s="166"/>
      <c r="E68" s="27"/>
      <c r="F68" s="295"/>
      <c r="G68" s="296"/>
      <c r="H68" s="166"/>
      <c r="I68" s="27"/>
      <c r="J68" s="290"/>
      <c r="K68" s="44"/>
      <c r="L68" s="257"/>
      <c r="M68" s="27"/>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c r="C77" s="235"/>
      <c r="D77" s="166"/>
      <c r="E77" s="27"/>
      <c r="F77" s="235"/>
      <c r="G77" s="145"/>
      <c r="H77" s="166"/>
      <c r="I77" s="27"/>
      <c r="J77" s="290"/>
      <c r="K77" s="44"/>
      <c r="L77" s="257"/>
      <c r="M77" s="27"/>
      <c r="O77" s="148"/>
    </row>
    <row r="78" spans="1:15" x14ac:dyDescent="0.2">
      <c r="A78" s="21" t="s">
        <v>9</v>
      </c>
      <c r="B78" s="235"/>
      <c r="C78" s="145"/>
      <c r="D78" s="166"/>
      <c r="E78" s="27"/>
      <c r="F78" s="235"/>
      <c r="G78" s="145"/>
      <c r="H78" s="166"/>
      <c r="I78" s="27"/>
      <c r="J78" s="290"/>
      <c r="K78" s="44"/>
      <c r="L78" s="257"/>
      <c r="M78" s="27"/>
      <c r="O78" s="148"/>
    </row>
    <row r="79" spans="1:15" x14ac:dyDescent="0.2">
      <c r="A79" s="21" t="s">
        <v>10</v>
      </c>
      <c r="B79" s="295"/>
      <c r="C79" s="296"/>
      <c r="D79" s="166"/>
      <c r="E79" s="27"/>
      <c r="F79" s="295"/>
      <c r="G79" s="296"/>
      <c r="H79" s="166"/>
      <c r="I79" s="27"/>
      <c r="J79" s="290"/>
      <c r="K79" s="44"/>
      <c r="L79" s="257"/>
      <c r="M79" s="27"/>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c r="G86" s="145"/>
      <c r="H86" s="166"/>
      <c r="I86" s="27"/>
      <c r="J86" s="290"/>
      <c r="K86" s="44"/>
      <c r="L86" s="257"/>
      <c r="M86" s="27"/>
      <c r="O86" s="148"/>
    </row>
    <row r="87" spans="1:15" ht="15.75" x14ac:dyDescent="0.2">
      <c r="A87" s="13" t="s">
        <v>376</v>
      </c>
      <c r="B87" s="357"/>
      <c r="C87" s="357"/>
      <c r="D87" s="171"/>
      <c r="E87" s="11"/>
      <c r="F87" s="356"/>
      <c r="G87" s="356"/>
      <c r="H87" s="171"/>
      <c r="I87" s="11"/>
      <c r="J87" s="312"/>
      <c r="K87" s="237"/>
      <c r="L87" s="432"/>
      <c r="M87" s="11"/>
      <c r="O87" s="148"/>
    </row>
    <row r="88" spans="1:15" x14ac:dyDescent="0.2">
      <c r="A88" s="21" t="s">
        <v>9</v>
      </c>
      <c r="B88" s="235"/>
      <c r="C88" s="145"/>
      <c r="D88" s="166"/>
      <c r="E88" s="27"/>
      <c r="F88" s="235"/>
      <c r="G88" s="145"/>
      <c r="H88" s="166"/>
      <c r="I88" s="27"/>
      <c r="J88" s="290"/>
      <c r="K88" s="44"/>
      <c r="L88" s="257"/>
      <c r="M88" s="27"/>
      <c r="O88" s="148"/>
    </row>
    <row r="89" spans="1:15" x14ac:dyDescent="0.2">
      <c r="A89" s="21" t="s">
        <v>10</v>
      </c>
      <c r="B89" s="235"/>
      <c r="C89" s="145"/>
      <c r="D89" s="166"/>
      <c r="E89" s="27"/>
      <c r="F89" s="235"/>
      <c r="G89" s="145"/>
      <c r="H89" s="166"/>
      <c r="I89" s="27"/>
      <c r="J89" s="290"/>
      <c r="K89" s="44"/>
      <c r="L89" s="257"/>
      <c r="M89" s="27"/>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c r="C98" s="235"/>
      <c r="D98" s="166"/>
      <c r="E98" s="27"/>
      <c r="F98" s="295"/>
      <c r="G98" s="295"/>
      <c r="H98" s="166"/>
      <c r="I98" s="27"/>
      <c r="J98" s="290"/>
      <c r="K98" s="44"/>
      <c r="L98" s="257"/>
      <c r="M98" s="27"/>
      <c r="O98" s="148"/>
    </row>
    <row r="99" spans="1:15" x14ac:dyDescent="0.2">
      <c r="A99" s="21" t="s">
        <v>9</v>
      </c>
      <c r="B99" s="295"/>
      <c r="C99" s="296"/>
      <c r="D99" s="166"/>
      <c r="E99" s="27"/>
      <c r="F99" s="235"/>
      <c r="G99" s="145"/>
      <c r="H99" s="166"/>
      <c r="I99" s="27"/>
      <c r="J99" s="290"/>
      <c r="K99" s="44"/>
      <c r="L99" s="257"/>
      <c r="M99" s="27"/>
      <c r="O99" s="148"/>
    </row>
    <row r="100" spans="1:15" x14ac:dyDescent="0.2">
      <c r="A100" s="21" t="s">
        <v>10</v>
      </c>
      <c r="B100" s="295"/>
      <c r="C100" s="296"/>
      <c r="D100" s="166"/>
      <c r="E100" s="27"/>
      <c r="F100" s="235"/>
      <c r="G100" s="235"/>
      <c r="H100" s="166"/>
      <c r="I100" s="27"/>
      <c r="J100" s="290"/>
      <c r="K100" s="44"/>
      <c r="L100" s="257"/>
      <c r="M100" s="27"/>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c r="G107" s="145"/>
      <c r="H107" s="166"/>
      <c r="I107" s="27"/>
      <c r="J107" s="290"/>
      <c r="K107" s="44"/>
      <c r="L107" s="257"/>
      <c r="M107" s="27"/>
      <c r="O107" s="148"/>
    </row>
    <row r="108" spans="1:15" ht="15.75" x14ac:dyDescent="0.2">
      <c r="A108" s="21" t="s">
        <v>395</v>
      </c>
      <c r="B108" s="235"/>
      <c r="C108" s="235"/>
      <c r="D108" s="166"/>
      <c r="E108" s="27"/>
      <c r="F108" s="235"/>
      <c r="G108" s="235"/>
      <c r="H108" s="166"/>
      <c r="I108" s="27"/>
      <c r="J108" s="290"/>
      <c r="K108" s="44"/>
      <c r="L108" s="257"/>
      <c r="M108" s="27"/>
      <c r="O108" s="148"/>
    </row>
    <row r="109" spans="1:15" ht="15.75" x14ac:dyDescent="0.2">
      <c r="A109" s="21" t="s">
        <v>396</v>
      </c>
      <c r="B109" s="235"/>
      <c r="C109" s="235"/>
      <c r="D109" s="166"/>
      <c r="E109" s="27"/>
      <c r="F109" s="235"/>
      <c r="G109" s="235"/>
      <c r="H109" s="166"/>
      <c r="I109" s="27"/>
      <c r="J109" s="290"/>
      <c r="K109" s="44"/>
      <c r="L109" s="257"/>
      <c r="M109" s="27"/>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c r="C111" s="159"/>
      <c r="D111" s="171"/>
      <c r="E111" s="11"/>
      <c r="F111" s="311"/>
      <c r="G111" s="159"/>
      <c r="H111" s="171"/>
      <c r="I111" s="11"/>
      <c r="J111" s="312"/>
      <c r="K111" s="237"/>
      <c r="L111" s="432"/>
      <c r="M111" s="11"/>
      <c r="O111" s="148"/>
    </row>
    <row r="112" spans="1:15" x14ac:dyDescent="0.2">
      <c r="A112" s="21" t="s">
        <v>9</v>
      </c>
      <c r="B112" s="235"/>
      <c r="C112" s="145"/>
      <c r="D112" s="166"/>
      <c r="E112" s="27"/>
      <c r="F112" s="235"/>
      <c r="G112" s="145"/>
      <c r="H112" s="166"/>
      <c r="I112" s="27"/>
      <c r="J112" s="290"/>
      <c r="K112" s="44"/>
      <c r="L112" s="257"/>
      <c r="M112" s="27"/>
      <c r="O112" s="148"/>
    </row>
    <row r="113" spans="1:15" x14ac:dyDescent="0.2">
      <c r="A113" s="21" t="s">
        <v>10</v>
      </c>
      <c r="B113" s="235"/>
      <c r="C113" s="145"/>
      <c r="D113" s="166"/>
      <c r="E113" s="27"/>
      <c r="F113" s="235"/>
      <c r="G113" s="145"/>
      <c r="H113" s="166"/>
      <c r="I113" s="27"/>
      <c r="J113" s="290"/>
      <c r="K113" s="44"/>
      <c r="L113" s="257"/>
      <c r="M113" s="27"/>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c r="C116" s="235"/>
      <c r="D116" s="166"/>
      <c r="E116" s="27"/>
      <c r="F116" s="235"/>
      <c r="G116" s="235"/>
      <c r="H116" s="166"/>
      <c r="I116" s="27"/>
      <c r="J116" s="290"/>
      <c r="K116" s="44"/>
      <c r="L116" s="257"/>
      <c r="M116" s="27"/>
      <c r="O116" s="148"/>
    </row>
    <row r="117" spans="1:15" ht="15.75" x14ac:dyDescent="0.2">
      <c r="A117" s="21" t="s">
        <v>399</v>
      </c>
      <c r="B117" s="235"/>
      <c r="C117" s="235"/>
      <c r="D117" s="166"/>
      <c r="E117" s="27"/>
      <c r="F117" s="235"/>
      <c r="G117" s="235"/>
      <c r="H117" s="166"/>
      <c r="I117" s="27"/>
      <c r="J117" s="290"/>
      <c r="K117" s="44"/>
      <c r="L117" s="257"/>
      <c r="M117" s="27"/>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c r="C119" s="159"/>
      <c r="D119" s="171"/>
      <c r="E119" s="11"/>
      <c r="F119" s="311"/>
      <c r="G119" s="159"/>
      <c r="H119" s="171"/>
      <c r="I119" s="11"/>
      <c r="J119" s="312"/>
      <c r="K119" s="237"/>
      <c r="L119" s="432"/>
      <c r="M119" s="11"/>
      <c r="O119" s="148"/>
    </row>
    <row r="120" spans="1:15" x14ac:dyDescent="0.2">
      <c r="A120" s="21" t="s">
        <v>9</v>
      </c>
      <c r="B120" s="235"/>
      <c r="C120" s="145"/>
      <c r="D120" s="166"/>
      <c r="E120" s="27"/>
      <c r="F120" s="235"/>
      <c r="G120" s="145"/>
      <c r="H120" s="166"/>
      <c r="I120" s="27"/>
      <c r="J120" s="290"/>
      <c r="K120" s="44"/>
      <c r="L120" s="257"/>
      <c r="M120" s="27"/>
      <c r="O120" s="148"/>
    </row>
    <row r="121" spans="1:15" x14ac:dyDescent="0.2">
      <c r="A121" s="21" t="s">
        <v>10</v>
      </c>
      <c r="B121" s="235"/>
      <c r="C121" s="145"/>
      <c r="D121" s="166"/>
      <c r="E121" s="27"/>
      <c r="F121" s="235"/>
      <c r="G121" s="145"/>
      <c r="H121" s="166"/>
      <c r="I121" s="27"/>
      <c r="J121" s="290"/>
      <c r="K121" s="44"/>
      <c r="L121" s="257"/>
      <c r="M121" s="27"/>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c r="G125" s="235"/>
      <c r="H125" s="166"/>
      <c r="I125" s="27"/>
      <c r="J125" s="290"/>
      <c r="K125" s="44"/>
      <c r="L125" s="257"/>
      <c r="M125" s="27"/>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615"/>
      <c r="F130" s="729"/>
      <c r="G130" s="729"/>
      <c r="H130" s="729"/>
      <c r="I130" s="615"/>
      <c r="J130" s="729"/>
      <c r="K130" s="729"/>
      <c r="L130" s="729"/>
      <c r="M130" s="615"/>
      <c r="O130" s="148"/>
    </row>
    <row r="131" spans="1:15" s="3" customFormat="1" x14ac:dyDescent="0.2">
      <c r="A131" s="144"/>
      <c r="B131" s="726" t="s">
        <v>0</v>
      </c>
      <c r="C131" s="727"/>
      <c r="D131" s="727"/>
      <c r="E131" s="613"/>
      <c r="F131" s="726" t="s">
        <v>1</v>
      </c>
      <c r="G131" s="727"/>
      <c r="H131" s="727"/>
      <c r="I131" s="614"/>
      <c r="J131" s="726" t="s">
        <v>2</v>
      </c>
      <c r="K131" s="727"/>
      <c r="L131" s="727"/>
      <c r="M131" s="614"/>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575" priority="82">
      <formula>kvartal &lt; 4</formula>
    </cfRule>
  </conditionalFormatting>
  <conditionalFormatting sqref="B69">
    <cfRule type="expression" dxfId="574" priority="61">
      <formula>kvartal &lt; 4</formula>
    </cfRule>
  </conditionalFormatting>
  <conditionalFormatting sqref="C69">
    <cfRule type="expression" dxfId="573" priority="60">
      <formula>kvartal &lt; 4</formula>
    </cfRule>
  </conditionalFormatting>
  <conditionalFormatting sqref="B72">
    <cfRule type="expression" dxfId="572" priority="59">
      <formula>kvartal &lt; 4</formula>
    </cfRule>
  </conditionalFormatting>
  <conditionalFormatting sqref="C72">
    <cfRule type="expression" dxfId="571" priority="58">
      <formula>kvartal &lt; 4</formula>
    </cfRule>
  </conditionalFormatting>
  <conditionalFormatting sqref="B80">
    <cfRule type="expression" dxfId="570" priority="57">
      <formula>kvartal &lt; 4</formula>
    </cfRule>
  </conditionalFormatting>
  <conditionalFormatting sqref="C80">
    <cfRule type="expression" dxfId="569" priority="56">
      <formula>kvartal &lt; 4</formula>
    </cfRule>
  </conditionalFormatting>
  <conditionalFormatting sqref="B83">
    <cfRule type="expression" dxfId="568" priority="55">
      <formula>kvartal &lt; 4</formula>
    </cfRule>
  </conditionalFormatting>
  <conditionalFormatting sqref="C83">
    <cfRule type="expression" dxfId="567" priority="54">
      <formula>kvartal &lt; 4</formula>
    </cfRule>
  </conditionalFormatting>
  <conditionalFormatting sqref="B90">
    <cfRule type="expression" dxfId="566" priority="53">
      <formula>kvartal &lt; 4</formula>
    </cfRule>
  </conditionalFormatting>
  <conditionalFormatting sqref="C90">
    <cfRule type="expression" dxfId="565" priority="52">
      <formula>kvartal &lt; 4</formula>
    </cfRule>
  </conditionalFormatting>
  <conditionalFormatting sqref="B93">
    <cfRule type="expression" dxfId="564" priority="51">
      <formula>kvartal &lt; 4</formula>
    </cfRule>
  </conditionalFormatting>
  <conditionalFormatting sqref="C93">
    <cfRule type="expression" dxfId="563" priority="50">
      <formula>kvartal &lt; 4</formula>
    </cfRule>
  </conditionalFormatting>
  <conditionalFormatting sqref="B101">
    <cfRule type="expression" dxfId="562" priority="49">
      <formula>kvartal &lt; 4</formula>
    </cfRule>
  </conditionalFormatting>
  <conditionalFormatting sqref="C101">
    <cfRule type="expression" dxfId="561" priority="48">
      <formula>kvartal &lt; 4</formula>
    </cfRule>
  </conditionalFormatting>
  <conditionalFormatting sqref="B104">
    <cfRule type="expression" dxfId="560" priority="47">
      <formula>kvartal &lt; 4</formula>
    </cfRule>
  </conditionalFormatting>
  <conditionalFormatting sqref="C104">
    <cfRule type="expression" dxfId="559" priority="46">
      <formula>kvartal &lt; 4</formula>
    </cfRule>
  </conditionalFormatting>
  <conditionalFormatting sqref="B115">
    <cfRule type="expression" dxfId="558" priority="45">
      <formula>kvartal &lt; 4</formula>
    </cfRule>
  </conditionalFormatting>
  <conditionalFormatting sqref="C115">
    <cfRule type="expression" dxfId="557" priority="44">
      <formula>kvartal &lt; 4</formula>
    </cfRule>
  </conditionalFormatting>
  <conditionalFormatting sqref="B123">
    <cfRule type="expression" dxfId="556" priority="43">
      <formula>kvartal &lt; 4</formula>
    </cfRule>
  </conditionalFormatting>
  <conditionalFormatting sqref="C123">
    <cfRule type="expression" dxfId="555" priority="42">
      <formula>kvartal &lt; 4</formula>
    </cfRule>
  </conditionalFormatting>
  <conditionalFormatting sqref="F70">
    <cfRule type="expression" dxfId="554" priority="41">
      <formula>kvartal &lt; 4</formula>
    </cfRule>
  </conditionalFormatting>
  <conditionalFormatting sqref="G70">
    <cfRule type="expression" dxfId="553" priority="40">
      <formula>kvartal &lt; 4</formula>
    </cfRule>
  </conditionalFormatting>
  <conditionalFormatting sqref="F71:G71">
    <cfRule type="expression" dxfId="552" priority="39">
      <formula>kvartal &lt; 4</formula>
    </cfRule>
  </conditionalFormatting>
  <conditionalFormatting sqref="F73:G74">
    <cfRule type="expression" dxfId="551" priority="38">
      <formula>kvartal &lt; 4</formula>
    </cfRule>
  </conditionalFormatting>
  <conditionalFormatting sqref="F81:G82">
    <cfRule type="expression" dxfId="550" priority="37">
      <formula>kvartal &lt; 4</formula>
    </cfRule>
  </conditionalFormatting>
  <conditionalFormatting sqref="F84:G85">
    <cfRule type="expression" dxfId="549" priority="36">
      <formula>kvartal &lt; 4</formula>
    </cfRule>
  </conditionalFormatting>
  <conditionalFormatting sqref="F91:G92">
    <cfRule type="expression" dxfId="548" priority="35">
      <formula>kvartal &lt; 4</formula>
    </cfRule>
  </conditionalFormatting>
  <conditionalFormatting sqref="F94:G95">
    <cfRule type="expression" dxfId="547" priority="34">
      <formula>kvartal &lt; 4</formula>
    </cfRule>
  </conditionalFormatting>
  <conditionalFormatting sqref="F102:G103">
    <cfRule type="expression" dxfId="546" priority="33">
      <formula>kvartal &lt; 4</formula>
    </cfRule>
  </conditionalFormatting>
  <conditionalFormatting sqref="F105:G106">
    <cfRule type="expression" dxfId="545" priority="32">
      <formula>kvartal &lt; 4</formula>
    </cfRule>
  </conditionalFormatting>
  <conditionalFormatting sqref="F115">
    <cfRule type="expression" dxfId="544" priority="31">
      <formula>kvartal &lt; 4</formula>
    </cfRule>
  </conditionalFormatting>
  <conditionalFormatting sqref="G115">
    <cfRule type="expression" dxfId="543" priority="30">
      <formula>kvartal &lt; 4</formula>
    </cfRule>
  </conditionalFormatting>
  <conditionalFormatting sqref="F123:G123">
    <cfRule type="expression" dxfId="542" priority="29">
      <formula>kvartal &lt; 4</formula>
    </cfRule>
  </conditionalFormatting>
  <conditionalFormatting sqref="F69:G69">
    <cfRule type="expression" dxfId="541" priority="28">
      <formula>kvartal &lt; 4</formula>
    </cfRule>
  </conditionalFormatting>
  <conditionalFormatting sqref="F72:G72">
    <cfRule type="expression" dxfId="540" priority="27">
      <formula>kvartal &lt; 4</formula>
    </cfRule>
  </conditionalFormatting>
  <conditionalFormatting sqref="F80:G80">
    <cfRule type="expression" dxfId="539" priority="26">
      <formula>kvartal &lt; 4</formula>
    </cfRule>
  </conditionalFormatting>
  <conditionalFormatting sqref="F83:G83">
    <cfRule type="expression" dxfId="538" priority="25">
      <formula>kvartal &lt; 4</formula>
    </cfRule>
  </conditionalFormatting>
  <conditionalFormatting sqref="F90:G90">
    <cfRule type="expression" dxfId="537" priority="24">
      <formula>kvartal &lt; 4</formula>
    </cfRule>
  </conditionalFormatting>
  <conditionalFormatting sqref="F93">
    <cfRule type="expression" dxfId="536" priority="23">
      <formula>kvartal &lt; 4</formula>
    </cfRule>
  </conditionalFormatting>
  <conditionalFormatting sqref="G93">
    <cfRule type="expression" dxfId="535" priority="22">
      <formula>kvartal &lt; 4</formula>
    </cfRule>
  </conditionalFormatting>
  <conditionalFormatting sqref="F101">
    <cfRule type="expression" dxfId="534" priority="21">
      <formula>kvartal &lt; 4</formula>
    </cfRule>
  </conditionalFormatting>
  <conditionalFormatting sqref="G101">
    <cfRule type="expression" dxfId="533" priority="20">
      <formula>kvartal &lt; 4</formula>
    </cfRule>
  </conditionalFormatting>
  <conditionalFormatting sqref="G104">
    <cfRule type="expression" dxfId="532" priority="19">
      <formula>kvartal &lt; 4</formula>
    </cfRule>
  </conditionalFormatting>
  <conditionalFormatting sqref="F104">
    <cfRule type="expression" dxfId="531" priority="18">
      <formula>kvartal &lt; 4</formula>
    </cfRule>
  </conditionalFormatting>
  <conditionalFormatting sqref="J69:K73">
    <cfRule type="expression" dxfId="530" priority="17">
      <formula>kvartal &lt; 4</formula>
    </cfRule>
  </conditionalFormatting>
  <conditionalFormatting sqref="J74:K74">
    <cfRule type="expression" dxfId="529" priority="16">
      <formula>kvartal &lt; 4</formula>
    </cfRule>
  </conditionalFormatting>
  <conditionalFormatting sqref="J80:K85">
    <cfRule type="expression" dxfId="528" priority="15">
      <formula>kvartal &lt; 4</formula>
    </cfRule>
  </conditionalFormatting>
  <conditionalFormatting sqref="J90:K95">
    <cfRule type="expression" dxfId="527" priority="14">
      <formula>kvartal &lt; 4</formula>
    </cfRule>
  </conditionalFormatting>
  <conditionalFormatting sqref="J101:K106">
    <cfRule type="expression" dxfId="526" priority="13">
      <formula>kvartal &lt; 4</formula>
    </cfRule>
  </conditionalFormatting>
  <conditionalFormatting sqref="J115:K115">
    <cfRule type="expression" dxfId="525" priority="12">
      <formula>kvartal &lt; 4</formula>
    </cfRule>
  </conditionalFormatting>
  <conditionalFormatting sqref="J123:K123">
    <cfRule type="expression" dxfId="524" priority="11">
      <formula>kvartal &lt; 4</formula>
    </cfRule>
  </conditionalFormatting>
  <conditionalFormatting sqref="A50:A52">
    <cfRule type="expression" dxfId="523" priority="8">
      <formula>kvartal &lt; 4</formula>
    </cfRule>
  </conditionalFormatting>
  <conditionalFormatting sqref="A69:A74">
    <cfRule type="expression" dxfId="522" priority="7">
      <formula>kvartal &lt; 4</formula>
    </cfRule>
  </conditionalFormatting>
  <conditionalFormatting sqref="A80:A85">
    <cfRule type="expression" dxfId="521" priority="6">
      <formula>kvartal &lt; 4</formula>
    </cfRule>
  </conditionalFormatting>
  <conditionalFormatting sqref="A90:A95">
    <cfRule type="expression" dxfId="520" priority="5">
      <formula>kvartal &lt; 4</formula>
    </cfRule>
  </conditionalFormatting>
  <conditionalFormatting sqref="A101:A106">
    <cfRule type="expression" dxfId="519" priority="4">
      <formula>kvartal &lt; 4</formula>
    </cfRule>
  </conditionalFormatting>
  <conditionalFormatting sqref="A115">
    <cfRule type="expression" dxfId="518" priority="3">
      <formula>kvartal &lt; 4</formula>
    </cfRule>
  </conditionalFormatting>
  <conditionalFormatting sqref="A123">
    <cfRule type="expression" dxfId="517" priority="2">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O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75</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c r="C7" s="310"/>
      <c r="D7" s="354"/>
      <c r="E7" s="11"/>
      <c r="F7" s="309">
        <v>83675</v>
      </c>
      <c r="G7" s="310">
        <v>82378</v>
      </c>
      <c r="H7" s="354">
        <f>IF(F7=0, "    ---- ", IF(ABS(ROUND(100/F7*G7-100,1))&lt;999,ROUND(100/F7*G7-100,1),IF(ROUND(100/F7*G7-100,1)&gt;999,999,-999)))</f>
        <v>-1.6</v>
      </c>
      <c r="I7" s="160">
        <f>IFERROR(100/'Skjema total MA'!F7*G7,0)</f>
        <v>1.4985560242074698</v>
      </c>
      <c r="J7" s="311">
        <f t="shared" ref="J7:K12" si="0">SUM(B7,F7)</f>
        <v>83675</v>
      </c>
      <c r="K7" s="312">
        <f t="shared" si="0"/>
        <v>82378</v>
      </c>
      <c r="L7" s="431">
        <f>IF(J7=0, "    ---- ", IF(ABS(ROUND(100/J7*K7-100,1))&lt;999,ROUND(100/J7*K7-100,1),IF(ROUND(100/J7*K7-100,1)&gt;999,999,-999)))</f>
        <v>-1.6</v>
      </c>
      <c r="M7" s="11">
        <f>IFERROR(100/'Skjema total MA'!I7*K7,0)</f>
        <v>0.91390830244273347</v>
      </c>
      <c r="O7" s="148"/>
    </row>
    <row r="8" spans="1:15" ht="15.75" x14ac:dyDescent="0.2">
      <c r="A8" s="21" t="s">
        <v>25</v>
      </c>
      <c r="B8" s="284"/>
      <c r="C8" s="285"/>
      <c r="D8" s="166"/>
      <c r="E8" s="27"/>
      <c r="F8" s="288"/>
      <c r="G8" s="289"/>
      <c r="H8" s="166"/>
      <c r="I8" s="176"/>
      <c r="J8" s="235"/>
      <c r="K8" s="290"/>
      <c r="L8" s="257"/>
      <c r="M8" s="27"/>
      <c r="O8" s="148"/>
    </row>
    <row r="9" spans="1:15" ht="15.75" x14ac:dyDescent="0.2">
      <c r="A9" s="21" t="s">
        <v>24</v>
      </c>
      <c r="B9" s="284"/>
      <c r="C9" s="285"/>
      <c r="D9" s="166"/>
      <c r="E9" s="27"/>
      <c r="F9" s="288"/>
      <c r="G9" s="289"/>
      <c r="H9" s="166"/>
      <c r="I9" s="176"/>
      <c r="J9" s="235"/>
      <c r="K9" s="290"/>
      <c r="L9" s="257"/>
      <c r="M9" s="27"/>
      <c r="O9" s="148"/>
    </row>
    <row r="10" spans="1:15" ht="15.75" x14ac:dyDescent="0.2">
      <c r="A10" s="13" t="s">
        <v>376</v>
      </c>
      <c r="B10" s="313"/>
      <c r="C10" s="314"/>
      <c r="D10" s="171"/>
      <c r="E10" s="11"/>
      <c r="F10" s="313">
        <v>761963</v>
      </c>
      <c r="G10" s="314">
        <v>865183.09143999999</v>
      </c>
      <c r="H10" s="171">
        <f t="shared" ref="H10:H12" si="1">IF(F10=0, "    ---- ", IF(ABS(ROUND(100/F10*G10-100,1))&lt;999,ROUND(100/F10*G10-100,1),IF(ROUND(100/F10*G10-100,1)&gt;999,999,-999)))</f>
        <v>13.5</v>
      </c>
      <c r="I10" s="160">
        <f>IFERROR(100/'Skjema total MA'!F10*G10,0)</f>
        <v>1.9395806459824043</v>
      </c>
      <c r="J10" s="311">
        <f t="shared" si="0"/>
        <v>761963</v>
      </c>
      <c r="K10" s="312">
        <f t="shared" si="0"/>
        <v>865183.09143999999</v>
      </c>
      <c r="L10" s="432">
        <f t="shared" ref="L10:L12" si="2">IF(J10=0, "    ---- ", IF(ABS(ROUND(100/J10*K10-100,1))&lt;999,ROUND(100/J10*K10-100,1),IF(ROUND(100/J10*K10-100,1)&gt;999,999,-999)))</f>
        <v>13.5</v>
      </c>
      <c r="M10" s="11">
        <f>IFERROR(100/'Skjema total MA'!I10*K10,0)</f>
        <v>1.3145045755258586</v>
      </c>
      <c r="O10" s="148"/>
    </row>
    <row r="11" spans="1:15" s="43" customFormat="1" ht="15.75" x14ac:dyDescent="0.2">
      <c r="A11" s="13" t="s">
        <v>377</v>
      </c>
      <c r="B11" s="313"/>
      <c r="C11" s="314"/>
      <c r="D11" s="171"/>
      <c r="E11" s="11"/>
      <c r="F11" s="313">
        <v>5552</v>
      </c>
      <c r="G11" s="314">
        <v>12878</v>
      </c>
      <c r="H11" s="171">
        <f t="shared" si="1"/>
        <v>132</v>
      </c>
      <c r="I11" s="160">
        <f>IFERROR(100/'Skjema total MA'!F11*G11,0)</f>
        <v>6.2707492619276008</v>
      </c>
      <c r="J11" s="311">
        <f t="shared" si="0"/>
        <v>5552</v>
      </c>
      <c r="K11" s="312">
        <f t="shared" si="0"/>
        <v>12878</v>
      </c>
      <c r="L11" s="432">
        <f t="shared" si="2"/>
        <v>132</v>
      </c>
      <c r="M11" s="11">
        <f>IFERROR(100/'Skjema total MA'!I11*K11,0)</f>
        <v>5.6505452759254551</v>
      </c>
      <c r="N11" s="143"/>
      <c r="O11" s="148"/>
    </row>
    <row r="12" spans="1:15" s="43" customFormat="1" ht="15.75" x14ac:dyDescent="0.2">
      <c r="A12" s="41" t="s">
        <v>378</v>
      </c>
      <c r="B12" s="315"/>
      <c r="C12" s="316"/>
      <c r="D12" s="169"/>
      <c r="E12" s="36"/>
      <c r="F12" s="315">
        <v>2424</v>
      </c>
      <c r="G12" s="316">
        <v>1307</v>
      </c>
      <c r="H12" s="169">
        <f t="shared" si="1"/>
        <v>-46.1</v>
      </c>
      <c r="I12" s="169">
        <f>IFERROR(100/'Skjema total MA'!F12*G12,0)</f>
        <v>0.75418871374069529</v>
      </c>
      <c r="J12" s="317">
        <f t="shared" si="0"/>
        <v>2424</v>
      </c>
      <c r="K12" s="318">
        <f t="shared" si="0"/>
        <v>1307</v>
      </c>
      <c r="L12" s="433">
        <f t="shared" si="2"/>
        <v>-46.1</v>
      </c>
      <c r="M12" s="36">
        <f>IFERROR(100/'Skjema total MA'!I12*K12,0)</f>
        <v>0.75384506589212752</v>
      </c>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c r="C22" s="319"/>
      <c r="D22" s="354"/>
      <c r="E22" s="11"/>
      <c r="F22" s="321">
        <v>584</v>
      </c>
      <c r="G22" s="321">
        <v>26403</v>
      </c>
      <c r="H22" s="354">
        <f t="shared" ref="H22:H35" si="3">IF(F22=0, "    ---- ", IF(ABS(ROUND(100/F22*G22-100,1))&lt;999,ROUND(100/F22*G22-100,1),IF(ROUND(100/F22*G22-100,1)&gt;999,999,-999)))</f>
        <v>999</v>
      </c>
      <c r="I22" s="11">
        <f>IFERROR(100/'Skjema total MA'!F22*G22,0)</f>
        <v>3.4220046656178766</v>
      </c>
      <c r="J22" s="319">
        <f t="shared" ref="J22:K35" si="4">SUM(B22,F22)</f>
        <v>584</v>
      </c>
      <c r="K22" s="319">
        <f t="shared" si="4"/>
        <v>26403</v>
      </c>
      <c r="L22" s="431">
        <f t="shared" ref="L22:L35" si="5">IF(J22=0, "    ---- ", IF(ABS(ROUND(100/J22*K22-100,1))&lt;999,ROUND(100/J22*K22-100,1),IF(ROUND(100/J22*K22-100,1)&gt;999,999,-999)))</f>
        <v>999</v>
      </c>
      <c r="M22" s="24">
        <f>IFERROR(100/'Skjema total MA'!I22*K22,0)</f>
        <v>1.3387824776903845</v>
      </c>
      <c r="O22" s="148"/>
    </row>
    <row r="23" spans="1:15" ht="15.75" x14ac:dyDescent="0.2">
      <c r="A23" s="619" t="s">
        <v>379</v>
      </c>
      <c r="B23" s="284"/>
      <c r="C23" s="284"/>
      <c r="D23" s="166"/>
      <c r="E23" s="11"/>
      <c r="F23" s="293"/>
      <c r="G23" s="293">
        <v>376</v>
      </c>
      <c r="H23" s="166" t="str">
        <f t="shared" si="3"/>
        <v xml:space="preserve">    ---- </v>
      </c>
      <c r="I23" s="421">
        <f>IFERROR(100/'Skjema total MA'!F23*G23,0)</f>
        <v>0.29664182382777776</v>
      </c>
      <c r="J23" s="293"/>
      <c r="K23" s="293">
        <f t="shared" ref="K23:K26" si="6">SUM(C23,G23)</f>
        <v>376</v>
      </c>
      <c r="L23" s="432" t="str">
        <f t="shared" si="5"/>
        <v xml:space="preserve">    ---- </v>
      </c>
      <c r="M23" s="23">
        <f>IFERROR(100/'Skjema total MA'!I23*K23,0)</f>
        <v>3.7567485485800758E-2</v>
      </c>
      <c r="O23" s="148"/>
    </row>
    <row r="24" spans="1:15" ht="15.75" x14ac:dyDescent="0.2">
      <c r="A24" s="619" t="s">
        <v>380</v>
      </c>
      <c r="B24" s="284"/>
      <c r="C24" s="284"/>
      <c r="D24" s="166"/>
      <c r="E24" s="11"/>
      <c r="F24" s="293"/>
      <c r="G24" s="293"/>
      <c r="H24" s="166"/>
      <c r="I24" s="421"/>
      <c r="J24" s="293"/>
      <c r="K24" s="293"/>
      <c r="L24" s="166"/>
      <c r="M24" s="23"/>
      <c r="O24" s="148"/>
    </row>
    <row r="25" spans="1:15" ht="15.75" x14ac:dyDescent="0.2">
      <c r="A25" s="619" t="s">
        <v>381</v>
      </c>
      <c r="B25" s="284"/>
      <c r="C25" s="284"/>
      <c r="D25" s="166"/>
      <c r="E25" s="11"/>
      <c r="F25" s="293"/>
      <c r="G25" s="293"/>
      <c r="H25" s="166"/>
      <c r="I25" s="421"/>
      <c r="J25" s="293"/>
      <c r="K25" s="293"/>
      <c r="L25" s="166"/>
      <c r="M25" s="23"/>
      <c r="O25" s="148"/>
    </row>
    <row r="26" spans="1:15" ht="15.75" x14ac:dyDescent="0.2">
      <c r="A26" s="619" t="s">
        <v>382</v>
      </c>
      <c r="B26" s="284"/>
      <c r="C26" s="284"/>
      <c r="D26" s="166"/>
      <c r="E26" s="11"/>
      <c r="F26" s="293"/>
      <c r="G26" s="293">
        <v>26027</v>
      </c>
      <c r="H26" s="166" t="str">
        <f t="shared" si="3"/>
        <v xml:space="preserve">    ---- </v>
      </c>
      <c r="I26" s="421">
        <f>IFERROR(100/'Skjema total MA'!F26*G26,0)</f>
        <v>4.7135266565749188</v>
      </c>
      <c r="J26" s="293"/>
      <c r="K26" s="293">
        <f t="shared" si="6"/>
        <v>26027</v>
      </c>
      <c r="L26" s="432" t="str">
        <f t="shared" si="5"/>
        <v xml:space="preserve">    ---- </v>
      </c>
      <c r="M26" s="23">
        <f>IFERROR(100/'Skjema total MA'!I26*K26,0)</f>
        <v>4.7135266565749188</v>
      </c>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c r="C28" s="290"/>
      <c r="D28" s="166"/>
      <c r="E28" s="11"/>
      <c r="F28" s="235"/>
      <c r="G28" s="290"/>
      <c r="H28" s="166"/>
      <c r="I28" s="27"/>
      <c r="J28" s="44"/>
      <c r="K28" s="44"/>
      <c r="L28" s="257"/>
      <c r="M28" s="23"/>
      <c r="O28" s="148"/>
    </row>
    <row r="29" spans="1:15" s="3" customFormat="1" ht="15.75" x14ac:dyDescent="0.2">
      <c r="A29" s="13" t="s">
        <v>376</v>
      </c>
      <c r="B29" s="237"/>
      <c r="C29" s="237"/>
      <c r="D29" s="171"/>
      <c r="E29" s="11"/>
      <c r="F29" s="311">
        <v>848893</v>
      </c>
      <c r="G29" s="311">
        <v>892957.55039999995</v>
      </c>
      <c r="H29" s="171">
        <f t="shared" si="3"/>
        <v>5.2</v>
      </c>
      <c r="I29" s="11">
        <f>IFERROR(100/'Skjema total MA'!F29*G29,0)</f>
        <v>4.3348614713686526</v>
      </c>
      <c r="J29" s="237">
        <f t="shared" si="4"/>
        <v>848893</v>
      </c>
      <c r="K29" s="237">
        <f t="shared" si="4"/>
        <v>892957.55039999995</v>
      </c>
      <c r="L29" s="432">
        <f t="shared" si="5"/>
        <v>5.2</v>
      </c>
      <c r="M29" s="24">
        <f>IFERROR(100/'Skjema total MA'!I29*K29,0)</f>
        <v>1.2981559217429177</v>
      </c>
      <c r="N29" s="148"/>
      <c r="O29" s="148"/>
    </row>
    <row r="30" spans="1:15" s="3" customFormat="1" ht="15.75" x14ac:dyDescent="0.2">
      <c r="A30" s="619" t="s">
        <v>379</v>
      </c>
      <c r="B30" s="284"/>
      <c r="C30" s="284"/>
      <c r="D30" s="166"/>
      <c r="E30" s="11"/>
      <c r="F30" s="293"/>
      <c r="G30" s="293">
        <v>125529.81813</v>
      </c>
      <c r="H30" s="166" t="str">
        <f t="shared" si="3"/>
        <v xml:space="preserve">    ---- </v>
      </c>
      <c r="I30" s="421">
        <f>IFERROR(100/'Skjema total MA'!F30*G30,0)</f>
        <v>2.846870344199449</v>
      </c>
      <c r="J30" s="293"/>
      <c r="K30" s="293">
        <f t="shared" ref="K30:K33" si="7">SUM(C30,G30)</f>
        <v>125529.81813</v>
      </c>
      <c r="L30" s="432" t="str">
        <f t="shared" si="5"/>
        <v xml:space="preserve">    ---- </v>
      </c>
      <c r="M30" s="23">
        <f>IFERROR(100/'Skjema total MA'!I30*K30,0)</f>
        <v>0.71221152014016309</v>
      </c>
      <c r="N30" s="148"/>
      <c r="O30" s="148"/>
    </row>
    <row r="31" spans="1:15" s="3" customFormat="1" ht="15.75" x14ac:dyDescent="0.2">
      <c r="A31" s="619" t="s">
        <v>380</v>
      </c>
      <c r="B31" s="284"/>
      <c r="C31" s="284"/>
      <c r="D31" s="166"/>
      <c r="E31" s="11"/>
      <c r="F31" s="293"/>
      <c r="G31" s="293">
        <v>680833.71946000005</v>
      </c>
      <c r="H31" s="166" t="str">
        <f t="shared" si="3"/>
        <v xml:space="preserve">    ---- </v>
      </c>
      <c r="I31" s="421">
        <f>IFERROR(100/'Skjema total MA'!F31*G31,0)</f>
        <v>6.5180852225510009</v>
      </c>
      <c r="J31" s="293"/>
      <c r="K31" s="293">
        <f t="shared" si="7"/>
        <v>680833.71946000005</v>
      </c>
      <c r="L31" s="432" t="str">
        <f t="shared" si="5"/>
        <v xml:space="preserve">    ---- </v>
      </c>
      <c r="M31" s="23">
        <f>IFERROR(100/'Skjema total MA'!I31*K31,0)</f>
        <v>1.6425324382944702</v>
      </c>
      <c r="N31" s="148"/>
      <c r="O31" s="148"/>
    </row>
    <row r="32" spans="1:15" ht="15.75" x14ac:dyDescent="0.2">
      <c r="A32" s="619" t="s">
        <v>381</v>
      </c>
      <c r="B32" s="284"/>
      <c r="C32" s="284"/>
      <c r="D32" s="166"/>
      <c r="E32" s="11"/>
      <c r="F32" s="293"/>
      <c r="G32" s="293"/>
      <c r="H32" s="166"/>
      <c r="I32" s="421"/>
      <c r="J32" s="293"/>
      <c r="K32" s="293"/>
      <c r="L32" s="166"/>
      <c r="M32" s="23"/>
      <c r="O32" s="148"/>
    </row>
    <row r="33" spans="1:15" ht="15.75" x14ac:dyDescent="0.2">
      <c r="A33" s="619" t="s">
        <v>382</v>
      </c>
      <c r="B33" s="284"/>
      <c r="C33" s="284"/>
      <c r="D33" s="166"/>
      <c r="E33" s="11"/>
      <c r="F33" s="293"/>
      <c r="G33" s="293">
        <v>86594.01281</v>
      </c>
      <c r="H33" s="166" t="str">
        <f t="shared" si="3"/>
        <v xml:space="preserve">    ---- </v>
      </c>
      <c r="I33" s="421">
        <f>IFERROR(100/'Skjema total MA'!F34*G33,0)</f>
        <v>172.41323310205775</v>
      </c>
      <c r="J33" s="293"/>
      <c r="K33" s="293">
        <f t="shared" si="7"/>
        <v>86594.01281</v>
      </c>
      <c r="L33" s="432" t="str">
        <f t="shared" si="5"/>
        <v xml:space="preserve">    ---- </v>
      </c>
      <c r="M33" s="23">
        <f>IFERROR(100/'Skjema total MA'!I34*K33,0)</f>
        <v>121.21364588006239</v>
      </c>
      <c r="O33" s="148"/>
    </row>
    <row r="34" spans="1:15" ht="15.75" x14ac:dyDescent="0.2">
      <c r="A34" s="13" t="s">
        <v>377</v>
      </c>
      <c r="B34" s="237"/>
      <c r="C34" s="312"/>
      <c r="D34" s="171"/>
      <c r="E34" s="11"/>
      <c r="F34" s="311">
        <v>6438</v>
      </c>
      <c r="G34" s="312">
        <v>5316</v>
      </c>
      <c r="H34" s="171">
        <f t="shared" si="3"/>
        <v>-17.399999999999999</v>
      </c>
      <c r="I34" s="11">
        <f>IFERROR(100/'Skjema total MA'!F34*G34,0)</f>
        <v>10.58443554500219</v>
      </c>
      <c r="J34" s="237">
        <f t="shared" si="4"/>
        <v>6438</v>
      </c>
      <c r="K34" s="237">
        <f t="shared" si="4"/>
        <v>5316</v>
      </c>
      <c r="L34" s="432">
        <f t="shared" si="5"/>
        <v>-17.399999999999999</v>
      </c>
      <c r="M34" s="24">
        <f>IFERROR(100/'Skjema total MA'!I34*K34,0)</f>
        <v>7.4412966969466821</v>
      </c>
      <c r="O34" s="148"/>
    </row>
    <row r="35" spans="1:15" ht="15.75" x14ac:dyDescent="0.2">
      <c r="A35" s="13" t="s">
        <v>378</v>
      </c>
      <c r="B35" s="237"/>
      <c r="C35" s="312"/>
      <c r="D35" s="171"/>
      <c r="E35" s="11"/>
      <c r="F35" s="311">
        <v>16704</v>
      </c>
      <c r="G35" s="312">
        <v>5496</v>
      </c>
      <c r="H35" s="171">
        <f t="shared" si="3"/>
        <v>-67.099999999999994</v>
      </c>
      <c r="I35" s="11">
        <f>IFERROR(100/'Skjema total MA'!F35*G35,0)</f>
        <v>6.9147372409982744</v>
      </c>
      <c r="J35" s="237">
        <f t="shared" si="4"/>
        <v>16704</v>
      </c>
      <c r="K35" s="237">
        <f t="shared" si="4"/>
        <v>5496</v>
      </c>
      <c r="L35" s="432">
        <f t="shared" si="5"/>
        <v>-67.099999999999994</v>
      </c>
      <c r="M35" s="24">
        <f>IFERROR(100/'Skjema total MA'!I35*K35,0)</f>
        <v>9.9547914647253553</v>
      </c>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c r="C47" s="314"/>
      <c r="D47" s="431"/>
      <c r="E47" s="11"/>
      <c r="F47" s="145"/>
      <c r="G47" s="33"/>
      <c r="H47" s="159"/>
      <c r="I47" s="159"/>
      <c r="J47" s="37"/>
      <c r="K47" s="37"/>
      <c r="L47" s="159"/>
      <c r="M47" s="159"/>
      <c r="N47" s="148"/>
      <c r="O47" s="148"/>
    </row>
    <row r="48" spans="1:15" s="3" customFormat="1" ht="15.75" x14ac:dyDescent="0.2">
      <c r="A48" s="38" t="s">
        <v>387</v>
      </c>
      <c r="B48" s="284"/>
      <c r="C48" s="285"/>
      <c r="D48" s="257"/>
      <c r="E48" s="27"/>
      <c r="F48" s="145"/>
      <c r="G48" s="33"/>
      <c r="H48" s="145"/>
      <c r="I48" s="145"/>
      <c r="J48" s="33"/>
      <c r="K48" s="33"/>
      <c r="L48" s="159"/>
      <c r="M48" s="159"/>
      <c r="N48" s="148"/>
      <c r="O48" s="148"/>
    </row>
    <row r="49" spans="1:15" s="3" customFormat="1" ht="15.75" x14ac:dyDescent="0.2">
      <c r="A49" s="38" t="s">
        <v>388</v>
      </c>
      <c r="B49" s="44"/>
      <c r="C49" s="290"/>
      <c r="D49" s="257"/>
      <c r="E49" s="27"/>
      <c r="F49" s="145"/>
      <c r="G49" s="33"/>
      <c r="H49" s="145"/>
      <c r="I49" s="145"/>
      <c r="J49" s="37"/>
      <c r="K49" s="37"/>
      <c r="L49" s="159"/>
      <c r="M49" s="159"/>
      <c r="N49" s="148"/>
      <c r="O49" s="148"/>
    </row>
    <row r="50" spans="1:15" s="3" customFormat="1" x14ac:dyDescent="0.2">
      <c r="A50" s="299" t="s">
        <v>6</v>
      </c>
      <c r="B50" s="293"/>
      <c r="C50" s="294"/>
      <c r="D50" s="257"/>
      <c r="E50" s="23"/>
      <c r="F50" s="145"/>
      <c r="G50" s="33"/>
      <c r="H50" s="145"/>
      <c r="I50" s="145"/>
      <c r="J50" s="33"/>
      <c r="K50" s="33"/>
      <c r="L50" s="159"/>
      <c r="M50" s="159"/>
      <c r="N50" s="148"/>
      <c r="O50" s="148"/>
    </row>
    <row r="51" spans="1:15" s="3" customFormat="1" x14ac:dyDescent="0.2">
      <c r="A51" s="299" t="s">
        <v>7</v>
      </c>
      <c r="B51" s="293"/>
      <c r="C51" s="294"/>
      <c r="D51" s="257"/>
      <c r="E51" s="23"/>
      <c r="F51" s="145"/>
      <c r="G51" s="33"/>
      <c r="H51" s="145"/>
      <c r="I51" s="145"/>
      <c r="J51" s="33"/>
      <c r="K51" s="33"/>
      <c r="L51" s="159"/>
      <c r="M51" s="159"/>
      <c r="N51" s="148"/>
      <c r="O51" s="148"/>
    </row>
    <row r="52" spans="1:15" s="3" customFormat="1" x14ac:dyDescent="0.2">
      <c r="A52" s="299" t="s">
        <v>8</v>
      </c>
      <c r="B52" s="293"/>
      <c r="C52" s="294"/>
      <c r="D52" s="257"/>
      <c r="E52" s="23"/>
      <c r="F52" s="145"/>
      <c r="G52" s="33"/>
      <c r="H52" s="145"/>
      <c r="I52" s="145"/>
      <c r="J52" s="33"/>
      <c r="K52" s="33"/>
      <c r="L52" s="159"/>
      <c r="M52" s="159"/>
      <c r="N52" s="148"/>
      <c r="O52" s="148"/>
    </row>
    <row r="53" spans="1:15" s="3" customFormat="1" ht="15.75" x14ac:dyDescent="0.2">
      <c r="A53" s="39" t="s">
        <v>389</v>
      </c>
      <c r="B53" s="313"/>
      <c r="C53" s="314"/>
      <c r="D53" s="432"/>
      <c r="E53" s="11"/>
      <c r="F53" s="145"/>
      <c r="G53" s="33"/>
      <c r="H53" s="145"/>
      <c r="I53" s="145"/>
      <c r="J53" s="33"/>
      <c r="K53" s="33"/>
      <c r="L53" s="159"/>
      <c r="M53" s="159"/>
      <c r="N53" s="148"/>
      <c r="O53" s="148"/>
    </row>
    <row r="54" spans="1:15" s="3" customFormat="1" ht="15.75" x14ac:dyDescent="0.2">
      <c r="A54" s="38" t="s">
        <v>387</v>
      </c>
      <c r="B54" s="284"/>
      <c r="C54" s="285"/>
      <c r="D54" s="257"/>
      <c r="E54" s="27"/>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c r="C56" s="314"/>
      <c r="D56" s="432"/>
      <c r="E56" s="11"/>
      <c r="F56" s="145"/>
      <c r="G56" s="33"/>
      <c r="H56" s="145"/>
      <c r="I56" s="145"/>
      <c r="J56" s="33"/>
      <c r="K56" s="33"/>
      <c r="L56" s="159"/>
      <c r="M56" s="159"/>
      <c r="N56" s="148"/>
      <c r="O56" s="148"/>
    </row>
    <row r="57" spans="1:15" s="3" customFormat="1" ht="15.75" x14ac:dyDescent="0.2">
      <c r="A57" s="38" t="s">
        <v>387</v>
      </c>
      <c r="B57" s="284"/>
      <c r="C57" s="285"/>
      <c r="D57" s="257"/>
      <c r="E57" s="27"/>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c r="C66" s="357"/>
      <c r="D66" s="354"/>
      <c r="E66" s="11"/>
      <c r="F66" s="356">
        <v>43</v>
      </c>
      <c r="G66" s="356">
        <v>62</v>
      </c>
      <c r="H66" s="354">
        <f t="shared" ref="H66:H111" si="8">IF(F66=0, "    ---- ", IF(ABS(ROUND(100/F66*G66-100,1))&lt;999,ROUND(100/F66*G66-100,1),IF(ROUND(100/F66*G66-100,1)&gt;999,999,-999)))</f>
        <v>44.2</v>
      </c>
      <c r="I66" s="11">
        <f>IFERROR(100/'Skjema total MA'!F66*G66,0)</f>
        <v>2.8860418652056606E-4</v>
      </c>
      <c r="J66" s="312">
        <f t="shared" ref="J66:K86" si="9">SUM(B66,F66)</f>
        <v>43</v>
      </c>
      <c r="K66" s="319">
        <f t="shared" si="9"/>
        <v>62</v>
      </c>
      <c r="L66" s="432">
        <f t="shared" ref="L66:L111" si="10">IF(J66=0, "    ---- ", IF(ABS(ROUND(100/J66*K66-100,1))&lt;999,ROUND(100/J66*K66-100,1),IF(ROUND(100/J66*K66-100,1)&gt;999,999,-999)))</f>
        <v>44.2</v>
      </c>
      <c r="M66" s="11">
        <f>IFERROR(100/'Skjema total MA'!I66*K66,0)</f>
        <v>2.1618560644335035E-4</v>
      </c>
      <c r="O66" s="148"/>
    </row>
    <row r="67" spans="1:15" x14ac:dyDescent="0.2">
      <c r="A67" s="423" t="s">
        <v>9</v>
      </c>
      <c r="B67" s="44"/>
      <c r="C67" s="145"/>
      <c r="D67" s="166"/>
      <c r="E67" s="27"/>
      <c r="F67" s="235"/>
      <c r="G67" s="145"/>
      <c r="H67" s="166"/>
      <c r="I67" s="27"/>
      <c r="J67" s="290"/>
      <c r="K67" s="44"/>
      <c r="L67" s="257"/>
      <c r="M67" s="27"/>
      <c r="O67" s="148"/>
    </row>
    <row r="68" spans="1:15" x14ac:dyDescent="0.2">
      <c r="A68" s="21" t="s">
        <v>10</v>
      </c>
      <c r="B68" s="295"/>
      <c r="C68" s="296"/>
      <c r="D68" s="166"/>
      <c r="E68" s="27"/>
      <c r="F68" s="295">
        <v>43</v>
      </c>
      <c r="G68" s="296">
        <v>62</v>
      </c>
      <c r="H68" s="166">
        <f t="shared" si="8"/>
        <v>44.2</v>
      </c>
      <c r="I68" s="27">
        <f>IFERROR(100/'Skjema total MA'!F68*G68,0)</f>
        <v>2.9275569716745648E-4</v>
      </c>
      <c r="J68" s="290">
        <f t="shared" si="9"/>
        <v>43</v>
      </c>
      <c r="K68" s="44">
        <f t="shared" si="9"/>
        <v>62</v>
      </c>
      <c r="L68" s="257">
        <f t="shared" si="10"/>
        <v>44.2</v>
      </c>
      <c r="M68" s="27">
        <f>IFERROR(100/'Skjema total MA'!I68*K68,0)</f>
        <v>2.9093587521274302E-4</v>
      </c>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c r="C77" s="235"/>
      <c r="D77" s="166"/>
      <c r="E77" s="27"/>
      <c r="F77" s="235"/>
      <c r="G77" s="145"/>
      <c r="H77" s="166"/>
      <c r="I77" s="27"/>
      <c r="J77" s="290"/>
      <c r="K77" s="44"/>
      <c r="L77" s="257"/>
      <c r="M77" s="27"/>
      <c r="O77" s="148"/>
    </row>
    <row r="78" spans="1:15" x14ac:dyDescent="0.2">
      <c r="A78" s="21" t="s">
        <v>9</v>
      </c>
      <c r="B78" s="235"/>
      <c r="C78" s="145"/>
      <c r="D78" s="166"/>
      <c r="E78" s="27"/>
      <c r="F78" s="235"/>
      <c r="G78" s="145"/>
      <c r="H78" s="166"/>
      <c r="I78" s="27"/>
      <c r="J78" s="290"/>
      <c r="K78" s="44"/>
      <c r="L78" s="257"/>
      <c r="M78" s="27"/>
      <c r="O78" s="148"/>
    </row>
    <row r="79" spans="1:15" x14ac:dyDescent="0.2">
      <c r="A79" s="21" t="s">
        <v>10</v>
      </c>
      <c r="B79" s="295"/>
      <c r="C79" s="296"/>
      <c r="D79" s="166"/>
      <c r="E79" s="27"/>
      <c r="F79" s="295"/>
      <c r="G79" s="296"/>
      <c r="H79" s="166"/>
      <c r="I79" s="27"/>
      <c r="J79" s="290"/>
      <c r="K79" s="44"/>
      <c r="L79" s="257"/>
      <c r="M79" s="27"/>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v>43</v>
      </c>
      <c r="G86" s="145">
        <v>62</v>
      </c>
      <c r="H86" s="166">
        <f t="shared" si="8"/>
        <v>44.2</v>
      </c>
      <c r="I86" s="27">
        <f>IFERROR(100/'Skjema total MA'!F86*G86,0)</f>
        <v>0.63989650487321492</v>
      </c>
      <c r="J86" s="290">
        <f t="shared" si="9"/>
        <v>43</v>
      </c>
      <c r="K86" s="44">
        <f t="shared" si="9"/>
        <v>62</v>
      </c>
      <c r="L86" s="257">
        <f t="shared" si="10"/>
        <v>44.2</v>
      </c>
      <c r="M86" s="27">
        <f>IFERROR(100/'Skjema total MA'!I86*K86,0)</f>
        <v>5.3665325349090819E-2</v>
      </c>
      <c r="O86" s="148"/>
    </row>
    <row r="87" spans="1:15" ht="15.75" x14ac:dyDescent="0.2">
      <c r="A87" s="13" t="s">
        <v>376</v>
      </c>
      <c r="B87" s="357"/>
      <c r="C87" s="357"/>
      <c r="D87" s="171"/>
      <c r="E87" s="11"/>
      <c r="F87" s="356">
        <v>338644</v>
      </c>
      <c r="G87" s="356">
        <v>491512.76977000001</v>
      </c>
      <c r="H87" s="171">
        <f t="shared" si="8"/>
        <v>45.1</v>
      </c>
      <c r="I87" s="11">
        <f>IFERROR(100/'Skjema total MA'!F87*G87,0)</f>
        <v>0.18934370635955194</v>
      </c>
      <c r="J87" s="312">
        <f t="shared" ref="J87:K111" si="11">SUM(B87,F87)</f>
        <v>338644</v>
      </c>
      <c r="K87" s="237">
        <f t="shared" si="11"/>
        <v>491512.76977000001</v>
      </c>
      <c r="L87" s="432">
        <f t="shared" si="10"/>
        <v>45.1</v>
      </c>
      <c r="M87" s="11">
        <f>IFERROR(100/'Skjema total MA'!I87*K87,0)</f>
        <v>7.6163376741627348E-2</v>
      </c>
      <c r="O87" s="148"/>
    </row>
    <row r="88" spans="1:15" x14ac:dyDescent="0.2">
      <c r="A88" s="21" t="s">
        <v>9</v>
      </c>
      <c r="B88" s="235"/>
      <c r="C88" s="145"/>
      <c r="D88" s="166"/>
      <c r="E88" s="27"/>
      <c r="F88" s="235"/>
      <c r="G88" s="145"/>
      <c r="H88" s="166"/>
      <c r="I88" s="27"/>
      <c r="J88" s="290"/>
      <c r="K88" s="44"/>
      <c r="L88" s="257"/>
      <c r="M88" s="27"/>
      <c r="O88" s="148"/>
    </row>
    <row r="89" spans="1:15" x14ac:dyDescent="0.2">
      <c r="A89" s="21" t="s">
        <v>10</v>
      </c>
      <c r="B89" s="235"/>
      <c r="C89" s="145"/>
      <c r="D89" s="166"/>
      <c r="E89" s="27"/>
      <c r="F89" s="235">
        <v>338644</v>
      </c>
      <c r="G89" s="145">
        <v>491512.76977000001</v>
      </c>
      <c r="H89" s="166">
        <f t="shared" si="8"/>
        <v>45.1</v>
      </c>
      <c r="I89" s="27">
        <f>IFERROR(100/'Skjema total MA'!F89*G89,0)</f>
        <v>0.19009904428122343</v>
      </c>
      <c r="J89" s="290">
        <f t="shared" si="11"/>
        <v>338644</v>
      </c>
      <c r="K89" s="44">
        <f t="shared" si="11"/>
        <v>491512.76977000001</v>
      </c>
      <c r="L89" s="257">
        <f t="shared" si="10"/>
        <v>45.1</v>
      </c>
      <c r="M89" s="27">
        <f>IFERROR(100/'Skjema total MA'!I89*K89,0)</f>
        <v>0.18817986118999624</v>
      </c>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c r="C98" s="235"/>
      <c r="D98" s="166"/>
      <c r="E98" s="27"/>
      <c r="F98" s="295"/>
      <c r="G98" s="295"/>
      <c r="H98" s="166"/>
      <c r="I98" s="27"/>
      <c r="J98" s="290"/>
      <c r="K98" s="44"/>
      <c r="L98" s="257"/>
      <c r="M98" s="27"/>
      <c r="O98" s="148"/>
    </row>
    <row r="99" spans="1:15" x14ac:dyDescent="0.2">
      <c r="A99" s="21" t="s">
        <v>9</v>
      </c>
      <c r="B99" s="295"/>
      <c r="C99" s="296"/>
      <c r="D99" s="166"/>
      <c r="E99" s="27"/>
      <c r="F99" s="235"/>
      <c r="G99" s="145"/>
      <c r="H99" s="166"/>
      <c r="I99" s="27"/>
      <c r="J99" s="290"/>
      <c r="K99" s="44"/>
      <c r="L99" s="257"/>
      <c r="M99" s="27"/>
      <c r="O99" s="148"/>
    </row>
    <row r="100" spans="1:15" x14ac:dyDescent="0.2">
      <c r="A100" s="21" t="s">
        <v>10</v>
      </c>
      <c r="B100" s="295"/>
      <c r="C100" s="296"/>
      <c r="D100" s="166"/>
      <c r="E100" s="27"/>
      <c r="F100" s="235"/>
      <c r="G100" s="235"/>
      <c r="H100" s="166"/>
      <c r="I100" s="27"/>
      <c r="J100" s="290"/>
      <c r="K100" s="44"/>
      <c r="L100" s="257"/>
      <c r="M100" s="27"/>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v>338644</v>
      </c>
      <c r="G107" s="145">
        <v>491512.76977000001</v>
      </c>
      <c r="H107" s="166">
        <f t="shared" si="8"/>
        <v>45.1</v>
      </c>
      <c r="I107" s="27">
        <f>IFERROR(100/'Skjema total MA'!F107*G107,0)</f>
        <v>69.970022823973238</v>
      </c>
      <c r="J107" s="290">
        <f t="shared" si="11"/>
        <v>338644</v>
      </c>
      <c r="K107" s="44">
        <f t="shared" si="11"/>
        <v>491512.76977000001</v>
      </c>
      <c r="L107" s="257">
        <f t="shared" si="10"/>
        <v>45.1</v>
      </c>
      <c r="M107" s="27">
        <f>IFERROR(100/'Skjema total MA'!I107*K107,0)</f>
        <v>8.8402341901655461</v>
      </c>
      <c r="O107" s="148"/>
    </row>
    <row r="108" spans="1:15" ht="15.75" x14ac:dyDescent="0.2">
      <c r="A108" s="21" t="s">
        <v>395</v>
      </c>
      <c r="B108" s="235"/>
      <c r="C108" s="235"/>
      <c r="D108" s="166"/>
      <c r="E108" s="27"/>
      <c r="F108" s="235"/>
      <c r="G108" s="235"/>
      <c r="H108" s="166"/>
      <c r="I108" s="27"/>
      <c r="J108" s="290"/>
      <c r="K108" s="44"/>
      <c r="L108" s="257"/>
      <c r="M108" s="27"/>
      <c r="O108" s="148"/>
    </row>
    <row r="109" spans="1:15" ht="15.75" x14ac:dyDescent="0.2">
      <c r="A109" s="21" t="s">
        <v>396</v>
      </c>
      <c r="B109" s="235"/>
      <c r="C109" s="235"/>
      <c r="D109" s="166"/>
      <c r="E109" s="27"/>
      <c r="F109" s="235">
        <v>166257</v>
      </c>
      <c r="G109" s="235">
        <v>317025.239</v>
      </c>
      <c r="H109" s="166">
        <f t="shared" si="8"/>
        <v>90.7</v>
      </c>
      <c r="I109" s="27">
        <f>IFERROR(100/'Skjema total MA'!F109*G109,0)</f>
        <v>0.38542685384188152</v>
      </c>
      <c r="J109" s="290">
        <f t="shared" si="11"/>
        <v>166257</v>
      </c>
      <c r="K109" s="44">
        <f t="shared" si="11"/>
        <v>317025.239</v>
      </c>
      <c r="L109" s="257">
        <f t="shared" si="10"/>
        <v>90.7</v>
      </c>
      <c r="M109" s="27">
        <f>IFERROR(100/'Skjema total MA'!I109*K109,0)</f>
        <v>0.38116193430253797</v>
      </c>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c r="C111" s="159"/>
      <c r="D111" s="171"/>
      <c r="E111" s="11"/>
      <c r="F111" s="311">
        <v>71075</v>
      </c>
      <c r="G111" s="159">
        <v>110356</v>
      </c>
      <c r="H111" s="171">
        <f t="shared" si="8"/>
        <v>55.3</v>
      </c>
      <c r="I111" s="11">
        <f>IFERROR(100/'Skjema total MA'!F111*G111,0)</f>
        <v>1.0205226236816727</v>
      </c>
      <c r="J111" s="312">
        <f t="shared" si="11"/>
        <v>71075</v>
      </c>
      <c r="K111" s="237">
        <f t="shared" si="11"/>
        <v>110356</v>
      </c>
      <c r="L111" s="432">
        <f t="shared" si="10"/>
        <v>55.3</v>
      </c>
      <c r="M111" s="11">
        <f>IFERROR(100/'Skjema total MA'!I111*K111,0)</f>
        <v>0.98787469000768235</v>
      </c>
      <c r="O111" s="148"/>
    </row>
    <row r="112" spans="1:15" x14ac:dyDescent="0.2">
      <c r="A112" s="21" t="s">
        <v>9</v>
      </c>
      <c r="B112" s="235"/>
      <c r="C112" s="145"/>
      <c r="D112" s="166"/>
      <c r="E112" s="27"/>
      <c r="F112" s="235"/>
      <c r="G112" s="145"/>
      <c r="H112" s="166"/>
      <c r="I112" s="27"/>
      <c r="J112" s="290"/>
      <c r="K112" s="44"/>
      <c r="L112" s="257"/>
      <c r="M112" s="27"/>
      <c r="O112" s="148"/>
    </row>
    <row r="113" spans="1:15" x14ac:dyDescent="0.2">
      <c r="A113" s="21" t="s">
        <v>10</v>
      </c>
      <c r="B113" s="235"/>
      <c r="C113" s="145"/>
      <c r="D113" s="166"/>
      <c r="E113" s="27"/>
      <c r="F113" s="235">
        <v>71075</v>
      </c>
      <c r="G113" s="145">
        <v>110356</v>
      </c>
      <c r="H113" s="166">
        <f t="shared" ref="H113:H125" si="12">IF(F113=0, "    ---- ", IF(ABS(ROUND(100/F113*G113-100,1))&lt;999,ROUND(100/F113*G113-100,1),IF(ROUND(100/F113*G113-100,1)&gt;999,999,-999)))</f>
        <v>55.3</v>
      </c>
      <c r="I113" s="27">
        <f>IFERROR(100/'Skjema total MA'!F113*G113,0)</f>
        <v>1.0243740050710046</v>
      </c>
      <c r="J113" s="290">
        <f t="shared" ref="J113:K125" si="13">SUM(B113,F113)</f>
        <v>71075</v>
      </c>
      <c r="K113" s="44">
        <f t="shared" si="13"/>
        <v>110356</v>
      </c>
      <c r="L113" s="257">
        <f t="shared" ref="L113:L125" si="14">IF(J113=0, "    ---- ", IF(ABS(ROUND(100/J113*K113-100,1))&lt;999,ROUND(100/J113*K113-100,1),IF(ROUND(100/J113*K113-100,1)&gt;999,999,-999)))</f>
        <v>55.3</v>
      </c>
      <c r="M113" s="27">
        <f>IFERROR(100/'Skjema total MA'!I113*K113,0)</f>
        <v>1.0241804761664637</v>
      </c>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c r="C116" s="235"/>
      <c r="D116" s="166"/>
      <c r="E116" s="27"/>
      <c r="F116" s="235"/>
      <c r="G116" s="235"/>
      <c r="H116" s="166"/>
      <c r="I116" s="27"/>
      <c r="J116" s="290"/>
      <c r="K116" s="44"/>
      <c r="L116" s="257"/>
      <c r="M116" s="27"/>
      <c r="O116" s="148"/>
    </row>
    <row r="117" spans="1:15" ht="15.75" x14ac:dyDescent="0.2">
      <c r="A117" s="21" t="s">
        <v>399</v>
      </c>
      <c r="B117" s="235"/>
      <c r="C117" s="235"/>
      <c r="D117" s="166"/>
      <c r="E117" s="27"/>
      <c r="F117" s="235">
        <v>71075</v>
      </c>
      <c r="G117" s="235">
        <v>110356</v>
      </c>
      <c r="H117" s="166">
        <f t="shared" si="12"/>
        <v>55.3</v>
      </c>
      <c r="I117" s="27">
        <f>IFERROR(100/'Skjema total MA'!F117*G117,0)</f>
        <v>6.7063066853215298</v>
      </c>
      <c r="J117" s="290">
        <f t="shared" si="13"/>
        <v>71075</v>
      </c>
      <c r="K117" s="44">
        <f t="shared" si="13"/>
        <v>110356</v>
      </c>
      <c r="L117" s="257">
        <f t="shared" si="14"/>
        <v>55.3</v>
      </c>
      <c r="M117" s="27">
        <f>IFERROR(100/'Skjema total MA'!I117*K117,0)</f>
        <v>6.7063066853215298</v>
      </c>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c r="C119" s="159"/>
      <c r="D119" s="171"/>
      <c r="E119" s="11"/>
      <c r="F119" s="311">
        <v>863</v>
      </c>
      <c r="G119" s="159">
        <v>1162</v>
      </c>
      <c r="H119" s="171">
        <f t="shared" si="12"/>
        <v>34.6</v>
      </c>
      <c r="I119" s="11">
        <f>IFERROR(100/'Skjema total MA'!F119*G119,0)</f>
        <v>1.0666804517794811E-2</v>
      </c>
      <c r="J119" s="312">
        <f t="shared" si="13"/>
        <v>863</v>
      </c>
      <c r="K119" s="237">
        <f t="shared" si="13"/>
        <v>1162</v>
      </c>
      <c r="L119" s="432">
        <f t="shared" si="14"/>
        <v>34.6</v>
      </c>
      <c r="M119" s="11">
        <f>IFERROR(100/'Skjema total MA'!I119*K119,0)</f>
        <v>9.9420697268929187E-3</v>
      </c>
      <c r="O119" s="148"/>
    </row>
    <row r="120" spans="1:15" x14ac:dyDescent="0.2">
      <c r="A120" s="21" t="s">
        <v>9</v>
      </c>
      <c r="B120" s="235"/>
      <c r="C120" s="145"/>
      <c r="D120" s="166"/>
      <c r="E120" s="27"/>
      <c r="F120" s="235"/>
      <c r="G120" s="145"/>
      <c r="H120" s="166"/>
      <c r="I120" s="27"/>
      <c r="J120" s="290"/>
      <c r="K120" s="44"/>
      <c r="L120" s="257"/>
      <c r="M120" s="27"/>
      <c r="O120" s="148"/>
    </row>
    <row r="121" spans="1:15" x14ac:dyDescent="0.2">
      <c r="A121" s="21" t="s">
        <v>10</v>
      </c>
      <c r="B121" s="235"/>
      <c r="C121" s="145"/>
      <c r="D121" s="166"/>
      <c r="E121" s="27"/>
      <c r="F121" s="235">
        <v>863</v>
      </c>
      <c r="G121" s="145">
        <v>1162</v>
      </c>
      <c r="H121" s="166">
        <f t="shared" si="12"/>
        <v>34.6</v>
      </c>
      <c r="I121" s="27">
        <f>IFERROR(100/'Skjema total MA'!F121*G121,0)</f>
        <v>1.0666804517794811E-2</v>
      </c>
      <c r="J121" s="290">
        <f t="shared" si="13"/>
        <v>863</v>
      </c>
      <c r="K121" s="44">
        <f t="shared" si="13"/>
        <v>1162</v>
      </c>
      <c r="L121" s="257">
        <f t="shared" si="14"/>
        <v>34.6</v>
      </c>
      <c r="M121" s="27">
        <f>IFERROR(100/'Skjema total MA'!I121*K121,0)</f>
        <v>1.0640212250419138E-2</v>
      </c>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v>0</v>
      </c>
      <c r="G125" s="235">
        <v>1009</v>
      </c>
      <c r="H125" s="166" t="str">
        <f t="shared" si="12"/>
        <v xml:space="preserve">    ---- </v>
      </c>
      <c r="I125" s="27">
        <f>IFERROR(100/'Skjema total MA'!F125*G125,0)</f>
        <v>6.4876649599114392E-2</v>
      </c>
      <c r="J125" s="290">
        <f t="shared" si="13"/>
        <v>0</v>
      </c>
      <c r="K125" s="44">
        <f t="shared" si="13"/>
        <v>1009</v>
      </c>
      <c r="L125" s="257" t="str">
        <f t="shared" si="14"/>
        <v xml:space="preserve">    ---- </v>
      </c>
      <c r="M125" s="27">
        <f>IFERROR(100/'Skjema total MA'!I125*K125,0)</f>
        <v>6.4769370750850944E-2</v>
      </c>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516" priority="132">
      <formula>kvartal &lt; 4</formula>
    </cfRule>
  </conditionalFormatting>
  <conditionalFormatting sqref="B69">
    <cfRule type="expression" dxfId="515" priority="100">
      <formula>kvartal &lt; 4</formula>
    </cfRule>
  </conditionalFormatting>
  <conditionalFormatting sqref="C69">
    <cfRule type="expression" dxfId="514" priority="99">
      <formula>kvartal &lt; 4</formula>
    </cfRule>
  </conditionalFormatting>
  <conditionalFormatting sqref="B72">
    <cfRule type="expression" dxfId="513" priority="98">
      <formula>kvartal &lt; 4</formula>
    </cfRule>
  </conditionalFormatting>
  <conditionalFormatting sqref="C72">
    <cfRule type="expression" dxfId="512" priority="97">
      <formula>kvartal &lt; 4</formula>
    </cfRule>
  </conditionalFormatting>
  <conditionalFormatting sqref="B80">
    <cfRule type="expression" dxfId="511" priority="96">
      <formula>kvartal &lt; 4</formula>
    </cfRule>
  </conditionalFormatting>
  <conditionalFormatting sqref="C80">
    <cfRule type="expression" dxfId="510" priority="95">
      <formula>kvartal &lt; 4</formula>
    </cfRule>
  </conditionalFormatting>
  <conditionalFormatting sqref="B83">
    <cfRule type="expression" dxfId="509" priority="94">
      <formula>kvartal &lt; 4</formula>
    </cfRule>
  </conditionalFormatting>
  <conditionalFormatting sqref="C83">
    <cfRule type="expression" dxfId="508" priority="93">
      <formula>kvartal &lt; 4</formula>
    </cfRule>
  </conditionalFormatting>
  <conditionalFormatting sqref="B90">
    <cfRule type="expression" dxfId="507" priority="84">
      <formula>kvartal &lt; 4</formula>
    </cfRule>
  </conditionalFormatting>
  <conditionalFormatting sqref="C90">
    <cfRule type="expression" dxfId="506" priority="83">
      <formula>kvartal &lt; 4</formula>
    </cfRule>
  </conditionalFormatting>
  <conditionalFormatting sqref="B93">
    <cfRule type="expression" dxfId="505" priority="82">
      <formula>kvartal &lt; 4</formula>
    </cfRule>
  </conditionalFormatting>
  <conditionalFormatting sqref="C93">
    <cfRule type="expression" dxfId="504" priority="81">
      <formula>kvartal &lt; 4</formula>
    </cfRule>
  </conditionalFormatting>
  <conditionalFormatting sqref="B101">
    <cfRule type="expression" dxfId="503" priority="80">
      <formula>kvartal &lt; 4</formula>
    </cfRule>
  </conditionalFormatting>
  <conditionalFormatting sqref="C101">
    <cfRule type="expression" dxfId="502" priority="79">
      <formula>kvartal &lt; 4</formula>
    </cfRule>
  </conditionalFormatting>
  <conditionalFormatting sqref="B104">
    <cfRule type="expression" dxfId="501" priority="78">
      <formula>kvartal &lt; 4</formula>
    </cfRule>
  </conditionalFormatting>
  <conditionalFormatting sqref="C104">
    <cfRule type="expression" dxfId="500" priority="77">
      <formula>kvartal &lt; 4</formula>
    </cfRule>
  </conditionalFormatting>
  <conditionalFormatting sqref="B115">
    <cfRule type="expression" dxfId="499" priority="76">
      <formula>kvartal &lt; 4</formula>
    </cfRule>
  </conditionalFormatting>
  <conditionalFormatting sqref="C115">
    <cfRule type="expression" dxfId="498" priority="75">
      <formula>kvartal &lt; 4</formula>
    </cfRule>
  </conditionalFormatting>
  <conditionalFormatting sqref="B123">
    <cfRule type="expression" dxfId="497" priority="74">
      <formula>kvartal &lt; 4</formula>
    </cfRule>
  </conditionalFormatting>
  <conditionalFormatting sqref="C123">
    <cfRule type="expression" dxfId="496" priority="73">
      <formula>kvartal &lt; 4</formula>
    </cfRule>
  </conditionalFormatting>
  <conditionalFormatting sqref="F70">
    <cfRule type="expression" dxfId="495" priority="72">
      <formula>kvartal &lt; 4</formula>
    </cfRule>
  </conditionalFormatting>
  <conditionalFormatting sqref="G70">
    <cfRule type="expression" dxfId="494" priority="71">
      <formula>kvartal &lt; 4</formula>
    </cfRule>
  </conditionalFormatting>
  <conditionalFormatting sqref="F71:G71">
    <cfRule type="expression" dxfId="493" priority="70">
      <formula>kvartal &lt; 4</formula>
    </cfRule>
  </conditionalFormatting>
  <conditionalFormatting sqref="F73:G74">
    <cfRule type="expression" dxfId="492" priority="69">
      <formula>kvartal &lt; 4</formula>
    </cfRule>
  </conditionalFormatting>
  <conditionalFormatting sqref="F81:G82">
    <cfRule type="expression" dxfId="491" priority="68">
      <formula>kvartal &lt; 4</formula>
    </cfRule>
  </conditionalFormatting>
  <conditionalFormatting sqref="F84:G85">
    <cfRule type="expression" dxfId="490" priority="67">
      <formula>kvartal &lt; 4</formula>
    </cfRule>
  </conditionalFormatting>
  <conditionalFormatting sqref="F91:G92">
    <cfRule type="expression" dxfId="489" priority="62">
      <formula>kvartal &lt; 4</formula>
    </cfRule>
  </conditionalFormatting>
  <conditionalFormatting sqref="F94:G95">
    <cfRule type="expression" dxfId="488" priority="61">
      <formula>kvartal &lt; 4</formula>
    </cfRule>
  </conditionalFormatting>
  <conditionalFormatting sqref="F102:G103">
    <cfRule type="expression" dxfId="487" priority="60">
      <formula>kvartal &lt; 4</formula>
    </cfRule>
  </conditionalFormatting>
  <conditionalFormatting sqref="F105:G106">
    <cfRule type="expression" dxfId="486" priority="59">
      <formula>kvartal &lt; 4</formula>
    </cfRule>
  </conditionalFormatting>
  <conditionalFormatting sqref="F115">
    <cfRule type="expression" dxfId="485" priority="58">
      <formula>kvartal &lt; 4</formula>
    </cfRule>
  </conditionalFormatting>
  <conditionalFormatting sqref="G115">
    <cfRule type="expression" dxfId="484" priority="57">
      <formula>kvartal &lt; 4</formula>
    </cfRule>
  </conditionalFormatting>
  <conditionalFormatting sqref="F123:G123">
    <cfRule type="expression" dxfId="483" priority="56">
      <formula>kvartal &lt; 4</formula>
    </cfRule>
  </conditionalFormatting>
  <conditionalFormatting sqref="F69:G69">
    <cfRule type="expression" dxfId="482" priority="55">
      <formula>kvartal &lt; 4</formula>
    </cfRule>
  </conditionalFormatting>
  <conditionalFormatting sqref="F72:G72">
    <cfRule type="expression" dxfId="481" priority="54">
      <formula>kvartal &lt; 4</formula>
    </cfRule>
  </conditionalFormatting>
  <conditionalFormatting sqref="F80:G80">
    <cfRule type="expression" dxfId="480" priority="53">
      <formula>kvartal &lt; 4</formula>
    </cfRule>
  </conditionalFormatting>
  <conditionalFormatting sqref="F83:G83">
    <cfRule type="expression" dxfId="479" priority="52">
      <formula>kvartal &lt; 4</formula>
    </cfRule>
  </conditionalFormatting>
  <conditionalFormatting sqref="F90:G90">
    <cfRule type="expression" dxfId="478" priority="46">
      <formula>kvartal &lt; 4</formula>
    </cfRule>
  </conditionalFormatting>
  <conditionalFormatting sqref="F93">
    <cfRule type="expression" dxfId="477" priority="45">
      <formula>kvartal &lt; 4</formula>
    </cfRule>
  </conditionalFormatting>
  <conditionalFormatting sqref="G93">
    <cfRule type="expression" dxfId="476" priority="44">
      <formula>kvartal &lt; 4</formula>
    </cfRule>
  </conditionalFormatting>
  <conditionalFormatting sqref="F101">
    <cfRule type="expression" dxfId="475" priority="43">
      <formula>kvartal &lt; 4</formula>
    </cfRule>
  </conditionalFormatting>
  <conditionalFormatting sqref="G101">
    <cfRule type="expression" dxfId="474" priority="42">
      <formula>kvartal &lt; 4</formula>
    </cfRule>
  </conditionalFormatting>
  <conditionalFormatting sqref="G104">
    <cfRule type="expression" dxfId="473" priority="41">
      <formula>kvartal &lt; 4</formula>
    </cfRule>
  </conditionalFormatting>
  <conditionalFormatting sqref="F104">
    <cfRule type="expression" dxfId="472" priority="40">
      <formula>kvartal &lt; 4</formula>
    </cfRule>
  </conditionalFormatting>
  <conditionalFormatting sqref="J69:K73">
    <cfRule type="expression" dxfId="471" priority="39">
      <formula>kvartal &lt; 4</formula>
    </cfRule>
  </conditionalFormatting>
  <conditionalFormatting sqref="J74:K74">
    <cfRule type="expression" dxfId="470" priority="38">
      <formula>kvartal &lt; 4</formula>
    </cfRule>
  </conditionalFormatting>
  <conditionalFormatting sqref="J80:K85">
    <cfRule type="expression" dxfId="469" priority="37">
      <formula>kvartal &lt; 4</formula>
    </cfRule>
  </conditionalFormatting>
  <conditionalFormatting sqref="J90:K95">
    <cfRule type="expression" dxfId="468" priority="34">
      <formula>kvartal &lt; 4</formula>
    </cfRule>
  </conditionalFormatting>
  <conditionalFormatting sqref="J101:K106">
    <cfRule type="expression" dxfId="467" priority="33">
      <formula>kvartal &lt; 4</formula>
    </cfRule>
  </conditionalFormatting>
  <conditionalFormatting sqref="J115:K115">
    <cfRule type="expression" dxfId="466" priority="32">
      <formula>kvartal &lt; 4</formula>
    </cfRule>
  </conditionalFormatting>
  <conditionalFormatting sqref="J123:K123">
    <cfRule type="expression" dxfId="465" priority="31">
      <formula>kvartal &lt; 4</formula>
    </cfRule>
  </conditionalFormatting>
  <conditionalFormatting sqref="A50:A52">
    <cfRule type="expression" dxfId="464" priority="12">
      <formula>kvartal &lt; 4</formula>
    </cfRule>
  </conditionalFormatting>
  <conditionalFormatting sqref="A69:A74">
    <cfRule type="expression" dxfId="463" priority="10">
      <formula>kvartal &lt; 4</formula>
    </cfRule>
  </conditionalFormatting>
  <conditionalFormatting sqref="A80:A85">
    <cfRule type="expression" dxfId="462" priority="9">
      <formula>kvartal &lt; 4</formula>
    </cfRule>
  </conditionalFormatting>
  <conditionalFormatting sqref="A90:A95">
    <cfRule type="expression" dxfId="461" priority="6">
      <formula>kvartal &lt; 4</formula>
    </cfRule>
  </conditionalFormatting>
  <conditionalFormatting sqref="A101:A106">
    <cfRule type="expression" dxfId="460" priority="5">
      <formula>kvartal &lt; 4</formula>
    </cfRule>
  </conditionalFormatting>
  <conditionalFormatting sqref="A115">
    <cfRule type="expression" dxfId="459" priority="4">
      <formula>kvartal &lt; 4</formula>
    </cfRule>
  </conditionalFormatting>
  <conditionalFormatting sqref="A123">
    <cfRule type="expression" dxfId="458" priority="3">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O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142</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v>588952.93865000003</v>
      </c>
      <c r="C7" s="310">
        <v>633215.16139999998</v>
      </c>
      <c r="D7" s="354">
        <f>IF(B7=0, "    ---- ", IF(ABS(ROUND(100/B7*C7-100,1))&lt;999,ROUND(100/B7*C7-100,1),IF(ROUND(100/B7*C7-100,1)&gt;999,999,-999)))</f>
        <v>7.5</v>
      </c>
      <c r="E7" s="11">
        <f>IFERROR(100/'Skjema total MA'!C7*C7,0)</f>
        <v>18.006172482529823</v>
      </c>
      <c r="F7" s="309">
        <v>203754.50091999999</v>
      </c>
      <c r="G7" s="310">
        <v>278375.26510000002</v>
      </c>
      <c r="H7" s="354">
        <f>IF(F7=0, "    ---- ", IF(ABS(ROUND(100/F7*G7-100,1))&lt;999,ROUND(100/F7*G7-100,1),IF(ROUND(100/F7*G7-100,1)&gt;999,999,-999)))</f>
        <v>36.6</v>
      </c>
      <c r="I7" s="160">
        <f>IFERROR(100/'Skjema total MA'!F7*G7,0)</f>
        <v>5.063984686517716</v>
      </c>
      <c r="J7" s="311">
        <f t="shared" ref="J7:K12" si="0">SUM(B7,F7)</f>
        <v>792707.43957000005</v>
      </c>
      <c r="K7" s="312">
        <f t="shared" si="0"/>
        <v>911590.42650000006</v>
      </c>
      <c r="L7" s="431">
        <f>IF(J7=0, "    ---- ", IF(ABS(ROUND(100/J7*K7-100,1))&lt;999,ROUND(100/J7*K7-100,1),IF(ROUND(100/J7*K7-100,1)&gt;999,999,-999)))</f>
        <v>15</v>
      </c>
      <c r="M7" s="11">
        <f>IFERROR(100/'Skjema total MA'!I7*K7,0)</f>
        <v>10.113259112938678</v>
      </c>
      <c r="O7" s="148"/>
    </row>
    <row r="8" spans="1:15" ht="15.75" x14ac:dyDescent="0.2">
      <c r="A8" s="21" t="s">
        <v>25</v>
      </c>
      <c r="B8" s="284">
        <v>521376</v>
      </c>
      <c r="C8" s="285">
        <v>565356.83800202701</v>
      </c>
      <c r="D8" s="166">
        <f t="shared" ref="D8:D10" si="1">IF(B8=0, "    ---- ", IF(ABS(ROUND(100/B8*C8-100,1))&lt;999,ROUND(100/B8*C8-100,1),IF(ROUND(100/B8*C8-100,1)&gt;999,999,-999)))</f>
        <v>8.4</v>
      </c>
      <c r="E8" s="27">
        <f>IFERROR(100/'Skjema total MA'!C8*C8,0)</f>
        <v>26.877982903869945</v>
      </c>
      <c r="F8" s="288"/>
      <c r="G8" s="289"/>
      <c r="H8" s="166"/>
      <c r="I8" s="176"/>
      <c r="J8" s="235">
        <f t="shared" si="0"/>
        <v>521376</v>
      </c>
      <c r="K8" s="290">
        <f t="shared" si="0"/>
        <v>565356.83800202701</v>
      </c>
      <c r="L8" s="257">
        <f t="shared" ref="L8:L12" si="2">IF(J8=0, "    ---- ", IF(ABS(ROUND(100/J8*K8-100,1))&lt;999,ROUND(100/J8*K8-100,1),IF(ROUND(100/J8*K8-100,1)&gt;999,999,-999)))</f>
        <v>8.4</v>
      </c>
      <c r="M8" s="27">
        <f>IFERROR(100/'Skjema total MA'!I8*K8,0)</f>
        <v>26.877982903869945</v>
      </c>
      <c r="O8" s="148"/>
    </row>
    <row r="9" spans="1:15" ht="15.75" x14ac:dyDescent="0.2">
      <c r="A9" s="21" t="s">
        <v>24</v>
      </c>
      <c r="B9" s="284">
        <v>66044</v>
      </c>
      <c r="C9" s="285">
        <v>67550.898805746605</v>
      </c>
      <c r="D9" s="166">
        <f t="shared" si="1"/>
        <v>2.2999999999999998</v>
      </c>
      <c r="E9" s="27">
        <f>IFERROR(100/'Skjema total MA'!C9*C9,0)</f>
        <v>8.6402094923642085</v>
      </c>
      <c r="F9" s="288"/>
      <c r="G9" s="289"/>
      <c r="H9" s="166"/>
      <c r="I9" s="176"/>
      <c r="J9" s="235">
        <f t="shared" si="0"/>
        <v>66044</v>
      </c>
      <c r="K9" s="290">
        <f t="shared" si="0"/>
        <v>67550.898805746605</v>
      </c>
      <c r="L9" s="257">
        <f t="shared" si="2"/>
        <v>2.2999999999999998</v>
      </c>
      <c r="M9" s="27">
        <f>IFERROR(100/'Skjema total MA'!I9*K9,0)</f>
        <v>8.6402094923642085</v>
      </c>
      <c r="O9" s="148"/>
    </row>
    <row r="10" spans="1:15" ht="15.75" x14ac:dyDescent="0.2">
      <c r="A10" s="13" t="s">
        <v>376</v>
      </c>
      <c r="B10" s="313">
        <v>910862.72031999996</v>
      </c>
      <c r="C10" s="314">
        <v>877413.55894000002</v>
      </c>
      <c r="D10" s="171">
        <f t="shared" si="1"/>
        <v>-3.7</v>
      </c>
      <c r="E10" s="11">
        <f>IFERROR(100/'Skjema total MA'!C10*C10,0)</f>
        <v>4.1365034305218185</v>
      </c>
      <c r="F10" s="313">
        <v>2060106.22566</v>
      </c>
      <c r="G10" s="314">
        <v>2373708.3891699999</v>
      </c>
      <c r="H10" s="171">
        <f t="shared" ref="H10:H12" si="3">IF(F10=0, "    ---- ", IF(ABS(ROUND(100/F10*G10-100,1))&lt;999,ROUND(100/F10*G10-100,1),IF(ROUND(100/F10*G10-100,1)&gt;999,999,-999)))</f>
        <v>15.2</v>
      </c>
      <c r="I10" s="160">
        <f>IFERROR(100/'Skjema total MA'!F10*G10,0)</f>
        <v>5.3214156591726294</v>
      </c>
      <c r="J10" s="311">
        <f t="shared" si="0"/>
        <v>2970968.9459799998</v>
      </c>
      <c r="K10" s="312">
        <f t="shared" si="0"/>
        <v>3251121.9481099998</v>
      </c>
      <c r="L10" s="432">
        <f t="shared" si="2"/>
        <v>9.4</v>
      </c>
      <c r="M10" s="11">
        <f>IFERROR(100/'Skjema total MA'!I10*K10,0)</f>
        <v>4.9395494649232994</v>
      </c>
      <c r="O10" s="148"/>
    </row>
    <row r="11" spans="1:15" s="43" customFormat="1" ht="15.75" x14ac:dyDescent="0.2">
      <c r="A11" s="13" t="s">
        <v>377</v>
      </c>
      <c r="B11" s="313"/>
      <c r="C11" s="314"/>
      <c r="D11" s="171"/>
      <c r="E11" s="11"/>
      <c r="F11" s="313">
        <v>15775.23372</v>
      </c>
      <c r="G11" s="314">
        <v>38722.868640000001</v>
      </c>
      <c r="H11" s="171">
        <f t="shared" si="3"/>
        <v>145.5</v>
      </c>
      <c r="I11" s="160">
        <f>IFERROR(100/'Skjema total MA'!F11*G11,0)</f>
        <v>18.855521039291773</v>
      </c>
      <c r="J11" s="311">
        <f t="shared" si="0"/>
        <v>15775.23372</v>
      </c>
      <c r="K11" s="312">
        <f t="shared" si="0"/>
        <v>38722.868640000001</v>
      </c>
      <c r="L11" s="432">
        <f t="shared" si="2"/>
        <v>145.5</v>
      </c>
      <c r="M11" s="11">
        <f>IFERROR(100/'Skjema total MA'!I11*K11,0)</f>
        <v>16.990629170991919</v>
      </c>
      <c r="N11" s="143"/>
      <c r="O11" s="148"/>
    </row>
    <row r="12" spans="1:15" s="43" customFormat="1" ht="15.75" x14ac:dyDescent="0.2">
      <c r="A12" s="41" t="s">
        <v>378</v>
      </c>
      <c r="B12" s="315"/>
      <c r="C12" s="316"/>
      <c r="D12" s="169"/>
      <c r="E12" s="36"/>
      <c r="F12" s="315">
        <v>3697.1972500000002</v>
      </c>
      <c r="G12" s="316">
        <v>2358.45055</v>
      </c>
      <c r="H12" s="169">
        <f t="shared" si="3"/>
        <v>-36.200000000000003</v>
      </c>
      <c r="I12" s="169">
        <f>IFERROR(100/'Skjema total MA'!F12*G12,0)</f>
        <v>1.3609156746178541</v>
      </c>
      <c r="J12" s="317">
        <f t="shared" si="0"/>
        <v>3697.1972500000002</v>
      </c>
      <c r="K12" s="318">
        <f t="shared" si="0"/>
        <v>2358.45055</v>
      </c>
      <c r="L12" s="433">
        <f t="shared" si="2"/>
        <v>-36.200000000000003</v>
      </c>
      <c r="M12" s="36">
        <f>IFERROR(100/'Skjema total MA'!I12*K12,0)</f>
        <v>1.3602955702127577</v>
      </c>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v>381061.91279999999</v>
      </c>
      <c r="C22" s="319">
        <v>389070.39088999998</v>
      </c>
      <c r="D22" s="354">
        <f t="shared" ref="D22:D35" si="4">IF(B22=0, "    ---- ", IF(ABS(ROUND(100/B22*C22-100,1))&lt;999,ROUND(100/B22*C22-100,1),IF(ROUND(100/B22*C22-100,1)&gt;999,999,-999)))</f>
        <v>2.1</v>
      </c>
      <c r="E22" s="11">
        <f>IFERROR(100/'Skjema total MA'!C22*C22,0)</f>
        <v>32.406335955326966</v>
      </c>
      <c r="F22" s="321">
        <v>25568.907759999998</v>
      </c>
      <c r="G22" s="321">
        <v>117491.52709</v>
      </c>
      <c r="H22" s="354">
        <f t="shared" ref="H22:H35" si="5">IF(F22=0, "    ---- ", IF(ABS(ROUND(100/F22*G22-100,1))&lt;999,ROUND(100/F22*G22-100,1),IF(ROUND(100/F22*G22-100,1)&gt;999,999,-999)))</f>
        <v>359.5</v>
      </c>
      <c r="I22" s="11">
        <f>IFERROR(100/'Skjema total MA'!F22*G22,0)</f>
        <v>15.227684500721477</v>
      </c>
      <c r="J22" s="319">
        <f t="shared" ref="J22:K35" si="6">SUM(B22,F22)</f>
        <v>406630.82055999996</v>
      </c>
      <c r="K22" s="319">
        <f t="shared" si="6"/>
        <v>506561.91797999997</v>
      </c>
      <c r="L22" s="431">
        <f t="shared" ref="L22:L35" si="7">IF(J22=0, "    ---- ", IF(ABS(ROUND(100/J22*K22-100,1))&lt;999,ROUND(100/J22*K22-100,1),IF(ROUND(100/J22*K22-100,1)&gt;999,999,-999)))</f>
        <v>24.6</v>
      </c>
      <c r="M22" s="24">
        <f>IFERROR(100/'Skjema total MA'!I22*K22,0)</f>
        <v>25.685574353552919</v>
      </c>
      <c r="O22" s="148"/>
    </row>
    <row r="23" spans="1:15" ht="15.75" x14ac:dyDescent="0.2">
      <c r="A23" s="619" t="s">
        <v>379</v>
      </c>
      <c r="B23" s="284"/>
      <c r="C23" s="284">
        <v>385997.23130713002</v>
      </c>
      <c r="D23" s="166" t="str">
        <f t="shared" si="4"/>
        <v xml:space="preserve">    ---- </v>
      </c>
      <c r="E23" s="11">
        <f>IFERROR(100/'Skjema total MA'!C23*C23,0)</f>
        <v>44.158718026059866</v>
      </c>
      <c r="F23" s="293"/>
      <c r="G23" s="293">
        <v>6257.5892000000003</v>
      </c>
      <c r="H23" s="166" t="str">
        <f t="shared" si="5"/>
        <v xml:space="preserve">    ---- </v>
      </c>
      <c r="I23" s="421">
        <f>IFERROR(100/'Skjema total MA'!F23*G23,0)</f>
        <v>4.9368688113111832</v>
      </c>
      <c r="J23" s="293"/>
      <c r="K23" s="293">
        <f t="shared" ref="K23:K26" si="8">SUM(C23,G23)</f>
        <v>392254.82050713</v>
      </c>
      <c r="L23" s="257" t="str">
        <f t="shared" si="7"/>
        <v xml:space="preserve">    ---- </v>
      </c>
      <c r="M23" s="23">
        <f>IFERROR(100/'Skjema total MA'!I23*K23,0)</f>
        <v>39.191561904619647</v>
      </c>
      <c r="O23" s="148"/>
    </row>
    <row r="24" spans="1:15" ht="15.75" x14ac:dyDescent="0.2">
      <c r="A24" s="619" t="s">
        <v>380</v>
      </c>
      <c r="B24" s="284"/>
      <c r="C24" s="284">
        <v>3073.1595828701902</v>
      </c>
      <c r="D24" s="166" t="str">
        <f t="shared" si="4"/>
        <v xml:space="preserve">    ---- </v>
      </c>
      <c r="E24" s="11">
        <f>IFERROR(100/'Skjema total MA'!C24*C24,0)</f>
        <v>28.998184181744158</v>
      </c>
      <c r="F24" s="293"/>
      <c r="G24" s="293">
        <v>-46.00309</v>
      </c>
      <c r="H24" s="166" t="str">
        <f t="shared" si="5"/>
        <v xml:space="preserve">    ---- </v>
      </c>
      <c r="I24" s="421">
        <f>IFERROR(100/'Skjema total MA'!F24*G24,0)</f>
        <v>-183.54076712263762</v>
      </c>
      <c r="J24" s="293"/>
      <c r="K24" s="293">
        <f t="shared" si="8"/>
        <v>3027.15649287019</v>
      </c>
      <c r="L24" s="257" t="str">
        <f t="shared" si="7"/>
        <v xml:space="preserve">    ---- </v>
      </c>
      <c r="M24" s="23">
        <f>IFERROR(100/'Skjema total MA'!I24*K24,0)</f>
        <v>28.496705159037649</v>
      </c>
      <c r="O24" s="148"/>
    </row>
    <row r="25" spans="1:15" ht="15.75" x14ac:dyDescent="0.2">
      <c r="A25" s="619" t="s">
        <v>381</v>
      </c>
      <c r="B25" s="284"/>
      <c r="C25" s="284"/>
      <c r="D25" s="166"/>
      <c r="E25" s="11"/>
      <c r="F25" s="293"/>
      <c r="G25" s="293">
        <v>8011.4312099999997</v>
      </c>
      <c r="H25" s="166" t="str">
        <f t="shared" si="5"/>
        <v xml:space="preserve">    ---- </v>
      </c>
      <c r="I25" s="421">
        <f>IFERROR(100/'Skjema total MA'!F25*G25,0)</f>
        <v>8.6505957673323071</v>
      </c>
      <c r="J25" s="293"/>
      <c r="K25" s="293">
        <f t="shared" si="8"/>
        <v>8011.4312099999997</v>
      </c>
      <c r="L25" s="257" t="str">
        <f t="shared" si="7"/>
        <v xml:space="preserve">    ---- </v>
      </c>
      <c r="M25" s="23">
        <f>IFERROR(100/'Skjema total MA'!I25*K25,0)</f>
        <v>6.8325834929516516</v>
      </c>
      <c r="O25" s="148"/>
    </row>
    <row r="26" spans="1:15" ht="15.75" x14ac:dyDescent="0.2">
      <c r="A26" s="619" t="s">
        <v>382</v>
      </c>
      <c r="B26" s="284"/>
      <c r="C26" s="284"/>
      <c r="D26" s="166"/>
      <c r="E26" s="11"/>
      <c r="F26" s="293"/>
      <c r="G26" s="293">
        <v>103268.50977</v>
      </c>
      <c r="H26" s="166" t="str">
        <f t="shared" si="5"/>
        <v xml:space="preserve">    ---- </v>
      </c>
      <c r="I26" s="421">
        <f>IFERROR(100/'Skjema total MA'!F26*G26,0)</f>
        <v>18.702073753627481</v>
      </c>
      <c r="J26" s="293"/>
      <c r="K26" s="293">
        <f t="shared" si="8"/>
        <v>103268.50977</v>
      </c>
      <c r="L26" s="257" t="str">
        <f t="shared" si="7"/>
        <v xml:space="preserve">    ---- </v>
      </c>
      <c r="M26" s="23">
        <f>IFERROR(100/'Skjema total MA'!I26*K26,0)</f>
        <v>18.702073753627481</v>
      </c>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v>366908</v>
      </c>
      <c r="C28" s="290">
        <v>400678.12867215101</v>
      </c>
      <c r="D28" s="166">
        <f t="shared" si="4"/>
        <v>9.1999999999999993</v>
      </c>
      <c r="E28" s="11">
        <f>IFERROR(100/'Skjema total MA'!C28*C28,0)</f>
        <v>28.014818165922652</v>
      </c>
      <c r="F28" s="235"/>
      <c r="G28" s="290"/>
      <c r="H28" s="166"/>
      <c r="I28" s="27">
        <f>IFERROR(100/'Skjema total MA'!F28*G28,0)</f>
        <v>0</v>
      </c>
      <c r="J28" s="44">
        <f t="shared" si="6"/>
        <v>366908</v>
      </c>
      <c r="K28" s="44">
        <f t="shared" si="6"/>
        <v>400678.12867215101</v>
      </c>
      <c r="L28" s="257">
        <f t="shared" si="7"/>
        <v>9.1999999999999993</v>
      </c>
      <c r="M28" s="23">
        <f>IFERROR(100/'Skjema total MA'!I28*K28,0)</f>
        <v>28.014818165922652</v>
      </c>
      <c r="O28" s="148"/>
    </row>
    <row r="29" spans="1:15" s="3" customFormat="1" ht="15.75" x14ac:dyDescent="0.2">
      <c r="A29" s="13" t="s">
        <v>376</v>
      </c>
      <c r="B29" s="237">
        <v>5027847.1652899999</v>
      </c>
      <c r="C29" s="237">
        <v>5202048.2378099998</v>
      </c>
      <c r="D29" s="171">
        <f t="shared" si="4"/>
        <v>3.5</v>
      </c>
      <c r="E29" s="11">
        <f>IFERROR(100/'Skjema total MA'!C29*C29,0)</f>
        <v>10.795504933563242</v>
      </c>
      <c r="F29" s="311">
        <v>2011235.7385</v>
      </c>
      <c r="G29" s="311">
        <v>2255456.8505500001</v>
      </c>
      <c r="H29" s="171">
        <f t="shared" si="5"/>
        <v>12.1</v>
      </c>
      <c r="I29" s="11">
        <f>IFERROR(100/'Skjema total MA'!F29*G29,0)</f>
        <v>10.949112863656325</v>
      </c>
      <c r="J29" s="237">
        <f t="shared" si="6"/>
        <v>7039082.9037899999</v>
      </c>
      <c r="K29" s="237">
        <f t="shared" si="6"/>
        <v>7457505.0883600004</v>
      </c>
      <c r="L29" s="432">
        <f t="shared" si="7"/>
        <v>5.9</v>
      </c>
      <c r="M29" s="24">
        <f>IFERROR(100/'Skjema total MA'!I29*K29,0)</f>
        <v>10.841505721683941</v>
      </c>
      <c r="N29" s="148"/>
      <c r="O29" s="148"/>
    </row>
    <row r="30" spans="1:15" s="3" customFormat="1" ht="15.75" x14ac:dyDescent="0.2">
      <c r="A30" s="619" t="s">
        <v>379</v>
      </c>
      <c r="B30" s="284"/>
      <c r="C30" s="284">
        <v>2984373.6051410399</v>
      </c>
      <c r="D30" s="166" t="str">
        <f t="shared" si="4"/>
        <v xml:space="preserve">    ---- </v>
      </c>
      <c r="E30" s="11">
        <f>IFERROR(100/'Skjema total MA'!C30*C30,0)</f>
        <v>22.581589083472693</v>
      </c>
      <c r="F30" s="293"/>
      <c r="G30" s="293">
        <v>633868.37846000004</v>
      </c>
      <c r="H30" s="166" t="str">
        <f t="shared" si="5"/>
        <v xml:space="preserve">    ---- </v>
      </c>
      <c r="I30" s="421">
        <f>IFERROR(100/'Skjema total MA'!F30*G30,0)</f>
        <v>14.375397938478372</v>
      </c>
      <c r="J30" s="293"/>
      <c r="K30" s="293">
        <f t="shared" ref="K30:K33" si="9">SUM(C30,G30)</f>
        <v>3618241.9836010402</v>
      </c>
      <c r="L30" s="257" t="str">
        <f t="shared" si="7"/>
        <v xml:space="preserve">    ---- </v>
      </c>
      <c r="M30" s="23">
        <f>IFERROR(100/'Skjema total MA'!I30*K30,0)</f>
        <v>20.528617517048701</v>
      </c>
      <c r="N30" s="148"/>
      <c r="O30" s="148"/>
    </row>
    <row r="31" spans="1:15" s="3" customFormat="1" ht="15.75" x14ac:dyDescent="0.2">
      <c r="A31" s="619" t="s">
        <v>380</v>
      </c>
      <c r="B31" s="284"/>
      <c r="C31" s="284">
        <v>2217674.6326689599</v>
      </c>
      <c r="D31" s="166" t="str">
        <f t="shared" si="4"/>
        <v xml:space="preserve">    ---- </v>
      </c>
      <c r="E31" s="11">
        <f>IFERROR(100/'Skjema total MA'!C31*C31,0)</f>
        <v>7.1526487601697237</v>
      </c>
      <c r="F31" s="293"/>
      <c r="G31" s="293">
        <v>971759.06215000001</v>
      </c>
      <c r="H31" s="166" t="str">
        <f t="shared" si="5"/>
        <v xml:space="preserve">    ---- </v>
      </c>
      <c r="I31" s="421">
        <f>IFERROR(100/'Skjema total MA'!F31*G31,0)</f>
        <v>9.3033118099728114</v>
      </c>
      <c r="J31" s="293"/>
      <c r="K31" s="293">
        <f t="shared" si="9"/>
        <v>3189433.69481896</v>
      </c>
      <c r="L31" s="257" t="str">
        <f t="shared" si="7"/>
        <v xml:space="preserve">    ---- </v>
      </c>
      <c r="M31" s="23">
        <f>IFERROR(100/'Skjema total MA'!I31*K31,0)</f>
        <v>7.6946075874218085</v>
      </c>
      <c r="N31" s="148"/>
      <c r="O31" s="148"/>
    </row>
    <row r="32" spans="1:15" ht="15.75" x14ac:dyDescent="0.2">
      <c r="A32" s="619" t="s">
        <v>381</v>
      </c>
      <c r="B32" s="284"/>
      <c r="C32" s="284"/>
      <c r="D32" s="166"/>
      <c r="E32" s="11"/>
      <c r="F32" s="293"/>
      <c r="G32" s="293">
        <v>379798.07728999999</v>
      </c>
      <c r="H32" s="166" t="str">
        <f t="shared" si="5"/>
        <v xml:space="preserve">    ---- </v>
      </c>
      <c r="I32" s="421">
        <f>IFERROR(100/'Skjema total MA'!F32*G32,0)</f>
        <v>8.8362422265001861</v>
      </c>
      <c r="J32" s="293"/>
      <c r="K32" s="293">
        <f t="shared" si="9"/>
        <v>379798.07728999999</v>
      </c>
      <c r="L32" s="257" t="str">
        <f t="shared" si="7"/>
        <v xml:space="preserve">    ---- </v>
      </c>
      <c r="M32" s="23">
        <f>IFERROR(100/'Skjema total MA'!I32*K32,0)</f>
        <v>5.7184480602871268</v>
      </c>
      <c r="O32" s="148"/>
    </row>
    <row r="33" spans="1:15" ht="15.75" x14ac:dyDescent="0.2">
      <c r="A33" s="619" t="s">
        <v>382</v>
      </c>
      <c r="B33" s="284"/>
      <c r="C33" s="284"/>
      <c r="D33" s="166"/>
      <c r="E33" s="11"/>
      <c r="F33" s="293"/>
      <c r="G33" s="293">
        <v>270031.33265</v>
      </c>
      <c r="H33" s="166" t="str">
        <f t="shared" si="5"/>
        <v xml:space="preserve">    ---- </v>
      </c>
      <c r="I33" s="421">
        <f>IFERROR(100/'Skjema total MA'!F34*G33,0)</f>
        <v>537.64658306338799</v>
      </c>
      <c r="J33" s="293"/>
      <c r="K33" s="293">
        <f t="shared" si="9"/>
        <v>270031.33265</v>
      </c>
      <c r="L33" s="257" t="str">
        <f t="shared" si="7"/>
        <v xml:space="preserve">    ---- </v>
      </c>
      <c r="M33" s="23">
        <f>IFERROR(100/'Skjema total MA'!I34*K33,0)</f>
        <v>377.9878223703077</v>
      </c>
      <c r="O33" s="148"/>
    </row>
    <row r="34" spans="1:15" ht="15.75" x14ac:dyDescent="0.2">
      <c r="A34" s="13" t="s">
        <v>377</v>
      </c>
      <c r="B34" s="237"/>
      <c r="C34" s="312"/>
      <c r="D34" s="171"/>
      <c r="E34" s="11"/>
      <c r="F34" s="311">
        <v>8210.1532200000001</v>
      </c>
      <c r="G34" s="312">
        <v>18610.990740000001</v>
      </c>
      <c r="H34" s="171">
        <f t="shared" si="5"/>
        <v>126.7</v>
      </c>
      <c r="I34" s="11">
        <f>IFERROR(100/'Skjema total MA'!F34*G34,0)</f>
        <v>37.055461233288682</v>
      </c>
      <c r="J34" s="237">
        <f t="shared" si="6"/>
        <v>8210.1532200000001</v>
      </c>
      <c r="K34" s="237">
        <f t="shared" si="6"/>
        <v>18610.990740000001</v>
      </c>
      <c r="L34" s="432">
        <f t="shared" si="7"/>
        <v>126.7</v>
      </c>
      <c r="M34" s="24">
        <f>IFERROR(100/'Skjema total MA'!I34*K34,0)</f>
        <v>26.051524439516044</v>
      </c>
      <c r="O34" s="148"/>
    </row>
    <row r="35" spans="1:15" ht="15.75" x14ac:dyDescent="0.2">
      <c r="A35" s="13" t="s">
        <v>378</v>
      </c>
      <c r="B35" s="237">
        <v>321.55135999999999</v>
      </c>
      <c r="C35" s="312">
        <v>566.68266000000006</v>
      </c>
      <c r="D35" s="171">
        <f t="shared" si="4"/>
        <v>76.2</v>
      </c>
      <c r="E35" s="11">
        <f>IFERROR(100/'Skjema total MA'!C35*C35,0)</f>
        <v>-2.3346389037409163</v>
      </c>
      <c r="F35" s="311">
        <v>4081.0320700000002</v>
      </c>
      <c r="G35" s="312">
        <v>4036.8112000000001</v>
      </c>
      <c r="H35" s="171">
        <f t="shared" si="5"/>
        <v>-1.1000000000000001</v>
      </c>
      <c r="I35" s="11">
        <f>IFERROR(100/'Skjema total MA'!F35*G35,0)</f>
        <v>5.0788734970012612</v>
      </c>
      <c r="J35" s="237">
        <f t="shared" si="6"/>
        <v>4402.5834300000006</v>
      </c>
      <c r="K35" s="237">
        <f t="shared" si="6"/>
        <v>4603.4938600000005</v>
      </c>
      <c r="L35" s="432">
        <f t="shared" si="7"/>
        <v>4.5999999999999996</v>
      </c>
      <c r="M35" s="24">
        <f>IFERROR(100/'Skjema total MA'!I35*K35,0)</f>
        <v>8.3382134980792539</v>
      </c>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v>576970.61095</v>
      </c>
      <c r="C47" s="314">
        <v>584965.62494000001</v>
      </c>
      <c r="D47" s="431">
        <f t="shared" ref="D47:D57" si="10">IF(B47=0, "    ---- ", IF(ABS(ROUND(100/B47*C47-100,1))&lt;999,ROUND(100/B47*C47-100,1),IF(ROUND(100/B47*C47-100,1)&gt;999,999,-999)))</f>
        <v>1.4</v>
      </c>
      <c r="E47" s="11">
        <f>IFERROR(100/'Skjema total MA'!C47*C47,0)</f>
        <v>15.853270475239968</v>
      </c>
      <c r="F47" s="145"/>
      <c r="G47" s="33"/>
      <c r="H47" s="159"/>
      <c r="I47" s="159"/>
      <c r="J47" s="37"/>
      <c r="K47" s="37"/>
      <c r="L47" s="159"/>
      <c r="M47" s="159"/>
      <c r="N47" s="148"/>
      <c r="O47" s="148"/>
    </row>
    <row r="48" spans="1:15" s="3" customFormat="1" ht="15.75" x14ac:dyDescent="0.2">
      <c r="A48" s="38" t="s">
        <v>387</v>
      </c>
      <c r="B48" s="284">
        <v>85538.828020000001</v>
      </c>
      <c r="C48" s="285">
        <v>91056.283609999999</v>
      </c>
      <c r="D48" s="257">
        <f t="shared" si="10"/>
        <v>6.5</v>
      </c>
      <c r="E48" s="27">
        <f>IFERROR(100/'Skjema total MA'!C48*C48,0)</f>
        <v>4.3580172901118388</v>
      </c>
      <c r="F48" s="145"/>
      <c r="G48" s="33"/>
      <c r="H48" s="145"/>
      <c r="I48" s="145"/>
      <c r="J48" s="33"/>
      <c r="K48" s="33"/>
      <c r="L48" s="159"/>
      <c r="M48" s="159"/>
      <c r="N48" s="148"/>
      <c r="O48" s="148"/>
    </row>
    <row r="49" spans="1:15" s="3" customFormat="1" ht="15.75" x14ac:dyDescent="0.2">
      <c r="A49" s="38" t="s">
        <v>388</v>
      </c>
      <c r="B49" s="44">
        <v>491431.78292999999</v>
      </c>
      <c r="C49" s="290">
        <v>493909.34133000002</v>
      </c>
      <c r="D49" s="257">
        <f>IF(B49=0, "    ---- ", IF(ABS(ROUND(100/B49*C49-100,1))&lt;999,ROUND(100/B49*C49-100,1),IF(ROUND(100/B49*C49-100,1)&gt;999,999,-999)))</f>
        <v>0.5</v>
      </c>
      <c r="E49" s="27">
        <f>IFERROR(100/'Skjema total MA'!C49*C49,0)</f>
        <v>30.860143926444593</v>
      </c>
      <c r="F49" s="145"/>
      <c r="G49" s="33"/>
      <c r="H49" s="145"/>
      <c r="I49" s="145"/>
      <c r="J49" s="37"/>
      <c r="K49" s="37"/>
      <c r="L49" s="159"/>
      <c r="M49" s="159"/>
      <c r="N49" s="148"/>
      <c r="O49" s="148"/>
    </row>
    <row r="50" spans="1:15" s="3" customFormat="1" x14ac:dyDescent="0.2">
      <c r="A50" s="299" t="s">
        <v>6</v>
      </c>
      <c r="B50" s="293" t="s">
        <v>422</v>
      </c>
      <c r="C50" s="294" t="s">
        <v>422</v>
      </c>
      <c r="D50" s="257"/>
      <c r="E50" s="23"/>
      <c r="F50" s="145"/>
      <c r="G50" s="33"/>
      <c r="H50" s="145"/>
      <c r="I50" s="145"/>
      <c r="J50" s="33"/>
      <c r="K50" s="33"/>
      <c r="L50" s="159"/>
      <c r="M50" s="159"/>
      <c r="N50" s="148"/>
      <c r="O50" s="148"/>
    </row>
    <row r="51" spans="1:15" s="3" customFormat="1" x14ac:dyDescent="0.2">
      <c r="A51" s="299" t="s">
        <v>7</v>
      </c>
      <c r="B51" s="293" t="s">
        <v>422</v>
      </c>
      <c r="C51" s="294" t="s">
        <v>422</v>
      </c>
      <c r="D51" s="257"/>
      <c r="E51" s="23"/>
      <c r="F51" s="145"/>
      <c r="G51" s="33"/>
      <c r="H51" s="145"/>
      <c r="I51" s="145"/>
      <c r="J51" s="33"/>
      <c r="K51" s="33"/>
      <c r="L51" s="159"/>
      <c r="M51" s="159"/>
      <c r="N51" s="148"/>
      <c r="O51" s="148"/>
    </row>
    <row r="52" spans="1:15" s="3" customFormat="1" x14ac:dyDescent="0.2">
      <c r="A52" s="299" t="s">
        <v>8</v>
      </c>
      <c r="B52" s="293" t="s">
        <v>422</v>
      </c>
      <c r="C52" s="294" t="s">
        <v>422</v>
      </c>
      <c r="D52" s="257"/>
      <c r="E52" s="23"/>
      <c r="F52" s="145"/>
      <c r="G52" s="33"/>
      <c r="H52" s="145"/>
      <c r="I52" s="145"/>
      <c r="J52" s="33"/>
      <c r="K52" s="33"/>
      <c r="L52" s="159"/>
      <c r="M52" s="159"/>
      <c r="N52" s="148"/>
      <c r="O52" s="148"/>
    </row>
    <row r="53" spans="1:15" s="3" customFormat="1" ht="15.75" x14ac:dyDescent="0.2">
      <c r="A53" s="39" t="s">
        <v>389</v>
      </c>
      <c r="B53" s="313">
        <v>0</v>
      </c>
      <c r="C53" s="314">
        <v>43.43</v>
      </c>
      <c r="D53" s="432" t="str">
        <f t="shared" si="10"/>
        <v xml:space="preserve">    ---- </v>
      </c>
      <c r="E53" s="11">
        <f>IFERROR(100/'Skjema total MA'!C53*C53,0)</f>
        <v>4.4468246395573716E-2</v>
      </c>
      <c r="F53" s="145"/>
      <c r="G53" s="33"/>
      <c r="H53" s="145"/>
      <c r="I53" s="145"/>
      <c r="J53" s="33"/>
      <c r="K53" s="33"/>
      <c r="L53" s="159"/>
      <c r="M53" s="159"/>
      <c r="N53" s="148"/>
      <c r="O53" s="148"/>
    </row>
    <row r="54" spans="1:15" s="3" customFormat="1" ht="15.75" x14ac:dyDescent="0.2">
      <c r="A54" s="38" t="s">
        <v>387</v>
      </c>
      <c r="B54" s="284">
        <v>0</v>
      </c>
      <c r="C54" s="285">
        <v>43.43</v>
      </c>
      <c r="D54" s="257" t="str">
        <f t="shared" si="10"/>
        <v xml:space="preserve">    ---- </v>
      </c>
      <c r="E54" s="27">
        <f>IFERROR(100/'Skjema total MA'!C54*C54,0)</f>
        <v>4.4468246395573716E-2</v>
      </c>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v>0</v>
      </c>
      <c r="C56" s="314">
        <v>2506.4369999999999</v>
      </c>
      <c r="D56" s="432" t="str">
        <f t="shared" si="10"/>
        <v xml:space="preserve">    ---- </v>
      </c>
      <c r="E56" s="11">
        <f>IFERROR(100/'Skjema total MA'!C56*C56,0)</f>
        <v>2.3534470777152077</v>
      </c>
      <c r="F56" s="145"/>
      <c r="G56" s="33"/>
      <c r="H56" s="145"/>
      <c r="I56" s="145"/>
      <c r="J56" s="33"/>
      <c r="K56" s="33"/>
      <c r="L56" s="159"/>
      <c r="M56" s="159"/>
      <c r="N56" s="148"/>
      <c r="O56" s="148"/>
    </row>
    <row r="57" spans="1:15" s="3" customFormat="1" ht="15.75" x14ac:dyDescent="0.2">
      <c r="A57" s="38" t="s">
        <v>387</v>
      </c>
      <c r="B57" s="284">
        <v>0</v>
      </c>
      <c r="C57" s="285">
        <v>2506.4369999999999</v>
      </c>
      <c r="D57" s="257" t="str">
        <f t="shared" si="10"/>
        <v xml:space="preserve">    ---- </v>
      </c>
      <c r="E57" s="27">
        <f>IFERROR(100/'Skjema total MA'!C57*C57,0)</f>
        <v>2.3535194065440153</v>
      </c>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v>599570.44009000005</v>
      </c>
      <c r="C66" s="357">
        <v>495808.78205000004</v>
      </c>
      <c r="D66" s="354">
        <f t="shared" ref="D66:D111" si="11">IF(B66=0, "    ---- ", IF(ABS(ROUND(100/B66*C66-100,1))&lt;999,ROUND(100/B66*C66-100,1),IF(ROUND(100/B66*C66-100,1)&gt;999,999,-999)))</f>
        <v>-17.3</v>
      </c>
      <c r="E66" s="11">
        <f>IFERROR(100/'Skjema total MA'!C66*C66,0)</f>
        <v>6.8897255509313302</v>
      </c>
      <c r="F66" s="356">
        <v>1928148.3848100002</v>
      </c>
      <c r="G66" s="356">
        <v>2442049.08121</v>
      </c>
      <c r="H66" s="354">
        <v>26.7</v>
      </c>
      <c r="I66" s="11">
        <f>IFERROR(100/'Skjema total MA'!F66*G66,0)</f>
        <v>11.367509492353353</v>
      </c>
      <c r="J66" s="312">
        <f t="shared" ref="J66:K86" si="12">SUM(B66,F66)</f>
        <v>2527718.8249000004</v>
      </c>
      <c r="K66" s="319">
        <f t="shared" si="12"/>
        <v>2937857.86326</v>
      </c>
      <c r="L66" s="432">
        <f t="shared" ref="L66:L111" si="13">IF(J66=0, "    ---- ", IF(ABS(ROUND(100/J66*K66-100,1))&lt;999,ROUND(100/J66*K66-100,1),IF(ROUND(100/J66*K66-100,1)&gt;999,999,-999)))</f>
        <v>16.2</v>
      </c>
      <c r="M66" s="11">
        <f>IFERROR(100/'Skjema total MA'!I66*K66,0)</f>
        <v>10.243912642148848</v>
      </c>
      <c r="O66" s="148"/>
    </row>
    <row r="67" spans="1:15" x14ac:dyDescent="0.2">
      <c r="A67" s="423" t="s">
        <v>9</v>
      </c>
      <c r="B67" s="44">
        <v>300760.50569999998</v>
      </c>
      <c r="C67" s="145">
        <v>150240.37982</v>
      </c>
      <c r="D67" s="166">
        <f t="shared" si="11"/>
        <v>-50</v>
      </c>
      <c r="E67" s="27">
        <f>IFERROR(100/'Skjema total MA'!C67*C67,0)</f>
        <v>2.5903288935723152</v>
      </c>
      <c r="F67" s="235"/>
      <c r="G67" s="145"/>
      <c r="H67" s="166"/>
      <c r="I67" s="27"/>
      <c r="J67" s="290">
        <f t="shared" si="12"/>
        <v>300760.50569999998</v>
      </c>
      <c r="K67" s="44">
        <f t="shared" si="12"/>
        <v>150240.37982</v>
      </c>
      <c r="L67" s="257">
        <f t="shared" si="13"/>
        <v>-50</v>
      </c>
      <c r="M67" s="27">
        <f>IFERROR(100/'Skjema total MA'!I67*K67,0)</f>
        <v>2.5903288935723152</v>
      </c>
      <c r="O67" s="148"/>
    </row>
    <row r="68" spans="1:15" x14ac:dyDescent="0.2">
      <c r="A68" s="21" t="s">
        <v>10</v>
      </c>
      <c r="B68" s="295">
        <v>43354.464480000002</v>
      </c>
      <c r="C68" s="296">
        <v>38386.12831</v>
      </c>
      <c r="D68" s="166">
        <f t="shared" si="11"/>
        <v>-11.5</v>
      </c>
      <c r="E68" s="27">
        <f>IFERROR(100/'Skjema total MA'!C68*C68,0)</f>
        <v>28.977195689107127</v>
      </c>
      <c r="F68" s="295">
        <v>1794870.5481400001</v>
      </c>
      <c r="G68" s="296">
        <v>2273015.8582199998</v>
      </c>
      <c r="H68" s="166">
        <v>26.6</v>
      </c>
      <c r="I68" s="27">
        <f>IFERROR(100/'Skjema total MA'!F68*G68,0)</f>
        <v>10.732876487836782</v>
      </c>
      <c r="J68" s="290">
        <f t="shared" si="12"/>
        <v>1838225.0126200002</v>
      </c>
      <c r="K68" s="44">
        <f t="shared" si="12"/>
        <v>2311401.9865299999</v>
      </c>
      <c r="L68" s="257">
        <f t="shared" si="13"/>
        <v>25.7</v>
      </c>
      <c r="M68" s="27">
        <f>IFERROR(100/'Skjema total MA'!I68*K68,0)</f>
        <v>10.84628645031578</v>
      </c>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v>149228.01538999999</v>
      </c>
      <c r="C75" s="145">
        <v>187410.65684000001</v>
      </c>
      <c r="D75" s="166">
        <f t="shared" si="11"/>
        <v>25.6</v>
      </c>
      <c r="E75" s="27">
        <f>IFERROR(100/'Skjema total MA'!C75*C75,0)</f>
        <v>77.115514501805308</v>
      </c>
      <c r="F75" s="235">
        <v>133277.83666999999</v>
      </c>
      <c r="G75" s="145">
        <v>169033.22299000001</v>
      </c>
      <c r="H75" s="166">
        <v>26.8</v>
      </c>
      <c r="I75" s="27">
        <f>IFERROR(100/'Skjema total MA'!F75*G75,0)</f>
        <v>55.485845584010498</v>
      </c>
      <c r="J75" s="290">
        <f t="shared" si="12"/>
        <v>282505.85205999995</v>
      </c>
      <c r="K75" s="44">
        <f t="shared" si="12"/>
        <v>356443.87982999999</v>
      </c>
      <c r="L75" s="257">
        <f t="shared" si="13"/>
        <v>26.2</v>
      </c>
      <c r="M75" s="27">
        <f>IFERROR(100/'Skjema total MA'!I75*K75,0)</f>
        <v>65.083941300540999</v>
      </c>
      <c r="N75" s="148"/>
      <c r="O75" s="148"/>
    </row>
    <row r="76" spans="1:15" s="3" customFormat="1" x14ac:dyDescent="0.2">
      <c r="A76" s="21" t="s">
        <v>360</v>
      </c>
      <c r="B76" s="235">
        <v>106227.45452</v>
      </c>
      <c r="C76" s="145">
        <v>119771.61708</v>
      </c>
      <c r="D76" s="166">
        <f t="shared" ref="D76" si="14">IF(B76=0, "    ---- ", IF(ABS(ROUND(100/B76*C76-100,1))&lt;999,ROUND(100/B76*C76-100,1),IF(ROUND(100/B76*C76-100,1)&gt;999,999,-999)))</f>
        <v>12.8</v>
      </c>
      <c r="E76" s="27">
        <f>IFERROR(100/'Skjema total MA'!C77*C76,0)</f>
        <v>2.0555727076291199</v>
      </c>
      <c r="F76" s="235"/>
      <c r="G76" s="145"/>
      <c r="H76" s="166"/>
      <c r="I76" s="27"/>
      <c r="J76" s="290">
        <f t="shared" ref="J76" si="15">SUM(B76,F76)</f>
        <v>106227.45452</v>
      </c>
      <c r="K76" s="44">
        <f t="shared" ref="K76" si="16">SUM(C76,G76)</f>
        <v>119771.61708</v>
      </c>
      <c r="L76" s="257">
        <f t="shared" ref="L76" si="17">IF(J76=0, "    ---- ", IF(ABS(ROUND(100/J76*K76-100,1))&lt;999,ROUND(100/J76*K76-100,1),IF(ROUND(100/J76*K76-100,1)&gt;999,999,-999)))</f>
        <v>12.8</v>
      </c>
      <c r="M76" s="27">
        <f>IFERROR(100/'Skjema total MA'!I77*K76,0)</f>
        <v>0.44367980116919659</v>
      </c>
      <c r="N76" s="148"/>
      <c r="O76" s="148"/>
    </row>
    <row r="77" spans="1:15" ht="15.75" x14ac:dyDescent="0.2">
      <c r="A77" s="21" t="s">
        <v>393</v>
      </c>
      <c r="B77" s="235">
        <v>344114.97018</v>
      </c>
      <c r="C77" s="235">
        <v>188626.50813</v>
      </c>
      <c r="D77" s="166">
        <f t="shared" si="11"/>
        <v>-45.2</v>
      </c>
      <c r="E77" s="27">
        <f>IFERROR(100/'Skjema total MA'!C77*C77,0)</f>
        <v>3.2372903656166474</v>
      </c>
      <c r="F77" s="235">
        <v>1788316.86583</v>
      </c>
      <c r="G77" s="145">
        <v>2266512.0113900001</v>
      </c>
      <c r="H77" s="166">
        <v>26.7</v>
      </c>
      <c r="I77" s="27">
        <f>IFERROR(100/'Skjema total MA'!F77*G77,0)</f>
        <v>10.707064727667733</v>
      </c>
      <c r="J77" s="290">
        <f t="shared" si="12"/>
        <v>2132431.8360100002</v>
      </c>
      <c r="K77" s="44">
        <f t="shared" si="12"/>
        <v>2455138.5195200001</v>
      </c>
      <c r="L77" s="257">
        <f t="shared" si="13"/>
        <v>15.1</v>
      </c>
      <c r="M77" s="27">
        <f>IFERROR(100/'Skjema total MA'!I77*K77,0)</f>
        <v>9.0947705035650284</v>
      </c>
      <c r="O77" s="148"/>
    </row>
    <row r="78" spans="1:15" x14ac:dyDescent="0.2">
      <c r="A78" s="21" t="s">
        <v>9</v>
      </c>
      <c r="B78" s="235">
        <v>300760.50569999998</v>
      </c>
      <c r="C78" s="145">
        <v>150240.37982</v>
      </c>
      <c r="D78" s="166">
        <f t="shared" si="11"/>
        <v>-50</v>
      </c>
      <c r="E78" s="27">
        <f>IFERROR(100/'Skjema total MA'!C78*C78,0)</f>
        <v>2.6370279425303162</v>
      </c>
      <c r="F78" s="235"/>
      <c r="G78" s="145"/>
      <c r="H78" s="166"/>
      <c r="I78" s="27"/>
      <c r="J78" s="290">
        <f t="shared" si="12"/>
        <v>300760.50569999998</v>
      </c>
      <c r="K78" s="44">
        <f t="shared" si="12"/>
        <v>150240.37982</v>
      </c>
      <c r="L78" s="257">
        <f t="shared" si="13"/>
        <v>-50</v>
      </c>
      <c r="M78" s="27">
        <f>IFERROR(100/'Skjema total MA'!I78*K78,0)</f>
        <v>2.6370279425303162</v>
      </c>
      <c r="O78" s="148"/>
    </row>
    <row r="79" spans="1:15" x14ac:dyDescent="0.2">
      <c r="A79" s="21" t="s">
        <v>10</v>
      </c>
      <c r="B79" s="295">
        <v>43354.464480000002</v>
      </c>
      <c r="C79" s="296">
        <v>38386.12831</v>
      </c>
      <c r="D79" s="166">
        <f t="shared" si="11"/>
        <v>-11.5</v>
      </c>
      <c r="E79" s="27">
        <f>IFERROR(100/'Skjema total MA'!C79*C79,0)</f>
        <v>29.678173667298132</v>
      </c>
      <c r="F79" s="295">
        <v>1788316.86583</v>
      </c>
      <c r="G79" s="296">
        <v>2266512.0113900001</v>
      </c>
      <c r="H79" s="166">
        <v>26.7</v>
      </c>
      <c r="I79" s="27">
        <f>IFERROR(100/'Skjema total MA'!F79*G79,0)</f>
        <v>10.707064727667733</v>
      </c>
      <c r="J79" s="290">
        <f t="shared" si="12"/>
        <v>1831671.3303100001</v>
      </c>
      <c r="K79" s="44">
        <f t="shared" si="12"/>
        <v>2304898.1397000002</v>
      </c>
      <c r="L79" s="257">
        <f t="shared" si="13"/>
        <v>25.8</v>
      </c>
      <c r="M79" s="27">
        <f>IFERROR(100/'Skjema total MA'!I79*K79,0)</f>
        <v>10.822276469806901</v>
      </c>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v>6553.6823100000001</v>
      </c>
      <c r="G86" s="145">
        <v>6503.8468300000004</v>
      </c>
      <c r="H86" s="166">
        <v>-0.8</v>
      </c>
      <c r="I86" s="27">
        <f>IFERROR(100/'Skjema total MA'!F86*G86,0)</f>
        <v>67.12562668947966</v>
      </c>
      <c r="J86" s="290">
        <f t="shared" si="12"/>
        <v>6553.6823100000001</v>
      </c>
      <c r="K86" s="44">
        <f t="shared" si="12"/>
        <v>6503.8468300000004</v>
      </c>
      <c r="L86" s="257">
        <f t="shared" si="13"/>
        <v>-0.8</v>
      </c>
      <c r="M86" s="27">
        <f>IFERROR(100/'Skjema total MA'!I86*K86,0)</f>
        <v>5.6295331637516615</v>
      </c>
      <c r="O86" s="148"/>
    </row>
    <row r="87" spans="1:15" ht="15.75" x14ac:dyDescent="0.2">
      <c r="A87" s="13" t="s">
        <v>376</v>
      </c>
      <c r="B87" s="357">
        <v>12230507.065879999</v>
      </c>
      <c r="C87" s="357">
        <v>13156104.960449999</v>
      </c>
      <c r="D87" s="171">
        <f t="shared" si="11"/>
        <v>7.6</v>
      </c>
      <c r="E87" s="11">
        <f>IFERROR(100/'Skjema total MA'!C87*C87,0)</f>
        <v>3.4105045579412137</v>
      </c>
      <c r="F87" s="356">
        <v>19433657.940329999</v>
      </c>
      <c r="G87" s="356">
        <v>24895566.712330002</v>
      </c>
      <c r="H87" s="171">
        <v>28.1</v>
      </c>
      <c r="I87" s="11">
        <f>IFERROR(100/'Skjema total MA'!F87*G87,0)</f>
        <v>9.5904301233920073</v>
      </c>
      <c r="J87" s="312">
        <f t="shared" ref="J87:K111" si="18">SUM(B87,F87)</f>
        <v>31664165.006209999</v>
      </c>
      <c r="K87" s="237">
        <f t="shared" si="18"/>
        <v>38051671.67278</v>
      </c>
      <c r="L87" s="432">
        <f t="shared" si="13"/>
        <v>20.2</v>
      </c>
      <c r="M87" s="11">
        <f>IFERROR(100/'Skjema total MA'!I87*K87,0)</f>
        <v>5.8963754016377212</v>
      </c>
      <c r="O87" s="148"/>
    </row>
    <row r="88" spans="1:15" x14ac:dyDescent="0.2">
      <c r="A88" s="21" t="s">
        <v>9</v>
      </c>
      <c r="B88" s="235">
        <v>10621445.02575</v>
      </c>
      <c r="C88" s="145">
        <v>10924900.78592</v>
      </c>
      <c r="D88" s="166">
        <f t="shared" si="11"/>
        <v>2.9</v>
      </c>
      <c r="E88" s="27">
        <f>IFERROR(100/'Skjema total MA'!C88*C88,0)</f>
        <v>2.897690505970842</v>
      </c>
      <c r="F88" s="235"/>
      <c r="G88" s="145"/>
      <c r="H88" s="166"/>
      <c r="I88" s="27"/>
      <c r="J88" s="290">
        <f t="shared" si="18"/>
        <v>10621445.02575</v>
      </c>
      <c r="K88" s="44">
        <f t="shared" si="18"/>
        <v>10924900.78592</v>
      </c>
      <c r="L88" s="257">
        <f t="shared" si="13"/>
        <v>2.9</v>
      </c>
      <c r="M88" s="27">
        <f>IFERROR(100/'Skjema total MA'!I88*K88,0)</f>
        <v>2.897690505970842</v>
      </c>
      <c r="O88" s="148"/>
    </row>
    <row r="89" spans="1:15" x14ac:dyDescent="0.2">
      <c r="A89" s="21" t="s">
        <v>10</v>
      </c>
      <c r="B89" s="235">
        <v>1109038.63674</v>
      </c>
      <c r="C89" s="145">
        <v>1259330.4516</v>
      </c>
      <c r="D89" s="166">
        <f t="shared" si="11"/>
        <v>13.6</v>
      </c>
      <c r="E89" s="27">
        <f>IFERROR(100/'Skjema total MA'!C89*C89,0)</f>
        <v>47.757498221662537</v>
      </c>
      <c r="F89" s="235">
        <v>19012350.595309999</v>
      </c>
      <c r="G89" s="145">
        <v>24262719.044810001</v>
      </c>
      <c r="H89" s="166">
        <v>27.6</v>
      </c>
      <c r="I89" s="27">
        <f>IFERROR(100/'Skjema total MA'!F89*G89,0)</f>
        <v>9.3839264933859656</v>
      </c>
      <c r="J89" s="290">
        <f t="shared" si="18"/>
        <v>20121389.232049998</v>
      </c>
      <c r="K89" s="44">
        <f t="shared" si="18"/>
        <v>25522049.496410001</v>
      </c>
      <c r="L89" s="257">
        <f t="shared" si="13"/>
        <v>26.8</v>
      </c>
      <c r="M89" s="27">
        <f>IFERROR(100/'Skjema total MA'!I89*K89,0)</f>
        <v>9.771334595774702</v>
      </c>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v>279573.33681000001</v>
      </c>
      <c r="C96" s="145">
        <v>592467.96482999995</v>
      </c>
      <c r="D96" s="166">
        <f t="shared" si="11"/>
        <v>111.9</v>
      </c>
      <c r="E96" s="27">
        <f>IFERROR(100/'Skjema total MA'!C96*C96,0)</f>
        <v>78.295589146743652</v>
      </c>
      <c r="F96" s="235">
        <v>421307.34502000001</v>
      </c>
      <c r="G96" s="145">
        <v>632847.66752000002</v>
      </c>
      <c r="H96" s="166">
        <v>50.2</v>
      </c>
      <c r="I96" s="27">
        <f>IFERROR(100/'Skjema total MA'!F96*G96,0)</f>
        <v>61.355556115639864</v>
      </c>
      <c r="J96" s="290">
        <f t="shared" si="18"/>
        <v>700880.68183000002</v>
      </c>
      <c r="K96" s="44">
        <f t="shared" si="18"/>
        <v>1225315.6323500001</v>
      </c>
      <c r="L96" s="257">
        <f t="shared" si="13"/>
        <v>74.8</v>
      </c>
      <c r="M96" s="27">
        <f>IFERROR(100/'Skjema total MA'!I96*K96,0)</f>
        <v>68.52421516081013</v>
      </c>
      <c r="O96" s="148"/>
    </row>
    <row r="97" spans="1:15" x14ac:dyDescent="0.2">
      <c r="A97" s="21" t="s">
        <v>358</v>
      </c>
      <c r="B97" s="235">
        <v>220450.06658000001</v>
      </c>
      <c r="C97" s="145">
        <v>379405.75809999998</v>
      </c>
      <c r="D97" s="166">
        <f t="shared" ref="D97" si="19">IF(B97=0, "    ---- ", IF(ABS(ROUND(100/B97*C97-100,1))&lt;999,ROUND(100/B97*C97-100,1),IF(ROUND(100/B97*C97-100,1)&gt;999,999,-999)))</f>
        <v>72.099999999999994</v>
      </c>
      <c r="E97" s="27">
        <f>IFERROR(100/'Skjema total MA'!C98*C97,0)</f>
        <v>0.10122874808566039</v>
      </c>
      <c r="F97" s="235"/>
      <c r="G97" s="145"/>
      <c r="H97" s="166"/>
      <c r="I97" s="27"/>
      <c r="J97" s="290">
        <f t="shared" ref="J97" si="20">SUM(B97,F97)</f>
        <v>220450.06658000001</v>
      </c>
      <c r="K97" s="44">
        <f t="shared" ref="K97" si="21">SUM(C97,G97)</f>
        <v>379405.75809999998</v>
      </c>
      <c r="L97" s="257">
        <f t="shared" ref="L97" si="22">IF(J97=0, "    ---- ", IF(ABS(ROUND(100/J97*K97-100,1))&lt;999,ROUND(100/J97*K97-100,1),IF(ROUND(100/J97*K97-100,1)&gt;999,999,-999)))</f>
        <v>72.099999999999994</v>
      </c>
      <c r="M97" s="27">
        <f>IFERROR(100/'Skjema total MA'!I98*K97,0)</f>
        <v>5.9970489705382504E-2</v>
      </c>
      <c r="O97" s="148"/>
    </row>
    <row r="98" spans="1:15" ht="15.75" x14ac:dyDescent="0.2">
      <c r="A98" s="21" t="s">
        <v>393</v>
      </c>
      <c r="B98" s="235">
        <v>11730483.662489999</v>
      </c>
      <c r="C98" s="235">
        <v>12184231.23752</v>
      </c>
      <c r="D98" s="166">
        <f t="shared" si="11"/>
        <v>3.9</v>
      </c>
      <c r="E98" s="27">
        <f>IFERROR(100/'Skjema total MA'!C98*C98,0)</f>
        <v>3.2508586077791164</v>
      </c>
      <c r="F98" s="295">
        <v>18960438.746300001</v>
      </c>
      <c r="G98" s="295">
        <v>24195858.11984</v>
      </c>
      <c r="H98" s="166">
        <v>27.6</v>
      </c>
      <c r="I98" s="27">
        <f>IFERROR(100/'Skjema total MA'!F98*G98,0)</f>
        <v>9.3835609933165234</v>
      </c>
      <c r="J98" s="290">
        <f t="shared" si="18"/>
        <v>30690922.40879</v>
      </c>
      <c r="K98" s="44">
        <f t="shared" si="18"/>
        <v>36380089.357359998</v>
      </c>
      <c r="L98" s="257">
        <f t="shared" si="13"/>
        <v>18.5</v>
      </c>
      <c r="M98" s="27">
        <f>IFERROR(100/'Skjema total MA'!I98*K98,0)</f>
        <v>5.7503918369931917</v>
      </c>
      <c r="O98" s="148"/>
    </row>
    <row r="99" spans="1:15" x14ac:dyDescent="0.2">
      <c r="A99" s="21" t="s">
        <v>9</v>
      </c>
      <c r="B99" s="295">
        <v>10621445.02575</v>
      </c>
      <c r="C99" s="296">
        <v>10924900.78592</v>
      </c>
      <c r="D99" s="166">
        <f t="shared" si="11"/>
        <v>2.9</v>
      </c>
      <c r="E99" s="27">
        <f>IFERROR(100/'Skjema total MA'!C99*C99,0)</f>
        <v>2.9355112547014572</v>
      </c>
      <c r="F99" s="235"/>
      <c r="G99" s="145"/>
      <c r="H99" s="166"/>
      <c r="I99" s="27"/>
      <c r="J99" s="290">
        <f t="shared" si="18"/>
        <v>10621445.02575</v>
      </c>
      <c r="K99" s="44">
        <f t="shared" si="18"/>
        <v>10924900.78592</v>
      </c>
      <c r="L99" s="257">
        <f t="shared" si="13"/>
        <v>2.9</v>
      </c>
      <c r="M99" s="27">
        <f>IFERROR(100/'Skjema total MA'!I99*K99,0)</f>
        <v>2.9355112547014572</v>
      </c>
      <c r="O99" s="148"/>
    </row>
    <row r="100" spans="1:15" x14ac:dyDescent="0.2">
      <c r="A100" s="21" t="s">
        <v>10</v>
      </c>
      <c r="B100" s="295">
        <v>1109038.63674</v>
      </c>
      <c r="C100" s="296">
        <v>1259330.4516</v>
      </c>
      <c r="D100" s="166">
        <f t="shared" si="11"/>
        <v>13.6</v>
      </c>
      <c r="E100" s="27">
        <f>IFERROR(100/'Skjema total MA'!C100*C100,0)</f>
        <v>47.757498221662537</v>
      </c>
      <c r="F100" s="235">
        <v>18960438.746300001</v>
      </c>
      <c r="G100" s="235">
        <v>24195858.11984</v>
      </c>
      <c r="H100" s="166">
        <v>27.6</v>
      </c>
      <c r="I100" s="27">
        <f>IFERROR(100/'Skjema total MA'!F100*G100,0)</f>
        <v>9.3835609933165234</v>
      </c>
      <c r="J100" s="290">
        <f t="shared" si="18"/>
        <v>20069477.38304</v>
      </c>
      <c r="K100" s="44">
        <f t="shared" si="18"/>
        <v>25455188.57144</v>
      </c>
      <c r="L100" s="257">
        <f t="shared" si="13"/>
        <v>26.8</v>
      </c>
      <c r="M100" s="27">
        <f>IFERROR(100/'Skjema total MA'!I100*K100,0)</f>
        <v>9.7720175137762553</v>
      </c>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v>51911.8490100001</v>
      </c>
      <c r="G107" s="145">
        <v>66860.924969999993</v>
      </c>
      <c r="H107" s="166">
        <v>28.8</v>
      </c>
      <c r="I107" s="27">
        <f>IFERROR(100/'Skjema total MA'!F107*G107,0)</f>
        <v>9.5180852541674987</v>
      </c>
      <c r="J107" s="290">
        <f t="shared" si="18"/>
        <v>51911.8490100001</v>
      </c>
      <c r="K107" s="44">
        <f t="shared" si="18"/>
        <v>66860.924969999993</v>
      </c>
      <c r="L107" s="257">
        <f t="shared" si="13"/>
        <v>28.8</v>
      </c>
      <c r="M107" s="27">
        <f>IFERROR(100/'Skjema total MA'!I107*K107,0)</f>
        <v>1.2025450227518453</v>
      </c>
      <c r="O107" s="148"/>
    </row>
    <row r="108" spans="1:15" ht="15.75" x14ac:dyDescent="0.2">
      <c r="A108" s="21" t="s">
        <v>395</v>
      </c>
      <c r="B108" s="235">
        <v>7623161.8531900002</v>
      </c>
      <c r="C108" s="235">
        <v>7811030.9035799997</v>
      </c>
      <c r="D108" s="166">
        <f t="shared" si="11"/>
        <v>2.5</v>
      </c>
      <c r="E108" s="27">
        <f>IFERROR(100/'Skjema total MA'!C108*C108,0)</f>
        <v>2.5291920676136641</v>
      </c>
      <c r="F108" s="235"/>
      <c r="G108" s="235"/>
      <c r="H108" s="166"/>
      <c r="I108" s="27"/>
      <c r="J108" s="290">
        <f t="shared" si="18"/>
        <v>7623161.8531900002</v>
      </c>
      <c r="K108" s="44">
        <f t="shared" si="18"/>
        <v>7811030.9035799997</v>
      </c>
      <c r="L108" s="257">
        <f t="shared" si="13"/>
        <v>2.5</v>
      </c>
      <c r="M108" s="27">
        <f>IFERROR(100/'Skjema total MA'!I108*K108,0)</f>
        <v>2.4032402475588679</v>
      </c>
      <c r="O108" s="148"/>
    </row>
    <row r="109" spans="1:15" ht="15.75" x14ac:dyDescent="0.2">
      <c r="A109" s="21" t="s">
        <v>396</v>
      </c>
      <c r="B109" s="235">
        <v>284980.94085999997</v>
      </c>
      <c r="C109" s="235">
        <v>312088.67355000001</v>
      </c>
      <c r="D109" s="166">
        <f t="shared" si="11"/>
        <v>9.5</v>
      </c>
      <c r="E109" s="27">
        <f>IFERROR(100/'Skjema total MA'!C109*C109,0)</f>
        <v>33.909768009458318</v>
      </c>
      <c r="F109" s="235">
        <v>5996204.8394400002</v>
      </c>
      <c r="G109" s="235">
        <v>7627104.7708900003</v>
      </c>
      <c r="H109" s="166">
        <v>27.2</v>
      </c>
      <c r="I109" s="27">
        <f>IFERROR(100/'Skjema total MA'!F109*G109,0)</f>
        <v>9.2727348934087139</v>
      </c>
      <c r="J109" s="290">
        <f t="shared" si="18"/>
        <v>6281185.7803000007</v>
      </c>
      <c r="K109" s="44">
        <f t="shared" si="18"/>
        <v>7939193.4444400007</v>
      </c>
      <c r="L109" s="257">
        <f t="shared" si="13"/>
        <v>26.4</v>
      </c>
      <c r="M109" s="27">
        <f>IFERROR(100/'Skjema total MA'!I109*K109,0)</f>
        <v>9.5453546210709739</v>
      </c>
      <c r="O109" s="148"/>
    </row>
    <row r="110" spans="1:15" ht="15.75" x14ac:dyDescent="0.2">
      <c r="A110" s="21" t="s">
        <v>397</v>
      </c>
      <c r="B110" s="235">
        <v>9775.8767399999997</v>
      </c>
      <c r="C110" s="235">
        <v>71301.621509999997</v>
      </c>
      <c r="D110" s="166">
        <f t="shared" si="11"/>
        <v>629.4</v>
      </c>
      <c r="E110" s="27">
        <f>IFERROR(100/'Skjema total MA'!C110*C110,0)</f>
        <v>67.765781583054135</v>
      </c>
      <c r="F110" s="235"/>
      <c r="G110" s="235"/>
      <c r="H110" s="166"/>
      <c r="I110" s="27"/>
      <c r="J110" s="290">
        <f t="shared" si="18"/>
        <v>9775.8767399999997</v>
      </c>
      <c r="K110" s="44">
        <f t="shared" si="18"/>
        <v>71301.621509999997</v>
      </c>
      <c r="L110" s="257">
        <f t="shared" si="13"/>
        <v>629.4</v>
      </c>
      <c r="M110" s="27">
        <f>IFERROR(100/'Skjema total MA'!I110*K110,0)</f>
        <v>67.765781583054135</v>
      </c>
      <c r="O110" s="148"/>
    </row>
    <row r="111" spans="1:15" ht="15.75" x14ac:dyDescent="0.2">
      <c r="A111" s="13" t="s">
        <v>377</v>
      </c>
      <c r="B111" s="311">
        <v>36214.691059999997</v>
      </c>
      <c r="C111" s="159">
        <v>38755.511180000001</v>
      </c>
      <c r="D111" s="171">
        <f t="shared" si="11"/>
        <v>7</v>
      </c>
      <c r="E111" s="11">
        <f>IFERROR(100/'Skjema total MA'!C111*C111,0)</f>
        <v>10.844419646894529</v>
      </c>
      <c r="F111" s="311">
        <v>1346707.8624799999</v>
      </c>
      <c r="G111" s="159">
        <v>1843207.67304</v>
      </c>
      <c r="H111" s="171">
        <v>36.9</v>
      </c>
      <c r="I111" s="11">
        <f>IFERROR(100/'Skjema total MA'!F111*G111,0)</f>
        <v>17.045155048035191</v>
      </c>
      <c r="J111" s="312">
        <f t="shared" si="18"/>
        <v>1382922.55354</v>
      </c>
      <c r="K111" s="237">
        <f t="shared" si="18"/>
        <v>1881963.1842199999</v>
      </c>
      <c r="L111" s="432">
        <f t="shared" si="13"/>
        <v>36.1</v>
      </c>
      <c r="M111" s="11">
        <f>IFERROR(100/'Skjema total MA'!I111*K111,0)</f>
        <v>16.846784925307215</v>
      </c>
      <c r="O111" s="148"/>
    </row>
    <row r="112" spans="1:15" x14ac:dyDescent="0.2">
      <c r="A112" s="21" t="s">
        <v>9</v>
      </c>
      <c r="B112" s="235">
        <v>11632.8578</v>
      </c>
      <c r="C112" s="145">
        <v>27324.312020000001</v>
      </c>
      <c r="D112" s="166">
        <f t="shared" ref="D112:D125" si="23">IF(B112=0, "    ---- ", IF(ABS(ROUND(100/B112*C112-100,1))&lt;999,ROUND(100/B112*C112-100,1),IF(ROUND(100/B112*C112-100,1)&gt;999,999,-999)))</f>
        <v>134.9</v>
      </c>
      <c r="E112" s="27">
        <f>IFERROR(100/'Skjema total MA'!C112*C112,0)</f>
        <v>8.9072295314546803</v>
      </c>
      <c r="F112" s="235"/>
      <c r="G112" s="145"/>
      <c r="H112" s="166"/>
      <c r="I112" s="27"/>
      <c r="J112" s="290">
        <f t="shared" ref="J112:K125" si="24">SUM(B112,F112)</f>
        <v>11632.8578</v>
      </c>
      <c r="K112" s="44">
        <f t="shared" si="24"/>
        <v>27324.312020000001</v>
      </c>
      <c r="L112" s="257">
        <f t="shared" ref="L112:L125" si="25">IF(J112=0, "    ---- ", IF(ABS(ROUND(100/J112*K112-100,1))&lt;999,ROUND(100/J112*K112-100,1),IF(ROUND(100/J112*K112-100,1)&gt;999,999,-999)))</f>
        <v>134.9</v>
      </c>
      <c r="M112" s="27">
        <f>IFERROR(100/'Skjema total MA'!I112*K112,0)</f>
        <v>8.8655502063547775</v>
      </c>
      <c r="O112" s="148"/>
    </row>
    <row r="113" spans="1:15" x14ac:dyDescent="0.2">
      <c r="A113" s="21" t="s">
        <v>10</v>
      </c>
      <c r="B113" s="235">
        <v>2225.788</v>
      </c>
      <c r="C113" s="145">
        <v>1519.0670500000001</v>
      </c>
      <c r="D113" s="166">
        <f t="shared" si="23"/>
        <v>-31.8</v>
      </c>
      <c r="E113" s="27">
        <f>IFERROR(100/'Skjema total MA'!C113*C113,0)</f>
        <v>74.62256904929518</v>
      </c>
      <c r="F113" s="235">
        <v>1346707.8624799999</v>
      </c>
      <c r="G113" s="145">
        <v>1843207.67304</v>
      </c>
      <c r="H113" s="166">
        <v>36.9</v>
      </c>
      <c r="I113" s="27">
        <f>IFERROR(100/'Skjema total MA'!F113*G113,0)</f>
        <v>17.109482277443831</v>
      </c>
      <c r="J113" s="290">
        <f t="shared" si="24"/>
        <v>1348933.6504799998</v>
      </c>
      <c r="K113" s="44">
        <f t="shared" si="24"/>
        <v>1844726.74009</v>
      </c>
      <c r="L113" s="257">
        <f t="shared" si="25"/>
        <v>36.799999999999997</v>
      </c>
      <c r="M113" s="27">
        <f>IFERROR(100/'Skjema total MA'!I113*K113,0)</f>
        <v>17.120347883779626</v>
      </c>
      <c r="O113" s="148"/>
    </row>
    <row r="114" spans="1:15" x14ac:dyDescent="0.2">
      <c r="A114" s="21" t="s">
        <v>26</v>
      </c>
      <c r="B114" s="235">
        <v>22356.045259999999</v>
      </c>
      <c r="C114" s="145">
        <v>9912.1321100000005</v>
      </c>
      <c r="D114" s="166">
        <f t="shared" si="23"/>
        <v>-55.7</v>
      </c>
      <c r="E114" s="27">
        <f>IFERROR(100/'Skjema total MA'!C114*C114,0)</f>
        <v>20.405311122817665</v>
      </c>
      <c r="F114" s="235"/>
      <c r="G114" s="145"/>
      <c r="H114" s="166"/>
      <c r="I114" s="27"/>
      <c r="J114" s="290">
        <f t="shared" si="24"/>
        <v>22356.045259999999</v>
      </c>
      <c r="K114" s="44">
        <f t="shared" si="24"/>
        <v>9912.1321100000005</v>
      </c>
      <c r="L114" s="257">
        <f t="shared" si="25"/>
        <v>-55.7</v>
      </c>
      <c r="M114" s="27">
        <f>IFERROR(100/'Skjema total MA'!I114*K114,0)</f>
        <v>11.290643965553347</v>
      </c>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v>11067.454729999999</v>
      </c>
      <c r="C116" s="235">
        <v>25000.336650000001</v>
      </c>
      <c r="D116" s="166">
        <f t="shared" si="23"/>
        <v>125.9</v>
      </c>
      <c r="E116" s="27">
        <f>IFERROR(100/'Skjema total MA'!C116*C116,0)</f>
        <v>16.323715384245521</v>
      </c>
      <c r="F116" s="235"/>
      <c r="G116" s="235"/>
      <c r="H116" s="166"/>
      <c r="I116" s="27"/>
      <c r="J116" s="290">
        <f t="shared" si="24"/>
        <v>11067.454729999999</v>
      </c>
      <c r="K116" s="44">
        <f t="shared" si="24"/>
        <v>25000.336650000001</v>
      </c>
      <c r="L116" s="257">
        <f t="shared" si="25"/>
        <v>125.9</v>
      </c>
      <c r="M116" s="27">
        <f>IFERROR(100/'Skjema total MA'!I116*K116,0)</f>
        <v>16.091661443161101</v>
      </c>
      <c r="O116" s="148"/>
    </row>
    <row r="117" spans="1:15" ht="15.75" x14ac:dyDescent="0.2">
      <c r="A117" s="21" t="s">
        <v>399</v>
      </c>
      <c r="B117" s="235"/>
      <c r="C117" s="235"/>
      <c r="D117" s="166"/>
      <c r="E117" s="27"/>
      <c r="F117" s="235">
        <v>124505.07868000001</v>
      </c>
      <c r="G117" s="235">
        <v>246931.16226000001</v>
      </c>
      <c r="H117" s="166">
        <v>98.3</v>
      </c>
      <c r="I117" s="27">
        <f>IFERROR(100/'Skjema total MA'!F117*G117,0)</f>
        <v>15.005945343057501</v>
      </c>
      <c r="J117" s="290">
        <f t="shared" si="24"/>
        <v>124505.07868000001</v>
      </c>
      <c r="K117" s="44">
        <f t="shared" si="24"/>
        <v>246931.16226000001</v>
      </c>
      <c r="L117" s="257">
        <f t="shared" si="25"/>
        <v>98.3</v>
      </c>
      <c r="M117" s="27">
        <f>IFERROR(100/'Skjema total MA'!I117*K117,0)</f>
        <v>15.005945343057501</v>
      </c>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v>28626.255800000003</v>
      </c>
      <c r="C119" s="159">
        <v>72866.795400000003</v>
      </c>
      <c r="D119" s="171">
        <f t="shared" si="23"/>
        <v>154.5</v>
      </c>
      <c r="E119" s="11">
        <f>IFERROR(100/'Skjema total MA'!C119*C119,0)</f>
        <v>9.1760458052410776</v>
      </c>
      <c r="F119" s="311">
        <v>560153.52067999996</v>
      </c>
      <c r="G119" s="159">
        <v>483359.20697</v>
      </c>
      <c r="H119" s="171">
        <v>-13.7</v>
      </c>
      <c r="I119" s="11">
        <f>IFERROR(100/'Skjema total MA'!F119*G119,0)</f>
        <v>4.4370896494193737</v>
      </c>
      <c r="J119" s="312">
        <f t="shared" si="24"/>
        <v>588779.77648</v>
      </c>
      <c r="K119" s="237">
        <f t="shared" si="24"/>
        <v>556226.00237</v>
      </c>
      <c r="L119" s="432">
        <f t="shared" si="25"/>
        <v>-5.5</v>
      </c>
      <c r="M119" s="11">
        <f>IFERROR(100/'Skjema total MA'!I119*K119,0)</f>
        <v>4.7590685881871302</v>
      </c>
      <c r="O119" s="148"/>
    </row>
    <row r="120" spans="1:15" x14ac:dyDescent="0.2">
      <c r="A120" s="21" t="s">
        <v>9</v>
      </c>
      <c r="B120" s="235">
        <v>0</v>
      </c>
      <c r="C120" s="145">
        <v>44993.681470000003</v>
      </c>
      <c r="D120" s="166" t="str">
        <f t="shared" si="23"/>
        <v xml:space="preserve">    ---- </v>
      </c>
      <c r="E120" s="27">
        <f>IFERROR(100/'Skjema total MA'!C120*C120,0)</f>
        <v>11.916120514460395</v>
      </c>
      <c r="F120" s="235"/>
      <c r="G120" s="145"/>
      <c r="H120" s="166"/>
      <c r="I120" s="27"/>
      <c r="J120" s="290">
        <f t="shared" si="24"/>
        <v>0</v>
      </c>
      <c r="K120" s="44">
        <f t="shared" si="24"/>
        <v>44993.681470000003</v>
      </c>
      <c r="L120" s="257" t="str">
        <f t="shared" si="25"/>
        <v xml:space="preserve">    ---- </v>
      </c>
      <c r="M120" s="27">
        <f>IFERROR(100/'Skjema total MA'!I120*K120,0)</f>
        <v>11.916120514460395</v>
      </c>
      <c r="O120" s="148"/>
    </row>
    <row r="121" spans="1:15" x14ac:dyDescent="0.2">
      <c r="A121" s="21" t="s">
        <v>10</v>
      </c>
      <c r="B121" s="235">
        <v>21526.010740000002</v>
      </c>
      <c r="C121" s="145">
        <v>24154.363000000001</v>
      </c>
      <c r="D121" s="166">
        <f t="shared" si="23"/>
        <v>12.2</v>
      </c>
      <c r="E121" s="27">
        <f>IFERROR(100/'Skjema total MA'!C121*C121,0)</f>
        <v>88.719425196092374</v>
      </c>
      <c r="F121" s="235">
        <v>560153.52067999996</v>
      </c>
      <c r="G121" s="145">
        <v>483359.20697</v>
      </c>
      <c r="H121" s="166">
        <v>-13.7</v>
      </c>
      <c r="I121" s="27">
        <f>IFERROR(100/'Skjema total MA'!F121*G121,0)</f>
        <v>4.4370896494193737</v>
      </c>
      <c r="J121" s="290">
        <f t="shared" si="24"/>
        <v>581679.53142000001</v>
      </c>
      <c r="K121" s="44">
        <f t="shared" si="24"/>
        <v>507513.56997000001</v>
      </c>
      <c r="L121" s="257">
        <f t="shared" si="25"/>
        <v>-12.8</v>
      </c>
      <c r="M121" s="27">
        <f>IFERROR(100/'Skjema total MA'!I121*K121,0)</f>
        <v>4.6472049091641523</v>
      </c>
      <c r="O121" s="148"/>
    </row>
    <row r="122" spans="1:15" x14ac:dyDescent="0.2">
      <c r="A122" s="21" t="s">
        <v>26</v>
      </c>
      <c r="B122" s="235">
        <v>7100.2450600000002</v>
      </c>
      <c r="C122" s="145">
        <v>3718.7509300000002</v>
      </c>
      <c r="D122" s="166">
        <f t="shared" si="23"/>
        <v>-47.6</v>
      </c>
      <c r="E122" s="27">
        <f>IFERROR(100/'Skjema total MA'!C122*C122,0)</f>
        <v>0.95527533661818664</v>
      </c>
      <c r="F122" s="235"/>
      <c r="G122" s="145"/>
      <c r="H122" s="166"/>
      <c r="I122" s="27"/>
      <c r="J122" s="290">
        <f t="shared" si="24"/>
        <v>7100.2450600000002</v>
      </c>
      <c r="K122" s="44">
        <f t="shared" si="24"/>
        <v>3718.7509300000002</v>
      </c>
      <c r="L122" s="257">
        <f t="shared" si="25"/>
        <v>-47.6</v>
      </c>
      <c r="M122" s="27">
        <f>IFERROR(100/'Skjema total MA'!I122*K122,0)</f>
        <v>0.95527533661818664</v>
      </c>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v>3807.7110499999999</v>
      </c>
      <c r="C125" s="235">
        <v>2570.85682</v>
      </c>
      <c r="D125" s="166">
        <f t="shared" si="23"/>
        <v>-32.5</v>
      </c>
      <c r="E125" s="27">
        <f>IFERROR(100/'Skjema total MA'!C125*C125,0)</f>
        <v>99.800039426898962</v>
      </c>
      <c r="F125" s="235">
        <v>136778.4608</v>
      </c>
      <c r="G125" s="235">
        <v>150346.76714000001</v>
      </c>
      <c r="H125" s="166">
        <v>9.9</v>
      </c>
      <c r="I125" s="27">
        <f>IFERROR(100/'Skjema total MA'!F125*G125,0)</f>
        <v>9.6669916056505727</v>
      </c>
      <c r="J125" s="290">
        <f t="shared" si="24"/>
        <v>140586.17185000001</v>
      </c>
      <c r="K125" s="44">
        <f t="shared" si="24"/>
        <v>152917.62396</v>
      </c>
      <c r="L125" s="257">
        <f t="shared" si="25"/>
        <v>8.8000000000000007</v>
      </c>
      <c r="M125" s="27">
        <f>IFERROR(100/'Skjema total MA'!I125*K125,0)</f>
        <v>9.8160339748309688</v>
      </c>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457" priority="132">
      <formula>kvartal &lt; 4</formula>
    </cfRule>
  </conditionalFormatting>
  <conditionalFormatting sqref="B69">
    <cfRule type="expression" dxfId="456" priority="100">
      <formula>kvartal &lt; 4</formula>
    </cfRule>
  </conditionalFormatting>
  <conditionalFormatting sqref="C69">
    <cfRule type="expression" dxfId="455" priority="99">
      <formula>kvartal &lt; 4</formula>
    </cfRule>
  </conditionalFormatting>
  <conditionalFormatting sqref="B72">
    <cfRule type="expression" dxfId="454" priority="98">
      <formula>kvartal &lt; 4</formula>
    </cfRule>
  </conditionalFormatting>
  <conditionalFormatting sqref="C72">
    <cfRule type="expression" dxfId="453" priority="97">
      <formula>kvartal &lt; 4</formula>
    </cfRule>
  </conditionalFormatting>
  <conditionalFormatting sqref="B80">
    <cfRule type="expression" dxfId="452" priority="96">
      <formula>kvartal &lt; 4</formula>
    </cfRule>
  </conditionalFormatting>
  <conditionalFormatting sqref="C80">
    <cfRule type="expression" dxfId="451" priority="95">
      <formula>kvartal &lt; 4</formula>
    </cfRule>
  </conditionalFormatting>
  <conditionalFormatting sqref="B83">
    <cfRule type="expression" dxfId="450" priority="94">
      <formula>kvartal &lt; 4</formula>
    </cfRule>
  </conditionalFormatting>
  <conditionalFormatting sqref="C83">
    <cfRule type="expression" dxfId="449" priority="93">
      <formula>kvartal &lt; 4</formula>
    </cfRule>
  </conditionalFormatting>
  <conditionalFormatting sqref="B90">
    <cfRule type="expression" dxfId="448" priority="84">
      <formula>kvartal &lt; 4</formula>
    </cfRule>
  </conditionalFormatting>
  <conditionalFormatting sqref="C90">
    <cfRule type="expression" dxfId="447" priority="83">
      <formula>kvartal &lt; 4</formula>
    </cfRule>
  </conditionalFormatting>
  <conditionalFormatting sqref="B93">
    <cfRule type="expression" dxfId="446" priority="82">
      <formula>kvartal &lt; 4</formula>
    </cfRule>
  </conditionalFormatting>
  <conditionalFormatting sqref="C93">
    <cfRule type="expression" dxfId="445" priority="81">
      <formula>kvartal &lt; 4</formula>
    </cfRule>
  </conditionalFormatting>
  <conditionalFormatting sqref="B101">
    <cfRule type="expression" dxfId="444" priority="80">
      <formula>kvartal &lt; 4</formula>
    </cfRule>
  </conditionalFormatting>
  <conditionalFormatting sqref="C101">
    <cfRule type="expression" dxfId="443" priority="79">
      <formula>kvartal &lt; 4</formula>
    </cfRule>
  </conditionalFormatting>
  <conditionalFormatting sqref="B104">
    <cfRule type="expression" dxfId="442" priority="78">
      <formula>kvartal &lt; 4</formula>
    </cfRule>
  </conditionalFormatting>
  <conditionalFormatting sqref="C104">
    <cfRule type="expression" dxfId="441" priority="77">
      <formula>kvartal &lt; 4</formula>
    </cfRule>
  </conditionalFormatting>
  <conditionalFormatting sqref="B115">
    <cfRule type="expression" dxfId="440" priority="76">
      <formula>kvartal &lt; 4</formula>
    </cfRule>
  </conditionalFormatting>
  <conditionalFormatting sqref="C115">
    <cfRule type="expression" dxfId="439" priority="75">
      <formula>kvartal &lt; 4</formula>
    </cfRule>
  </conditionalFormatting>
  <conditionalFormatting sqref="B123">
    <cfRule type="expression" dxfId="438" priority="74">
      <formula>kvartal &lt; 4</formula>
    </cfRule>
  </conditionalFormatting>
  <conditionalFormatting sqref="C123">
    <cfRule type="expression" dxfId="437" priority="73">
      <formula>kvartal &lt; 4</formula>
    </cfRule>
  </conditionalFormatting>
  <conditionalFormatting sqref="F70">
    <cfRule type="expression" dxfId="436" priority="72">
      <formula>kvartal &lt; 4</formula>
    </cfRule>
  </conditionalFormatting>
  <conditionalFormatting sqref="G70">
    <cfRule type="expression" dxfId="435" priority="71">
      <formula>kvartal &lt; 4</formula>
    </cfRule>
  </conditionalFormatting>
  <conditionalFormatting sqref="F71:G71">
    <cfRule type="expression" dxfId="434" priority="70">
      <formula>kvartal &lt; 4</formula>
    </cfRule>
  </conditionalFormatting>
  <conditionalFormatting sqref="F73:G74">
    <cfRule type="expression" dxfId="433" priority="69">
      <formula>kvartal &lt; 4</formula>
    </cfRule>
  </conditionalFormatting>
  <conditionalFormatting sqref="F81:G82">
    <cfRule type="expression" dxfId="432" priority="68">
      <formula>kvartal &lt; 4</formula>
    </cfRule>
  </conditionalFormatting>
  <conditionalFormatting sqref="F84:G85">
    <cfRule type="expression" dxfId="431" priority="67">
      <formula>kvartal &lt; 4</formula>
    </cfRule>
  </conditionalFormatting>
  <conditionalFormatting sqref="F91:G92">
    <cfRule type="expression" dxfId="430" priority="62">
      <formula>kvartal &lt; 4</formula>
    </cfRule>
  </conditionalFormatting>
  <conditionalFormatting sqref="F94:G95">
    <cfRule type="expression" dxfId="429" priority="61">
      <formula>kvartal &lt; 4</formula>
    </cfRule>
  </conditionalFormatting>
  <conditionalFormatting sqref="F102:G103">
    <cfRule type="expression" dxfId="428" priority="60">
      <formula>kvartal &lt; 4</formula>
    </cfRule>
  </conditionalFormatting>
  <conditionalFormatting sqref="F105:G106">
    <cfRule type="expression" dxfId="427" priority="59">
      <formula>kvartal &lt; 4</formula>
    </cfRule>
  </conditionalFormatting>
  <conditionalFormatting sqref="F115">
    <cfRule type="expression" dxfId="426" priority="58">
      <formula>kvartal &lt; 4</formula>
    </cfRule>
  </conditionalFormatting>
  <conditionalFormatting sqref="G115">
    <cfRule type="expression" dxfId="425" priority="57">
      <formula>kvartal &lt; 4</formula>
    </cfRule>
  </conditionalFormatting>
  <conditionalFormatting sqref="F123:G123">
    <cfRule type="expression" dxfId="424" priority="56">
      <formula>kvartal &lt; 4</formula>
    </cfRule>
  </conditionalFormatting>
  <conditionalFormatting sqref="F69:G69">
    <cfRule type="expression" dxfId="423" priority="55">
      <formula>kvartal &lt; 4</formula>
    </cfRule>
  </conditionalFormatting>
  <conditionalFormatting sqref="F72:G72">
    <cfRule type="expression" dxfId="422" priority="54">
      <formula>kvartal &lt; 4</formula>
    </cfRule>
  </conditionalFormatting>
  <conditionalFormatting sqref="F80:G80">
    <cfRule type="expression" dxfId="421" priority="53">
      <formula>kvartal &lt; 4</formula>
    </cfRule>
  </conditionalFormatting>
  <conditionalFormatting sqref="F83:G83">
    <cfRule type="expression" dxfId="420" priority="52">
      <formula>kvartal &lt; 4</formula>
    </cfRule>
  </conditionalFormatting>
  <conditionalFormatting sqref="F90:G90">
    <cfRule type="expression" dxfId="419" priority="46">
      <formula>kvartal &lt; 4</formula>
    </cfRule>
  </conditionalFormatting>
  <conditionalFormatting sqref="F93">
    <cfRule type="expression" dxfId="418" priority="45">
      <formula>kvartal &lt; 4</formula>
    </cfRule>
  </conditionalFormatting>
  <conditionalFormatting sqref="G93">
    <cfRule type="expression" dxfId="417" priority="44">
      <formula>kvartal &lt; 4</formula>
    </cfRule>
  </conditionalFormatting>
  <conditionalFormatting sqref="F101">
    <cfRule type="expression" dxfId="416" priority="43">
      <formula>kvartal &lt; 4</formula>
    </cfRule>
  </conditionalFormatting>
  <conditionalFormatting sqref="G101">
    <cfRule type="expression" dxfId="415" priority="42">
      <formula>kvartal &lt; 4</formula>
    </cfRule>
  </conditionalFormatting>
  <conditionalFormatting sqref="G104">
    <cfRule type="expression" dxfId="414" priority="41">
      <formula>kvartal &lt; 4</formula>
    </cfRule>
  </conditionalFormatting>
  <conditionalFormatting sqref="F104">
    <cfRule type="expression" dxfId="413" priority="40">
      <formula>kvartal &lt; 4</formula>
    </cfRule>
  </conditionalFormatting>
  <conditionalFormatting sqref="J69:K73">
    <cfRule type="expression" dxfId="412" priority="39">
      <formula>kvartal &lt; 4</formula>
    </cfRule>
  </conditionalFormatting>
  <conditionalFormatting sqref="J74:K74">
    <cfRule type="expression" dxfId="411" priority="38">
      <formula>kvartal &lt; 4</formula>
    </cfRule>
  </conditionalFormatting>
  <conditionalFormatting sqref="J80:K85">
    <cfRule type="expression" dxfId="410" priority="37">
      <formula>kvartal &lt; 4</formula>
    </cfRule>
  </conditionalFormatting>
  <conditionalFormatting sqref="J90:K95">
    <cfRule type="expression" dxfId="409" priority="34">
      <formula>kvartal &lt; 4</formula>
    </cfRule>
  </conditionalFormatting>
  <conditionalFormatting sqref="J101:K106">
    <cfRule type="expression" dxfId="408" priority="33">
      <formula>kvartal &lt; 4</formula>
    </cfRule>
  </conditionalFormatting>
  <conditionalFormatting sqref="J115:K115">
    <cfRule type="expression" dxfId="407" priority="32">
      <formula>kvartal &lt; 4</formula>
    </cfRule>
  </conditionalFormatting>
  <conditionalFormatting sqref="J123:K123">
    <cfRule type="expression" dxfId="406" priority="31">
      <formula>kvartal &lt; 4</formula>
    </cfRule>
  </conditionalFormatting>
  <conditionalFormatting sqref="A50:A52">
    <cfRule type="expression" dxfId="405" priority="12">
      <formula>kvartal &lt; 4</formula>
    </cfRule>
  </conditionalFormatting>
  <conditionalFormatting sqref="A69:A74">
    <cfRule type="expression" dxfId="404" priority="10">
      <formula>kvartal &lt; 4</formula>
    </cfRule>
  </conditionalFormatting>
  <conditionalFormatting sqref="A80:A85">
    <cfRule type="expression" dxfId="403" priority="9">
      <formula>kvartal &lt; 4</formula>
    </cfRule>
  </conditionalFormatting>
  <conditionalFormatting sqref="A90:A95">
    <cfRule type="expression" dxfId="402" priority="6">
      <formula>kvartal &lt; 4</formula>
    </cfRule>
  </conditionalFormatting>
  <conditionalFormatting sqref="A101:A106">
    <cfRule type="expression" dxfId="401" priority="5">
      <formula>kvartal &lt; 4</formula>
    </cfRule>
  </conditionalFormatting>
  <conditionalFormatting sqref="A115">
    <cfRule type="expression" dxfId="400" priority="4">
      <formula>kvartal &lt; 4</formula>
    </cfRule>
  </conditionalFormatting>
  <conditionalFormatting sqref="A123">
    <cfRule type="expression" dxfId="399" priority="3">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O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143</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v>503127.75599999999</v>
      </c>
      <c r="C7" s="310">
        <v>494704.62199999997</v>
      </c>
      <c r="D7" s="354">
        <f>IF(B7=0, "    ---- ", IF(ABS(ROUND(100/B7*C7-100,1))&lt;999,ROUND(100/B7*C7-100,1),IF(ROUND(100/B7*C7-100,1)&gt;999,999,-999)))</f>
        <v>-1.7</v>
      </c>
      <c r="E7" s="11">
        <f>IFERROR(100/'Skjema total MA'!C7*C7,0)</f>
        <v>14.067472313742861</v>
      </c>
      <c r="F7" s="309">
        <v>1237480.2420000001</v>
      </c>
      <c r="G7" s="310">
        <v>1148596.1880000001</v>
      </c>
      <c r="H7" s="354">
        <f>IF(F7=0, "    ---- ", IF(ABS(ROUND(100/F7*G7-100,1))&lt;999,ROUND(100/F7*G7-100,1),IF(ROUND(100/F7*G7-100,1)&gt;999,999,-999)))</f>
        <v>-7.2</v>
      </c>
      <c r="I7" s="160">
        <f>IFERROR(100/'Skjema total MA'!F7*G7,0)</f>
        <v>20.894361806661191</v>
      </c>
      <c r="J7" s="311">
        <f t="shared" ref="J7:K12" si="0">SUM(B7,F7)</f>
        <v>1740607.9980000001</v>
      </c>
      <c r="K7" s="312">
        <f t="shared" si="0"/>
        <v>1643300.81</v>
      </c>
      <c r="L7" s="431">
        <f>IF(J7=0, "    ---- ", IF(ABS(ROUND(100/J7*K7-100,1))&lt;999,ROUND(100/J7*K7-100,1),IF(ROUND(100/J7*K7-100,1)&gt;999,999,-999)))</f>
        <v>-5.6</v>
      </c>
      <c r="M7" s="11">
        <f>IFERROR(100/'Skjema total MA'!I7*K7,0)</f>
        <v>18.230914244942447</v>
      </c>
      <c r="O7" s="148"/>
    </row>
    <row r="8" spans="1:15" ht="15.75" x14ac:dyDescent="0.2">
      <c r="A8" s="21" t="s">
        <v>25</v>
      </c>
      <c r="B8" s="284">
        <v>181921.04699999999</v>
      </c>
      <c r="C8" s="285">
        <v>189622</v>
      </c>
      <c r="D8" s="166">
        <f t="shared" ref="D8:D10" si="1">IF(B8=0, "    ---- ", IF(ABS(ROUND(100/B8*C8-100,1))&lt;999,ROUND(100/B8*C8-100,1),IF(ROUND(100/B8*C8-100,1)&gt;999,999,-999)))</f>
        <v>4.2</v>
      </c>
      <c r="E8" s="27">
        <f>IFERROR(100/'Skjema total MA'!C8*C8,0)</f>
        <v>9.014938056129699</v>
      </c>
      <c r="F8" s="288"/>
      <c r="G8" s="289"/>
      <c r="H8" s="166"/>
      <c r="I8" s="176"/>
      <c r="J8" s="235">
        <f t="shared" si="0"/>
        <v>181921.04699999999</v>
      </c>
      <c r="K8" s="290">
        <f t="shared" si="0"/>
        <v>189622</v>
      </c>
      <c r="L8" s="257">
        <f t="shared" ref="L8:L12" si="2">IF(J8=0, "    ---- ", IF(ABS(ROUND(100/J8*K8-100,1))&lt;999,ROUND(100/J8*K8-100,1),IF(ROUND(100/J8*K8-100,1)&gt;999,999,-999)))</f>
        <v>4.2</v>
      </c>
      <c r="M8" s="27">
        <f>IFERROR(100/'Skjema total MA'!I8*K8,0)</f>
        <v>9.014938056129699</v>
      </c>
      <c r="O8" s="148"/>
    </row>
    <row r="9" spans="1:15" ht="15.75" x14ac:dyDescent="0.2">
      <c r="A9" s="21" t="s">
        <v>24</v>
      </c>
      <c r="B9" s="284">
        <v>53086.065000000002</v>
      </c>
      <c r="C9" s="285">
        <v>56848</v>
      </c>
      <c r="D9" s="166">
        <f t="shared" si="1"/>
        <v>7.1</v>
      </c>
      <c r="E9" s="27">
        <f>IFERROR(100/'Skjema total MA'!C9*C9,0)</f>
        <v>7.2712375098721207</v>
      </c>
      <c r="F9" s="288"/>
      <c r="G9" s="289"/>
      <c r="H9" s="166"/>
      <c r="I9" s="176"/>
      <c r="J9" s="235">
        <f t="shared" si="0"/>
        <v>53086.065000000002</v>
      </c>
      <c r="K9" s="290">
        <f t="shared" si="0"/>
        <v>56848</v>
      </c>
      <c r="L9" s="257">
        <f t="shared" si="2"/>
        <v>7.1</v>
      </c>
      <c r="M9" s="27">
        <f>IFERROR(100/'Skjema total MA'!I9*K9,0)</f>
        <v>7.2712375098721207</v>
      </c>
      <c r="O9" s="148"/>
    </row>
    <row r="10" spans="1:15" ht="15.75" x14ac:dyDescent="0.2">
      <c r="A10" s="13" t="s">
        <v>376</v>
      </c>
      <c r="B10" s="313">
        <v>4081394.5219999999</v>
      </c>
      <c r="C10" s="314">
        <v>4034480.0380000002</v>
      </c>
      <c r="D10" s="171">
        <f t="shared" si="1"/>
        <v>-1.1000000000000001</v>
      </c>
      <c r="E10" s="11">
        <f>IFERROR(100/'Skjema total MA'!C10*C10,0)</f>
        <v>19.020267406991383</v>
      </c>
      <c r="F10" s="313">
        <v>6131533.6069999998</v>
      </c>
      <c r="G10" s="314">
        <v>7221881.5010000002</v>
      </c>
      <c r="H10" s="171">
        <f t="shared" ref="H10:H12" si="3">IF(F10=0, "    ---- ", IF(ABS(ROUND(100/F10*G10-100,1))&lt;999,ROUND(100/F10*G10-100,1),IF(ROUND(100/F10*G10-100,1)&gt;999,999,-999)))</f>
        <v>17.8</v>
      </c>
      <c r="I10" s="160">
        <f>IFERROR(100/'Skjema total MA'!F10*G10,0)</f>
        <v>16.190124062184545</v>
      </c>
      <c r="J10" s="311">
        <f t="shared" si="0"/>
        <v>10212928.129000001</v>
      </c>
      <c r="K10" s="312">
        <f t="shared" si="0"/>
        <v>11256361.539000001</v>
      </c>
      <c r="L10" s="432">
        <f t="shared" si="2"/>
        <v>10.199999999999999</v>
      </c>
      <c r="M10" s="11">
        <f>IFERROR(100/'Skjema total MA'!I10*K10,0)</f>
        <v>17.102205178515014</v>
      </c>
      <c r="O10" s="148"/>
    </row>
    <row r="11" spans="1:15" s="43" customFormat="1" ht="15.75" x14ac:dyDescent="0.2">
      <c r="A11" s="13" t="s">
        <v>377</v>
      </c>
      <c r="B11" s="313"/>
      <c r="C11" s="314"/>
      <c r="D11" s="171"/>
      <c r="E11" s="11"/>
      <c r="F11" s="313">
        <v>4774.2929999999997</v>
      </c>
      <c r="G11" s="314">
        <v>14026.79</v>
      </c>
      <c r="H11" s="171">
        <f t="shared" si="3"/>
        <v>193.8</v>
      </c>
      <c r="I11" s="160">
        <f>IFERROR(100/'Skjema total MA'!F11*G11,0)</f>
        <v>6.8301353501874091</v>
      </c>
      <c r="J11" s="311">
        <f t="shared" si="0"/>
        <v>4774.2929999999997</v>
      </c>
      <c r="K11" s="312">
        <f t="shared" si="0"/>
        <v>14026.79</v>
      </c>
      <c r="L11" s="432">
        <f t="shared" si="2"/>
        <v>193.8</v>
      </c>
      <c r="M11" s="11">
        <f>IFERROR(100/'Skjema total MA'!I11*K11,0)</f>
        <v>6.1546056818526491</v>
      </c>
      <c r="N11" s="143"/>
      <c r="O11" s="148"/>
    </row>
    <row r="12" spans="1:15" s="43" customFormat="1" ht="15.75" x14ac:dyDescent="0.2">
      <c r="A12" s="41" t="s">
        <v>378</v>
      </c>
      <c r="B12" s="315"/>
      <c r="C12" s="316"/>
      <c r="D12" s="169"/>
      <c r="E12" s="36"/>
      <c r="F12" s="315">
        <v>25119.333999999999</v>
      </c>
      <c r="G12" s="316">
        <v>26140.027999999998</v>
      </c>
      <c r="H12" s="169">
        <f t="shared" si="3"/>
        <v>4.0999999999999996</v>
      </c>
      <c r="I12" s="169">
        <f>IFERROR(100/'Skjema total MA'!F12*G12,0)</f>
        <v>15.083790431878928</v>
      </c>
      <c r="J12" s="317">
        <f t="shared" si="0"/>
        <v>25119.333999999999</v>
      </c>
      <c r="K12" s="318">
        <f t="shared" si="0"/>
        <v>26140.027999999998</v>
      </c>
      <c r="L12" s="433">
        <f t="shared" si="2"/>
        <v>4.0999999999999996</v>
      </c>
      <c r="M12" s="36">
        <f>IFERROR(100/'Skjema total MA'!I12*K12,0)</f>
        <v>15.076917467545568</v>
      </c>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v>9388.1689999999999</v>
      </c>
      <c r="C22" s="319">
        <v>7774.2079999999996</v>
      </c>
      <c r="D22" s="354">
        <f t="shared" ref="D22:D37" si="4">IF(B22=0, "    ---- ", IF(ABS(ROUND(100/B22*C22-100,1))&lt;999,ROUND(100/B22*C22-100,1),IF(ROUND(100/B22*C22-100,1)&gt;999,999,-999)))</f>
        <v>-17.2</v>
      </c>
      <c r="E22" s="11">
        <f>IFERROR(100/'Skjema total MA'!C22*C22,0)</f>
        <v>0.64752703401122724</v>
      </c>
      <c r="F22" s="321">
        <v>11853.83</v>
      </c>
      <c r="G22" s="321">
        <v>284956.21600000001</v>
      </c>
      <c r="H22" s="354">
        <f t="shared" ref="H22:H35" si="5">IF(F22=0, "    ---- ", IF(ABS(ROUND(100/F22*G22-100,1))&lt;999,ROUND(100/F22*G22-100,1),IF(ROUND(100/F22*G22-100,1)&gt;999,999,-999)))</f>
        <v>999</v>
      </c>
      <c r="I22" s="11">
        <f>IFERROR(100/'Skjema total MA'!F22*G22,0)</f>
        <v>36.932223635526853</v>
      </c>
      <c r="J22" s="319">
        <f t="shared" ref="J22:K35" si="6">SUM(B22,F22)</f>
        <v>21241.999</v>
      </c>
      <c r="K22" s="319">
        <f t="shared" si="6"/>
        <v>292730.424</v>
      </c>
      <c r="L22" s="431">
        <f t="shared" ref="L22:L37" si="7">IF(J22=0, "    ---- ", IF(ABS(ROUND(100/J22*K22-100,1))&lt;999,ROUND(100/J22*K22-100,1),IF(ROUND(100/J22*K22-100,1)&gt;999,999,-999)))</f>
        <v>999</v>
      </c>
      <c r="M22" s="24">
        <f>IFERROR(100/'Skjema total MA'!I22*K22,0)</f>
        <v>14.843099736320751</v>
      </c>
      <c r="O22" s="148"/>
    </row>
    <row r="23" spans="1:15" ht="15.75" x14ac:dyDescent="0.2">
      <c r="A23" s="619" t="s">
        <v>379</v>
      </c>
      <c r="B23" s="284"/>
      <c r="C23" s="284">
        <v>986.39</v>
      </c>
      <c r="D23" s="166" t="str">
        <f t="shared" si="4"/>
        <v xml:space="preserve">    ---- </v>
      </c>
      <c r="E23" s="11">
        <f>IFERROR(100/'Skjema total MA'!C23*C23,0)</f>
        <v>0.11284463809810909</v>
      </c>
      <c r="F23" s="293"/>
      <c r="G23" s="293">
        <v>75959</v>
      </c>
      <c r="H23" s="166" t="str">
        <f t="shared" si="5"/>
        <v xml:space="preserve">    ---- </v>
      </c>
      <c r="I23" s="421">
        <f>IFERROR(100/'Skjema total MA'!F23*G23,0)</f>
        <v>59.927171000356836</v>
      </c>
      <c r="J23" s="293"/>
      <c r="K23" s="293">
        <f t="shared" ref="K23:K26" si="8">SUM(C23,G23)</f>
        <v>76945.39</v>
      </c>
      <c r="L23" s="257" t="str">
        <f t="shared" si="7"/>
        <v xml:space="preserve">    ---- </v>
      </c>
      <c r="M23" s="23">
        <f>IFERROR(100/'Skjema total MA'!I23*K23,0)</f>
        <v>7.6878851649581881</v>
      </c>
      <c r="O23" s="148"/>
    </row>
    <row r="24" spans="1:15" ht="15.75" x14ac:dyDescent="0.2">
      <c r="A24" s="619" t="s">
        <v>380</v>
      </c>
      <c r="B24" s="284"/>
      <c r="C24" s="284">
        <v>6787.8180000000002</v>
      </c>
      <c r="D24" s="166" t="str">
        <f t="shared" si="4"/>
        <v xml:space="preserve">    ---- </v>
      </c>
      <c r="E24" s="11">
        <f>IFERROR(100/'Skjema total MA'!C24*C24,0)</f>
        <v>64.049520126879969</v>
      </c>
      <c r="F24" s="293"/>
      <c r="G24" s="293">
        <v>9.7462400000000002</v>
      </c>
      <c r="H24" s="166" t="str">
        <f t="shared" si="5"/>
        <v xml:space="preserve">    ---- </v>
      </c>
      <c r="I24" s="421">
        <f>IFERROR(100/'Skjema total MA'!F24*G24,0)</f>
        <v>38.885048073104123</v>
      </c>
      <c r="J24" s="293"/>
      <c r="K24" s="293">
        <f t="shared" si="8"/>
        <v>6797.5642400000006</v>
      </c>
      <c r="L24" s="257" t="str">
        <f t="shared" si="7"/>
        <v xml:space="preserve">    ---- </v>
      </c>
      <c r="M24" s="23">
        <f>IFERROR(100/'Skjema total MA'!I24*K24,0)</f>
        <v>63.990145340399621</v>
      </c>
      <c r="O24" s="148"/>
    </row>
    <row r="25" spans="1:15" ht="15.75" x14ac:dyDescent="0.2">
      <c r="A25" s="619" t="s">
        <v>381</v>
      </c>
      <c r="B25" s="284"/>
      <c r="C25" s="284"/>
      <c r="D25" s="166"/>
      <c r="E25" s="11"/>
      <c r="F25" s="293"/>
      <c r="G25" s="293">
        <v>149.05000000000001</v>
      </c>
      <c r="H25" s="166" t="str">
        <f t="shared" si="5"/>
        <v xml:space="preserve">    ---- </v>
      </c>
      <c r="I25" s="421">
        <f>IFERROR(100/'Skjema total MA'!F25*G25,0)</f>
        <v>0.16094144296108615</v>
      </c>
      <c r="J25" s="293"/>
      <c r="K25" s="293">
        <f t="shared" si="8"/>
        <v>149.05000000000001</v>
      </c>
      <c r="L25" s="257" t="str">
        <f t="shared" si="7"/>
        <v xml:space="preserve">    ---- </v>
      </c>
      <c r="M25" s="23">
        <f>IFERROR(100/'Skjema total MA'!I25*K25,0)</f>
        <v>0.12711793223079348</v>
      </c>
      <c r="O25" s="148"/>
    </row>
    <row r="26" spans="1:15" ht="15.75" x14ac:dyDescent="0.2">
      <c r="A26" s="619" t="s">
        <v>382</v>
      </c>
      <c r="B26" s="284"/>
      <c r="C26" s="284"/>
      <c r="D26" s="166"/>
      <c r="E26" s="11"/>
      <c r="F26" s="293"/>
      <c r="G26" s="293">
        <v>208838.497</v>
      </c>
      <c r="H26" s="166" t="str">
        <f t="shared" si="5"/>
        <v xml:space="preserve">    ---- </v>
      </c>
      <c r="I26" s="421">
        <f>IFERROR(100/'Skjema total MA'!F26*G26,0)</f>
        <v>37.820948343202879</v>
      </c>
      <c r="J26" s="293"/>
      <c r="K26" s="293">
        <f t="shared" si="8"/>
        <v>208838.497</v>
      </c>
      <c r="L26" s="257" t="str">
        <f t="shared" si="7"/>
        <v xml:space="preserve">    ---- </v>
      </c>
      <c r="M26" s="23">
        <f>IFERROR(100/'Skjema total MA'!I26*K26,0)</f>
        <v>37.820948343202879</v>
      </c>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v>147190.288</v>
      </c>
      <c r="C28" s="290">
        <v>154470</v>
      </c>
      <c r="D28" s="166">
        <f t="shared" si="4"/>
        <v>4.9000000000000004</v>
      </c>
      <c r="E28" s="11">
        <f>IFERROR(100/'Skjema total MA'!C28*C28,0)</f>
        <v>10.800312401456141</v>
      </c>
      <c r="F28" s="235"/>
      <c r="G28" s="290"/>
      <c r="H28" s="166"/>
      <c r="I28" s="27"/>
      <c r="J28" s="44">
        <f t="shared" si="6"/>
        <v>147190.288</v>
      </c>
      <c r="K28" s="44">
        <f t="shared" si="6"/>
        <v>154470</v>
      </c>
      <c r="L28" s="257">
        <f t="shared" si="7"/>
        <v>4.9000000000000004</v>
      </c>
      <c r="M28" s="23">
        <f>IFERROR(100/'Skjema total MA'!I28*K28,0)</f>
        <v>10.800312401456141</v>
      </c>
      <c r="O28" s="148"/>
    </row>
    <row r="29" spans="1:15" s="3" customFormat="1" ht="15.75" x14ac:dyDescent="0.2">
      <c r="A29" s="13" t="s">
        <v>376</v>
      </c>
      <c r="B29" s="237">
        <v>11508851.419</v>
      </c>
      <c r="C29" s="237">
        <v>10608456</v>
      </c>
      <c r="D29" s="171">
        <f t="shared" si="4"/>
        <v>-7.8</v>
      </c>
      <c r="E29" s="11">
        <f>IFERROR(100/'Skjema total MA'!C29*C29,0)</f>
        <v>22.015105175899265</v>
      </c>
      <c r="F29" s="311">
        <v>3706728.8080000002</v>
      </c>
      <c r="G29" s="311">
        <v>4383583.148</v>
      </c>
      <c r="H29" s="171">
        <f t="shared" si="5"/>
        <v>18.3</v>
      </c>
      <c r="I29" s="11">
        <f>IFERROR(100/'Skjema total MA'!F29*G29,0)</f>
        <v>21.280099693758196</v>
      </c>
      <c r="J29" s="237">
        <f t="shared" si="6"/>
        <v>15215580.227</v>
      </c>
      <c r="K29" s="237">
        <f t="shared" si="6"/>
        <v>14992039.148</v>
      </c>
      <c r="L29" s="432">
        <f t="shared" si="7"/>
        <v>-1.5</v>
      </c>
      <c r="M29" s="24">
        <f>IFERROR(100/'Skjema total MA'!I29*K29,0)</f>
        <v>21.794993939252599</v>
      </c>
      <c r="N29" s="148"/>
      <c r="O29" s="148"/>
    </row>
    <row r="30" spans="1:15" s="3" customFormat="1" ht="15.75" x14ac:dyDescent="0.2">
      <c r="A30" s="619" t="s">
        <v>379</v>
      </c>
      <c r="B30" s="284"/>
      <c r="C30" s="284">
        <v>1345999</v>
      </c>
      <c r="D30" s="166" t="str">
        <f t="shared" si="4"/>
        <v xml:space="preserve">    ---- </v>
      </c>
      <c r="E30" s="11">
        <f>IFERROR(100/'Skjema total MA'!C30*C30,0)</f>
        <v>10.184648554861052</v>
      </c>
      <c r="F30" s="293"/>
      <c r="G30" s="293">
        <v>535707.98699999996</v>
      </c>
      <c r="H30" s="166" t="str">
        <f t="shared" si="5"/>
        <v xml:space="preserve">    ---- </v>
      </c>
      <c r="I30" s="421">
        <f>IFERROR(100/'Skjema total MA'!F30*G30,0)</f>
        <v>12.149234373634506</v>
      </c>
      <c r="J30" s="293">
        <f t="shared" ref="J30:J33" si="9">SUM(B30,F30)</f>
        <v>0</v>
      </c>
      <c r="K30" s="293">
        <f t="shared" ref="K30:K33" si="10">SUM(C30,G30)</f>
        <v>1881706.987</v>
      </c>
      <c r="L30" s="257" t="str">
        <f t="shared" si="7"/>
        <v xml:space="preserve">    ---- </v>
      </c>
      <c r="M30" s="23">
        <f>IFERROR(100/'Skjema total MA'!I30*K30,0)</f>
        <v>10.676135866633203</v>
      </c>
      <c r="N30" s="148"/>
      <c r="O30" s="148"/>
    </row>
    <row r="31" spans="1:15" s="3" customFormat="1" ht="15.75" x14ac:dyDescent="0.2">
      <c r="A31" s="619" t="s">
        <v>380</v>
      </c>
      <c r="B31" s="284"/>
      <c r="C31" s="284">
        <v>9262457</v>
      </c>
      <c r="D31" s="166" t="str">
        <f t="shared" si="4"/>
        <v xml:space="preserve">    ---- </v>
      </c>
      <c r="E31" s="11">
        <f>IFERROR(100/'Skjema total MA'!C31*C31,0)</f>
        <v>29.874130587606768</v>
      </c>
      <c r="F31" s="293"/>
      <c r="G31" s="293">
        <v>2050835.851</v>
      </c>
      <c r="H31" s="166" t="str">
        <f t="shared" si="5"/>
        <v xml:space="preserve">    ---- </v>
      </c>
      <c r="I31" s="421">
        <f>IFERROR(100/'Skjema total MA'!F31*G31,0)</f>
        <v>19.634049360662235</v>
      </c>
      <c r="J31" s="293">
        <f t="shared" si="9"/>
        <v>0</v>
      </c>
      <c r="K31" s="293">
        <f t="shared" si="10"/>
        <v>11313292.851</v>
      </c>
      <c r="L31" s="257" t="str">
        <f t="shared" si="7"/>
        <v xml:space="preserve">    ---- </v>
      </c>
      <c r="M31" s="23">
        <f>IFERROR(100/'Skjema total MA'!I31*K31,0)</f>
        <v>27.293669453432784</v>
      </c>
      <c r="N31" s="148"/>
      <c r="O31" s="148"/>
    </row>
    <row r="32" spans="1:15" ht="15.75" x14ac:dyDescent="0.2">
      <c r="A32" s="619" t="s">
        <v>381</v>
      </c>
      <c r="B32" s="284"/>
      <c r="C32" s="284"/>
      <c r="D32" s="166"/>
      <c r="E32" s="11">
        <f>IFERROR(100/'Skjema total MA'!C32*C32,0)</f>
        <v>0</v>
      </c>
      <c r="F32" s="293"/>
      <c r="G32" s="293">
        <v>1264027.2239999999</v>
      </c>
      <c r="H32" s="166" t="str">
        <f t="shared" si="5"/>
        <v xml:space="preserve">    ---- </v>
      </c>
      <c r="I32" s="421">
        <f>IFERROR(100/'Skjema total MA'!F32*G32,0)</f>
        <v>29.408391985160513</v>
      </c>
      <c r="J32" s="293">
        <f t="shared" si="9"/>
        <v>0</v>
      </c>
      <c r="K32" s="293">
        <f t="shared" si="10"/>
        <v>1264027.2239999999</v>
      </c>
      <c r="L32" s="257" t="str">
        <f t="shared" si="7"/>
        <v xml:space="preserve">    ---- </v>
      </c>
      <c r="M32" s="23">
        <f>IFERROR(100/'Skjema total MA'!I32*K32,0)</f>
        <v>19.031886835260817</v>
      </c>
      <c r="O32" s="148"/>
    </row>
    <row r="33" spans="1:15" ht="15.75" x14ac:dyDescent="0.2">
      <c r="A33" s="619" t="s">
        <v>382</v>
      </c>
      <c r="B33" s="284"/>
      <c r="C33" s="284"/>
      <c r="D33" s="166"/>
      <c r="E33" s="11">
        <f>IFERROR(100/'Skjema total MA'!C33*C33,0)</f>
        <v>0</v>
      </c>
      <c r="F33" s="293"/>
      <c r="G33" s="293">
        <v>533012.08600000001</v>
      </c>
      <c r="H33" s="166" t="str">
        <f t="shared" si="5"/>
        <v xml:space="preserve">    ---- </v>
      </c>
      <c r="I33" s="421">
        <f>IFERROR(100/'Skjema total MA'!F34*G33,0)</f>
        <v>1061.255091981596</v>
      </c>
      <c r="J33" s="293">
        <f t="shared" si="9"/>
        <v>0</v>
      </c>
      <c r="K33" s="293">
        <f t="shared" si="10"/>
        <v>533012.08600000001</v>
      </c>
      <c r="L33" s="257" t="str">
        <f t="shared" si="7"/>
        <v xml:space="preserve">    ---- </v>
      </c>
      <c r="M33" s="23">
        <f>IFERROR(100/'Skjema total MA'!I34*K33,0)</f>
        <v>746.10629702491735</v>
      </c>
      <c r="O33" s="148"/>
    </row>
    <row r="34" spans="1:15" ht="15.75" x14ac:dyDescent="0.2">
      <c r="A34" s="13" t="s">
        <v>377</v>
      </c>
      <c r="B34" s="237">
        <v>7394.308</v>
      </c>
      <c r="C34" s="312">
        <v>3565.4290000000001</v>
      </c>
      <c r="D34" s="171">
        <f t="shared" si="4"/>
        <v>-51.8</v>
      </c>
      <c r="E34" s="11">
        <f>IFERROR(100/'Skjema total MA'!C34*C34,0)</f>
        <v>16.80658891326107</v>
      </c>
      <c r="F34" s="311">
        <v>7785.1769999999997</v>
      </c>
      <c r="G34" s="312">
        <v>13587.5</v>
      </c>
      <c r="H34" s="171">
        <f t="shared" si="5"/>
        <v>74.5</v>
      </c>
      <c r="I34" s="11">
        <f>IFERROR(100/'Skjema total MA'!F34*G34,0)</f>
        <v>27.053427006718824</v>
      </c>
      <c r="J34" s="237">
        <f t="shared" si="6"/>
        <v>15179.485000000001</v>
      </c>
      <c r="K34" s="237">
        <f t="shared" si="6"/>
        <v>17152.929</v>
      </c>
      <c r="L34" s="432">
        <f t="shared" si="7"/>
        <v>13</v>
      </c>
      <c r="M34" s="24">
        <f>IFERROR(100/'Skjema total MA'!I34*K34,0)</f>
        <v>24.010540615248487</v>
      </c>
      <c r="O34" s="148"/>
    </row>
    <row r="35" spans="1:15" ht="15.75" x14ac:dyDescent="0.2">
      <c r="A35" s="13" t="s">
        <v>378</v>
      </c>
      <c r="B35" s="237">
        <v>4517.3140000000003</v>
      </c>
      <c r="C35" s="312">
        <v>1385.499</v>
      </c>
      <c r="D35" s="171">
        <f t="shared" si="4"/>
        <v>-69.3</v>
      </c>
      <c r="E35" s="11">
        <f>IFERROR(100/'Skjema total MA'!C35*C35,0)</f>
        <v>-5.7080268990304655</v>
      </c>
      <c r="F35" s="311">
        <v>12112.941999999999</v>
      </c>
      <c r="G35" s="312">
        <v>11333.645</v>
      </c>
      <c r="H35" s="171">
        <f t="shared" si="5"/>
        <v>-6.4</v>
      </c>
      <c r="I35" s="11">
        <f>IFERROR(100/'Skjema total MA'!F35*G35,0)</f>
        <v>14.259311709926108</v>
      </c>
      <c r="J35" s="237">
        <f t="shared" si="6"/>
        <v>16630.256000000001</v>
      </c>
      <c r="K35" s="237">
        <f t="shared" si="6"/>
        <v>12719.144</v>
      </c>
      <c r="L35" s="432">
        <f t="shared" si="7"/>
        <v>-23.5</v>
      </c>
      <c r="M35" s="24">
        <f>IFERROR(100/'Skjema total MA'!I35*K35,0)</f>
        <v>23.037923240504497</v>
      </c>
      <c r="O35" s="148"/>
    </row>
    <row r="36" spans="1:15" ht="15.75" x14ac:dyDescent="0.2">
      <c r="A36" s="12" t="s">
        <v>295</v>
      </c>
      <c r="B36" s="237">
        <v>46.165999999999997</v>
      </c>
      <c r="C36" s="312">
        <v>48.576000000000001</v>
      </c>
      <c r="D36" s="171">
        <f t="shared" si="4"/>
        <v>5.2</v>
      </c>
      <c r="E36" s="11">
        <f>100/'Skjema total MA'!C36*C36</f>
        <v>1.6689480020449561</v>
      </c>
      <c r="F36" s="322"/>
      <c r="G36" s="323"/>
      <c r="H36" s="171"/>
      <c r="I36" s="438">
        <f>IFERROR(100/'Skjema total MA'!F36*G36,0)</f>
        <v>0</v>
      </c>
      <c r="J36" s="237">
        <f t="shared" ref="J36:J37" si="11">SUM(B36,F36)</f>
        <v>46.165999999999997</v>
      </c>
      <c r="K36" s="237">
        <f t="shared" ref="K36:K37" si="12">SUM(C36,G36)</f>
        <v>48.576000000000001</v>
      </c>
      <c r="L36" s="432">
        <f t="shared" si="7"/>
        <v>5.2</v>
      </c>
      <c r="M36" s="24">
        <f>IFERROR(100/'Skjema total MA'!I36*K36,0)</f>
        <v>1.6689480020449561</v>
      </c>
      <c r="O36" s="148"/>
    </row>
    <row r="37" spans="1:15" ht="15.75" x14ac:dyDescent="0.2">
      <c r="A37" s="12" t="s">
        <v>384</v>
      </c>
      <c r="B37" s="237">
        <v>488839.49400000001</v>
      </c>
      <c r="C37" s="312">
        <v>478115.12099999998</v>
      </c>
      <c r="D37" s="171">
        <f t="shared" si="4"/>
        <v>-2.2000000000000002</v>
      </c>
      <c r="E37" s="11">
        <f>100/'Skjema total MA'!C37*C37</f>
        <v>12.191178624795729</v>
      </c>
      <c r="F37" s="322"/>
      <c r="G37" s="324"/>
      <c r="H37" s="171"/>
      <c r="I37" s="438">
        <f>IFERROR(100/'Skjema total MA'!F37*G37,0)</f>
        <v>0</v>
      </c>
      <c r="J37" s="237">
        <f t="shared" si="11"/>
        <v>488839.49400000001</v>
      </c>
      <c r="K37" s="237">
        <f t="shared" si="12"/>
        <v>478115.12099999998</v>
      </c>
      <c r="L37" s="432">
        <f t="shared" si="7"/>
        <v>-2.2000000000000002</v>
      </c>
      <c r="M37" s="24">
        <f>IFERROR(100/'Skjema total MA'!I37*K37,0)</f>
        <v>12.191178624795729</v>
      </c>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v>731815.60100000002</v>
      </c>
      <c r="C47" s="314">
        <v>710254.12400000007</v>
      </c>
      <c r="D47" s="431">
        <f t="shared" ref="D47:D57" si="13">IF(B47=0, "    ---- ", IF(ABS(ROUND(100/B47*C47-100,1))&lt;999,ROUND(100/B47*C47-100,1),IF(ROUND(100/B47*C47-100,1)&gt;999,999,-999)))</f>
        <v>-2.9</v>
      </c>
      <c r="E47" s="11">
        <f>IFERROR(100/'Skjema total MA'!C47*C47,0)</f>
        <v>19.248739163231264</v>
      </c>
      <c r="F47" s="145"/>
      <c r="G47" s="33"/>
      <c r="H47" s="159"/>
      <c r="I47" s="159"/>
      <c r="J47" s="37"/>
      <c r="K47" s="37"/>
      <c r="L47" s="159"/>
      <c r="M47" s="159"/>
      <c r="N47" s="148"/>
      <c r="O47" s="148"/>
    </row>
    <row r="48" spans="1:15" s="3" customFormat="1" ht="15.75" x14ac:dyDescent="0.2">
      <c r="A48" s="38" t="s">
        <v>387</v>
      </c>
      <c r="B48" s="284">
        <v>448287.70899999997</v>
      </c>
      <c r="C48" s="285">
        <v>396722.141</v>
      </c>
      <c r="D48" s="257">
        <f t="shared" si="13"/>
        <v>-11.5</v>
      </c>
      <c r="E48" s="27">
        <f>IFERROR(100/'Skjema total MA'!C48*C48,0)</f>
        <v>18.987398577052321</v>
      </c>
      <c r="F48" s="145"/>
      <c r="G48" s="33"/>
      <c r="H48" s="145"/>
      <c r="I48" s="145"/>
      <c r="J48" s="33"/>
      <c r="K48" s="33"/>
      <c r="L48" s="159"/>
      <c r="M48" s="159"/>
      <c r="N48" s="148"/>
      <c r="O48" s="148"/>
    </row>
    <row r="49" spans="1:15" s="3" customFormat="1" ht="15.75" x14ac:dyDescent="0.2">
      <c r="A49" s="38" t="s">
        <v>388</v>
      </c>
      <c r="B49" s="44">
        <v>283527.89199999999</v>
      </c>
      <c r="C49" s="290">
        <v>313531.98300000001</v>
      </c>
      <c r="D49" s="257">
        <f>IF(B49=0, "    ---- ", IF(ABS(ROUND(100/B49*C49-100,1))&lt;999,ROUND(100/B49*C49-100,1),IF(ROUND(100/B49*C49-100,1)&gt;999,999,-999)))</f>
        <v>10.6</v>
      </c>
      <c r="E49" s="27">
        <f>IFERROR(100/'Skjema total MA'!C49*C49,0)</f>
        <v>19.589915215753951</v>
      </c>
      <c r="F49" s="145"/>
      <c r="G49" s="33"/>
      <c r="H49" s="145"/>
      <c r="I49" s="145"/>
      <c r="J49" s="37"/>
      <c r="K49" s="37"/>
      <c r="L49" s="159"/>
      <c r="M49" s="159"/>
      <c r="N49" s="148"/>
      <c r="O49" s="148"/>
    </row>
    <row r="50" spans="1:15" s="3" customFormat="1" x14ac:dyDescent="0.2">
      <c r="A50" s="299" t="s">
        <v>6</v>
      </c>
      <c r="B50" s="293"/>
      <c r="C50" s="294"/>
      <c r="D50" s="257"/>
      <c r="E50" s="23"/>
      <c r="F50" s="145"/>
      <c r="G50" s="33"/>
      <c r="H50" s="145"/>
      <c r="I50" s="145"/>
      <c r="J50" s="33"/>
      <c r="K50" s="33"/>
      <c r="L50" s="159"/>
      <c r="M50" s="159"/>
      <c r="N50" s="148"/>
      <c r="O50" s="148"/>
    </row>
    <row r="51" spans="1:15" s="3" customFormat="1" x14ac:dyDescent="0.2">
      <c r="A51" s="299" t="s">
        <v>7</v>
      </c>
      <c r="B51" s="293"/>
      <c r="C51" s="294"/>
      <c r="D51" s="257"/>
      <c r="E51" s="23"/>
      <c r="F51" s="145"/>
      <c r="G51" s="33"/>
      <c r="H51" s="145"/>
      <c r="I51" s="145"/>
      <c r="J51" s="33"/>
      <c r="K51" s="33"/>
      <c r="L51" s="159"/>
      <c r="M51" s="159"/>
      <c r="N51" s="148"/>
      <c r="O51" s="148"/>
    </row>
    <row r="52" spans="1:15" s="3" customFormat="1" x14ac:dyDescent="0.2">
      <c r="A52" s="299" t="s">
        <v>8</v>
      </c>
      <c r="B52" s="293"/>
      <c r="C52" s="294"/>
      <c r="D52" s="257"/>
      <c r="E52" s="23"/>
      <c r="F52" s="145"/>
      <c r="G52" s="33"/>
      <c r="H52" s="145"/>
      <c r="I52" s="145"/>
      <c r="J52" s="33"/>
      <c r="K52" s="33"/>
      <c r="L52" s="159"/>
      <c r="M52" s="159"/>
      <c r="N52" s="148"/>
      <c r="O52" s="148"/>
    </row>
    <row r="53" spans="1:15" s="3" customFormat="1" ht="15.75" x14ac:dyDescent="0.2">
      <c r="A53" s="39" t="s">
        <v>389</v>
      </c>
      <c r="B53" s="313">
        <v>6877.0959999999995</v>
      </c>
      <c r="C53" s="314">
        <v>3590.0520000000001</v>
      </c>
      <c r="D53" s="432">
        <f t="shared" si="13"/>
        <v>-47.8</v>
      </c>
      <c r="E53" s="11">
        <f>IFERROR(100/'Skjema total MA'!C53*C53,0)</f>
        <v>3.6758765118333461</v>
      </c>
      <c r="F53" s="145"/>
      <c r="G53" s="33"/>
      <c r="H53" s="145"/>
      <c r="I53" s="145"/>
      <c r="J53" s="33"/>
      <c r="K53" s="33"/>
      <c r="L53" s="159"/>
      <c r="M53" s="159"/>
      <c r="N53" s="148"/>
      <c r="O53" s="148"/>
    </row>
    <row r="54" spans="1:15" s="3" customFormat="1" ht="15.75" x14ac:dyDescent="0.2">
      <c r="A54" s="38" t="s">
        <v>387</v>
      </c>
      <c r="B54" s="284">
        <v>6877.0959999999995</v>
      </c>
      <c r="C54" s="285">
        <v>3590.0520000000001</v>
      </c>
      <c r="D54" s="257">
        <f t="shared" si="13"/>
        <v>-47.8</v>
      </c>
      <c r="E54" s="27">
        <f>IFERROR(100/'Skjema total MA'!C54*C54,0)</f>
        <v>3.6758765118333461</v>
      </c>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v>15422.191000000001</v>
      </c>
      <c r="C56" s="314">
        <v>4332.1890000000003</v>
      </c>
      <c r="D56" s="432">
        <f t="shared" si="13"/>
        <v>-71.900000000000006</v>
      </c>
      <c r="E56" s="11">
        <f>IFERROR(100/'Skjema total MA'!C56*C56,0)</f>
        <v>4.0677573552257522</v>
      </c>
      <c r="F56" s="145"/>
      <c r="G56" s="33"/>
      <c r="H56" s="145"/>
      <c r="I56" s="145"/>
      <c r="J56" s="33"/>
      <c r="K56" s="33"/>
      <c r="L56" s="159"/>
      <c r="M56" s="159"/>
      <c r="N56" s="148"/>
      <c r="O56" s="148"/>
    </row>
    <row r="57" spans="1:15" s="3" customFormat="1" ht="15.75" x14ac:dyDescent="0.2">
      <c r="A57" s="38" t="s">
        <v>387</v>
      </c>
      <c r="B57" s="284">
        <v>15422.191000000001</v>
      </c>
      <c r="C57" s="285">
        <v>4332.1890000000003</v>
      </c>
      <c r="D57" s="257">
        <f t="shared" si="13"/>
        <v>-71.900000000000006</v>
      </c>
      <c r="E57" s="27">
        <f>IFERROR(100/'Skjema total MA'!C57*C57,0)</f>
        <v>4.0678823701998139</v>
      </c>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v>3403857.7949999999</v>
      </c>
      <c r="C66" s="357">
        <v>3096347.7860000003</v>
      </c>
      <c r="D66" s="354">
        <f t="shared" ref="D66:D111" si="14">IF(B66=0, "    ---- ", IF(ABS(ROUND(100/B66*C66-100,1))&lt;999,ROUND(100/B66*C66-100,1),IF(ROUND(100/B66*C66-100,1)&gt;999,999,-999)))</f>
        <v>-9</v>
      </c>
      <c r="E66" s="11">
        <f>IFERROR(100/'Skjema total MA'!C66*C66,0)</f>
        <v>43.026640971483481</v>
      </c>
      <c r="F66" s="356">
        <v>6288328.5490000006</v>
      </c>
      <c r="G66" s="356">
        <v>6743757.25</v>
      </c>
      <c r="H66" s="354">
        <f t="shared" ref="H66:H111" si="15">IF(F66=0, "    ---- ", IF(ABS(ROUND(100/F66*G66-100,1))&lt;999,ROUND(100/F66*G66-100,1),IF(ROUND(100/F66*G66-100,1)&gt;999,999,-999)))</f>
        <v>7.2</v>
      </c>
      <c r="I66" s="11">
        <f>IFERROR(100/'Skjema total MA'!F66*G66,0)</f>
        <v>31.39155766497451</v>
      </c>
      <c r="J66" s="312">
        <f t="shared" ref="J66:K86" si="16">SUM(B66,F66)</f>
        <v>9692186.3440000005</v>
      </c>
      <c r="K66" s="319">
        <f t="shared" si="16"/>
        <v>9840105.0360000003</v>
      </c>
      <c r="L66" s="432">
        <f t="shared" ref="L66:L111" si="17">IF(J66=0, "    ---- ", IF(ABS(ROUND(100/J66*K66-100,1))&lt;999,ROUND(100/J66*K66-100,1),IF(ROUND(100/J66*K66-100,1)&gt;999,999,-999)))</f>
        <v>1.5</v>
      </c>
      <c r="M66" s="11">
        <f>IFERROR(100/'Skjema total MA'!I66*K66,0)</f>
        <v>34.311114107643967</v>
      </c>
      <c r="O66" s="148"/>
    </row>
    <row r="67" spans="1:15" x14ac:dyDescent="0.2">
      <c r="A67" s="423" t="s">
        <v>9</v>
      </c>
      <c r="B67" s="44">
        <v>2643296.3360000001</v>
      </c>
      <c r="C67" s="145">
        <v>2332449.83</v>
      </c>
      <c r="D67" s="166">
        <f t="shared" si="14"/>
        <v>-11.8</v>
      </c>
      <c r="E67" s="27">
        <f>IFERROR(100/'Skjema total MA'!C67*C67,0)</f>
        <v>40.214303203276039</v>
      </c>
      <c r="F67" s="235"/>
      <c r="G67" s="145"/>
      <c r="H67" s="166"/>
      <c r="I67" s="27"/>
      <c r="J67" s="290">
        <f t="shared" si="16"/>
        <v>2643296.3360000001</v>
      </c>
      <c r="K67" s="44">
        <f t="shared" si="16"/>
        <v>2332449.83</v>
      </c>
      <c r="L67" s="257">
        <f t="shared" si="17"/>
        <v>-11.8</v>
      </c>
      <c r="M67" s="27">
        <f>IFERROR(100/'Skjema total MA'!I67*K67,0)</f>
        <v>40.214303203276039</v>
      </c>
      <c r="O67" s="148"/>
    </row>
    <row r="68" spans="1:15" x14ac:dyDescent="0.2">
      <c r="A68" s="21" t="s">
        <v>10</v>
      </c>
      <c r="B68" s="295"/>
      <c r="C68" s="296"/>
      <c r="D68" s="166"/>
      <c r="E68" s="27"/>
      <c r="F68" s="295">
        <v>6198980.3660000004</v>
      </c>
      <c r="G68" s="296">
        <v>6608148.4129999997</v>
      </c>
      <c r="H68" s="166">
        <f t="shared" si="15"/>
        <v>6.6</v>
      </c>
      <c r="I68" s="27">
        <f>IFERROR(100/'Skjema total MA'!F68*G68,0)</f>
        <v>31.202791865061876</v>
      </c>
      <c r="J68" s="290">
        <f t="shared" si="16"/>
        <v>6198980.3660000004</v>
      </c>
      <c r="K68" s="44">
        <f t="shared" si="16"/>
        <v>6608148.4129999997</v>
      </c>
      <c r="L68" s="257">
        <f t="shared" si="17"/>
        <v>6.6</v>
      </c>
      <c r="M68" s="27">
        <f>IFERROR(100/'Skjema total MA'!I68*K68,0)</f>
        <v>31.008829710836352</v>
      </c>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v>47151.567999999999</v>
      </c>
      <c r="C75" s="145">
        <v>55615.222000000002</v>
      </c>
      <c r="D75" s="166">
        <f t="shared" si="14"/>
        <v>17.899999999999999</v>
      </c>
      <c r="E75" s="27">
        <f>IFERROR(100/'Skjema total MA'!C75*C75,0)</f>
        <v>22.884485498194689</v>
      </c>
      <c r="F75" s="235">
        <v>89348.183000000005</v>
      </c>
      <c r="G75" s="145">
        <v>135608.837</v>
      </c>
      <c r="H75" s="166">
        <f t="shared" si="15"/>
        <v>51.8</v>
      </c>
      <c r="I75" s="27">
        <f>IFERROR(100/'Skjema total MA'!F75*G75,0)</f>
        <v>44.514154415989516</v>
      </c>
      <c r="J75" s="290">
        <f t="shared" si="16"/>
        <v>136499.75099999999</v>
      </c>
      <c r="K75" s="44">
        <f t="shared" si="16"/>
        <v>191224.05900000001</v>
      </c>
      <c r="L75" s="257">
        <f t="shared" si="17"/>
        <v>40.1</v>
      </c>
      <c r="M75" s="27">
        <f>IFERROR(100/'Skjema total MA'!I75*K75,0)</f>
        <v>34.916058699459001</v>
      </c>
      <c r="N75" s="148"/>
      <c r="O75" s="148"/>
    </row>
    <row r="76" spans="1:15" s="3" customFormat="1" x14ac:dyDescent="0.2">
      <c r="A76" s="21" t="s">
        <v>360</v>
      </c>
      <c r="B76" s="235">
        <v>713409.89099999995</v>
      </c>
      <c r="C76" s="145">
        <v>708282.73400000005</v>
      </c>
      <c r="D76" s="166">
        <f t="shared" ref="D76" si="18">IF(B76=0, "    ---- ", IF(ABS(ROUND(100/B76*C76-100,1))&lt;999,ROUND(100/B76*C76-100,1),IF(ROUND(100/B76*C76-100,1)&gt;999,999,-999)))</f>
        <v>-0.7</v>
      </c>
      <c r="E76" s="27">
        <f>IFERROR(100/'Skjema total MA'!C77*C76,0)</f>
        <v>12.155857061885264</v>
      </c>
      <c r="F76" s="235"/>
      <c r="G76" s="145"/>
      <c r="H76" s="166"/>
      <c r="I76" s="27"/>
      <c r="J76" s="290">
        <f t="shared" ref="J76" si="19">SUM(B76,F76)</f>
        <v>713409.89099999995</v>
      </c>
      <c r="K76" s="44">
        <f t="shared" ref="K76" si="20">SUM(C76,G76)</f>
        <v>708282.73400000005</v>
      </c>
      <c r="L76" s="257">
        <f t="shared" ref="L76" si="21">IF(J76=0, "    ---- ", IF(ABS(ROUND(100/J76*K76-100,1))&lt;999,ROUND(100/J76*K76-100,1),IF(ROUND(100/J76*K76-100,1)&gt;999,999,-999)))</f>
        <v>-0.7</v>
      </c>
      <c r="M76" s="27">
        <f>IFERROR(100/'Skjema total MA'!I77*K76,0)</f>
        <v>2.6237496850593161</v>
      </c>
      <c r="N76" s="148"/>
      <c r="O76" s="148"/>
    </row>
    <row r="77" spans="1:15" ht="15.75" x14ac:dyDescent="0.2">
      <c r="A77" s="21" t="s">
        <v>393</v>
      </c>
      <c r="B77" s="235">
        <v>2482720.148</v>
      </c>
      <c r="C77" s="235">
        <v>2262734.3790000002</v>
      </c>
      <c r="D77" s="166">
        <f t="shared" si="14"/>
        <v>-8.9</v>
      </c>
      <c r="E77" s="27">
        <f>IFERROR(100/'Skjema total MA'!C77*C77,0)</f>
        <v>38.834033867805282</v>
      </c>
      <c r="F77" s="235">
        <v>6198980.3660000004</v>
      </c>
      <c r="G77" s="145">
        <v>6608148.4129999997</v>
      </c>
      <c r="H77" s="166">
        <f t="shared" si="15"/>
        <v>6.6</v>
      </c>
      <c r="I77" s="27">
        <f>IFERROR(100/'Skjema total MA'!F77*G77,0)</f>
        <v>31.217073826418449</v>
      </c>
      <c r="J77" s="290">
        <f t="shared" si="16"/>
        <v>8681700.5140000004</v>
      </c>
      <c r="K77" s="44">
        <f t="shared" si="16"/>
        <v>8870882.7919999994</v>
      </c>
      <c r="L77" s="257">
        <f t="shared" si="17"/>
        <v>2.2000000000000002</v>
      </c>
      <c r="M77" s="27">
        <f>IFERROR(100/'Skjema total MA'!I77*K77,0)</f>
        <v>32.861136964702716</v>
      </c>
      <c r="O77" s="148"/>
    </row>
    <row r="78" spans="1:15" x14ac:dyDescent="0.2">
      <c r="A78" s="21" t="s">
        <v>9</v>
      </c>
      <c r="B78" s="235">
        <v>2482720.148</v>
      </c>
      <c r="C78" s="145">
        <v>2262734.3790000002</v>
      </c>
      <c r="D78" s="166">
        <f t="shared" si="14"/>
        <v>-8.9</v>
      </c>
      <c r="E78" s="27">
        <f>IFERROR(100/'Skjema total MA'!C78*C78,0)</f>
        <v>39.715646293598297</v>
      </c>
      <c r="F78" s="235"/>
      <c r="G78" s="145"/>
      <c r="H78" s="166"/>
      <c r="I78" s="27"/>
      <c r="J78" s="290">
        <f t="shared" si="16"/>
        <v>2482720.148</v>
      </c>
      <c r="K78" s="44">
        <f t="shared" si="16"/>
        <v>2262734.3790000002</v>
      </c>
      <c r="L78" s="257">
        <f t="shared" si="17"/>
        <v>-8.9</v>
      </c>
      <c r="M78" s="27">
        <f>IFERROR(100/'Skjema total MA'!I78*K78,0)</f>
        <v>39.715646293598297</v>
      </c>
      <c r="O78" s="148"/>
    </row>
    <row r="79" spans="1:15" x14ac:dyDescent="0.2">
      <c r="A79" s="21" t="s">
        <v>10</v>
      </c>
      <c r="B79" s="295"/>
      <c r="C79" s="296"/>
      <c r="D79" s="166"/>
      <c r="E79" s="27"/>
      <c r="F79" s="295">
        <v>6198980.3660000004</v>
      </c>
      <c r="G79" s="296">
        <v>6608148.4129999997</v>
      </c>
      <c r="H79" s="166">
        <f t="shared" si="15"/>
        <v>6.6</v>
      </c>
      <c r="I79" s="27">
        <f>IFERROR(100/'Skjema total MA'!F79*G79,0)</f>
        <v>31.217073826418449</v>
      </c>
      <c r="J79" s="290">
        <f t="shared" si="16"/>
        <v>6198980.3660000004</v>
      </c>
      <c r="K79" s="44">
        <f t="shared" si="16"/>
        <v>6608148.4129999997</v>
      </c>
      <c r="L79" s="257">
        <f t="shared" si="17"/>
        <v>6.6</v>
      </c>
      <c r="M79" s="27">
        <f>IFERROR(100/'Skjema total MA'!I79*K79,0)</f>
        <v>31.027492212002894</v>
      </c>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v>160576.18799999999</v>
      </c>
      <c r="C86" s="145">
        <v>69715.451000000001</v>
      </c>
      <c r="D86" s="166">
        <f t="shared" si="14"/>
        <v>-56.6</v>
      </c>
      <c r="E86" s="27">
        <f>IFERROR(100/'Skjema total MA'!C86*C86,0)</f>
        <v>65.867615726120079</v>
      </c>
      <c r="F86" s="235"/>
      <c r="G86" s="145"/>
      <c r="H86" s="166"/>
      <c r="I86" s="27"/>
      <c r="J86" s="290">
        <f t="shared" si="16"/>
        <v>160576.18799999999</v>
      </c>
      <c r="K86" s="44">
        <f t="shared" si="16"/>
        <v>69715.451000000001</v>
      </c>
      <c r="L86" s="257">
        <f t="shared" si="17"/>
        <v>-56.6</v>
      </c>
      <c r="M86" s="27">
        <f>IFERROR(100/'Skjema total MA'!I86*K86,0)</f>
        <v>60.343586447961272</v>
      </c>
      <c r="O86" s="148"/>
    </row>
    <row r="87" spans="1:15" ht="15.75" x14ac:dyDescent="0.2">
      <c r="A87" s="13" t="s">
        <v>376</v>
      </c>
      <c r="B87" s="357">
        <v>161083845.338</v>
      </c>
      <c r="C87" s="357">
        <v>163366272.35999998</v>
      </c>
      <c r="D87" s="171">
        <f t="shared" si="14"/>
        <v>1.4</v>
      </c>
      <c r="E87" s="11">
        <f>IFERROR(100/'Skjema total MA'!C87*C87,0)</f>
        <v>42.350028231956898</v>
      </c>
      <c r="F87" s="356">
        <v>65516276.423</v>
      </c>
      <c r="G87" s="356">
        <v>86831996.410999998</v>
      </c>
      <c r="H87" s="171">
        <f t="shared" si="15"/>
        <v>32.5</v>
      </c>
      <c r="I87" s="11">
        <f>IFERROR(100/'Skjema total MA'!F87*G87,0)</f>
        <v>33.449979415085281</v>
      </c>
      <c r="J87" s="312">
        <f t="shared" ref="J87:K111" si="22">SUM(B87,F87)</f>
        <v>226600121.76100001</v>
      </c>
      <c r="K87" s="237">
        <f t="shared" si="22"/>
        <v>250198268.77099997</v>
      </c>
      <c r="L87" s="432">
        <f t="shared" si="17"/>
        <v>10.4</v>
      </c>
      <c r="M87" s="11">
        <f>IFERROR(100/'Skjema total MA'!I87*K87,0)</f>
        <v>38.76998966563108</v>
      </c>
      <c r="O87" s="148"/>
    </row>
    <row r="88" spans="1:15" x14ac:dyDescent="0.2">
      <c r="A88" s="21" t="s">
        <v>9</v>
      </c>
      <c r="B88" s="235">
        <v>157410064.25652</v>
      </c>
      <c r="C88" s="145">
        <v>158962569.58899999</v>
      </c>
      <c r="D88" s="166">
        <f t="shared" si="14"/>
        <v>1</v>
      </c>
      <c r="E88" s="27">
        <f>IFERROR(100/'Skjema total MA'!C88*C88,0)</f>
        <v>42.162792846267919</v>
      </c>
      <c r="F88" s="235"/>
      <c r="G88" s="145"/>
      <c r="H88" s="166"/>
      <c r="I88" s="27"/>
      <c r="J88" s="290">
        <f t="shared" si="22"/>
        <v>157410064.25652</v>
      </c>
      <c r="K88" s="44">
        <f t="shared" si="22"/>
        <v>158962569.58899999</v>
      </c>
      <c r="L88" s="257">
        <f t="shared" si="17"/>
        <v>1</v>
      </c>
      <c r="M88" s="27">
        <f>IFERROR(100/'Skjema total MA'!I88*K88,0)</f>
        <v>42.162792846267919</v>
      </c>
      <c r="O88" s="148"/>
    </row>
    <row r="89" spans="1:15" x14ac:dyDescent="0.2">
      <c r="A89" s="21" t="s">
        <v>10</v>
      </c>
      <c r="B89" s="235">
        <v>56404.258479999997</v>
      </c>
      <c r="C89" s="145">
        <v>80264.822</v>
      </c>
      <c r="D89" s="166">
        <f t="shared" si="14"/>
        <v>42.3</v>
      </c>
      <c r="E89" s="27">
        <f>IFERROR(100/'Skjema total MA'!C89*C89,0)</f>
        <v>3.0438770769474024</v>
      </c>
      <c r="F89" s="235">
        <v>65321293.166000001</v>
      </c>
      <c r="G89" s="145">
        <v>86433400.950000003</v>
      </c>
      <c r="H89" s="166">
        <f t="shared" si="15"/>
        <v>32.299999999999997</v>
      </c>
      <c r="I89" s="27">
        <f>IFERROR(100/'Skjema total MA'!F89*G89,0)</f>
        <v>33.429257437725411</v>
      </c>
      <c r="J89" s="290">
        <f t="shared" si="22"/>
        <v>65377697.424479999</v>
      </c>
      <c r="K89" s="44">
        <f t="shared" si="22"/>
        <v>86513665.772</v>
      </c>
      <c r="L89" s="257">
        <f t="shared" si="17"/>
        <v>32.299999999999997</v>
      </c>
      <c r="M89" s="27">
        <f>IFERROR(100/'Skjema total MA'!I89*K89,0)</f>
        <v>33.122495726063967</v>
      </c>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v>47853.470999999998</v>
      </c>
      <c r="C96" s="145">
        <v>164238.73000000001</v>
      </c>
      <c r="D96" s="166">
        <f t="shared" si="14"/>
        <v>243.2</v>
      </c>
      <c r="E96" s="27">
        <f>IFERROR(100/'Skjema total MA'!C96*C96,0)</f>
        <v>21.704410853256363</v>
      </c>
      <c r="F96" s="235">
        <v>194983.25700000001</v>
      </c>
      <c r="G96" s="145">
        <v>398595.46100000001</v>
      </c>
      <c r="H96" s="166">
        <f t="shared" si="15"/>
        <v>104.4</v>
      </c>
      <c r="I96" s="27">
        <f>IFERROR(100/'Skjema total MA'!F96*G96,0)</f>
        <v>38.644443884360136</v>
      </c>
      <c r="J96" s="290">
        <f t="shared" si="22"/>
        <v>242836.728</v>
      </c>
      <c r="K96" s="44">
        <f t="shared" si="22"/>
        <v>562834.19099999999</v>
      </c>
      <c r="L96" s="257">
        <f t="shared" si="17"/>
        <v>131.80000000000001</v>
      </c>
      <c r="M96" s="27">
        <f>IFERROR(100/'Skjema total MA'!I96*K96,0)</f>
        <v>31.475784839189885</v>
      </c>
      <c r="O96" s="148"/>
    </row>
    <row r="97" spans="1:15" x14ac:dyDescent="0.2">
      <c r="A97" s="21" t="s">
        <v>358</v>
      </c>
      <c r="B97" s="235">
        <v>3569523.352</v>
      </c>
      <c r="C97" s="145">
        <v>4159199.219</v>
      </c>
      <c r="D97" s="166">
        <f t="shared" ref="D97" si="23">IF(B97=0, "    ---- ", IF(ABS(ROUND(100/B97*C97-100,1))&lt;999,ROUND(100/B97*C97-100,1),IF(ROUND(100/B97*C97-100,1)&gt;999,999,-999)))</f>
        <v>16.5</v>
      </c>
      <c r="E97" s="27">
        <f>IFERROR(100/'Skjema total MA'!C98*C97,0)</f>
        <v>1.1097104379403104</v>
      </c>
      <c r="F97" s="235"/>
      <c r="G97" s="145"/>
      <c r="H97" s="166"/>
      <c r="I97" s="27"/>
      <c r="J97" s="290">
        <f t="shared" ref="J97" si="24">SUM(B97,F97)</f>
        <v>3569523.352</v>
      </c>
      <c r="K97" s="44">
        <f t="shared" ref="K97" si="25">SUM(C97,G97)</f>
        <v>4159199.219</v>
      </c>
      <c r="L97" s="257">
        <f t="shared" ref="L97" si="26">IF(J97=0, "    ---- ", IF(ABS(ROUND(100/J97*K97-100,1))&lt;999,ROUND(100/J97*K97-100,1),IF(ROUND(100/J97*K97-100,1)&gt;999,999,-999)))</f>
        <v>16.5</v>
      </c>
      <c r="M97" s="27">
        <f>IFERROR(100/'Skjema total MA'!I98*K97,0)</f>
        <v>0.65742073919693222</v>
      </c>
      <c r="O97" s="148"/>
    </row>
    <row r="98" spans="1:15" ht="15.75" x14ac:dyDescent="0.2">
      <c r="A98" s="21" t="s">
        <v>393</v>
      </c>
      <c r="B98" s="235">
        <v>153998107.36700001</v>
      </c>
      <c r="C98" s="235">
        <v>155593238.94099998</v>
      </c>
      <c r="D98" s="166">
        <f t="shared" si="14"/>
        <v>1</v>
      </c>
      <c r="E98" s="27">
        <f>IFERROR(100/'Skjema total MA'!C98*C98,0)</f>
        <v>41.513626117501069</v>
      </c>
      <c r="F98" s="295">
        <v>65321293.166000001</v>
      </c>
      <c r="G98" s="295">
        <v>86433400.950000003</v>
      </c>
      <c r="H98" s="166">
        <f t="shared" si="15"/>
        <v>32.299999999999997</v>
      </c>
      <c r="I98" s="27">
        <f>IFERROR(100/'Skjema total MA'!F98*G98,0)</f>
        <v>33.520327555940831</v>
      </c>
      <c r="J98" s="290">
        <f t="shared" si="22"/>
        <v>219319400.53300002</v>
      </c>
      <c r="K98" s="44">
        <f t="shared" si="22"/>
        <v>242026639.89099997</v>
      </c>
      <c r="L98" s="257">
        <f t="shared" si="17"/>
        <v>10.4</v>
      </c>
      <c r="M98" s="27">
        <f>IFERROR(100/'Skjema total MA'!I98*K98,0)</f>
        <v>38.255761295499255</v>
      </c>
      <c r="O98" s="148"/>
    </row>
    <row r="99" spans="1:15" x14ac:dyDescent="0.2">
      <c r="A99" s="21" t="s">
        <v>9</v>
      </c>
      <c r="B99" s="295">
        <v>153941703.10852</v>
      </c>
      <c r="C99" s="296">
        <v>155512974.11899999</v>
      </c>
      <c r="D99" s="166">
        <f t="shared" si="14"/>
        <v>1</v>
      </c>
      <c r="E99" s="27">
        <f>IFERROR(100/'Skjema total MA'!C99*C99,0)</f>
        <v>41.786199684922593</v>
      </c>
      <c r="F99" s="235"/>
      <c r="G99" s="145"/>
      <c r="H99" s="166"/>
      <c r="I99" s="27"/>
      <c r="J99" s="290">
        <f t="shared" si="22"/>
        <v>153941703.10852</v>
      </c>
      <c r="K99" s="44">
        <f t="shared" si="22"/>
        <v>155512974.11899999</v>
      </c>
      <c r="L99" s="257">
        <f t="shared" si="17"/>
        <v>1</v>
      </c>
      <c r="M99" s="27">
        <f>IFERROR(100/'Skjema total MA'!I99*K99,0)</f>
        <v>41.786199684922593</v>
      </c>
      <c r="O99" s="148"/>
    </row>
    <row r="100" spans="1:15" x14ac:dyDescent="0.2">
      <c r="A100" s="21" t="s">
        <v>10</v>
      </c>
      <c r="B100" s="295">
        <v>56404.258479999997</v>
      </c>
      <c r="C100" s="296">
        <v>80264.822</v>
      </c>
      <c r="D100" s="166">
        <f t="shared" si="14"/>
        <v>42.3</v>
      </c>
      <c r="E100" s="27">
        <f>IFERROR(100/'Skjema total MA'!C100*C100,0)</f>
        <v>3.0438770769474024</v>
      </c>
      <c r="F100" s="235">
        <v>65321293.166000001</v>
      </c>
      <c r="G100" s="235">
        <v>86433400.950000003</v>
      </c>
      <c r="H100" s="166">
        <f t="shared" si="15"/>
        <v>32.299999999999997</v>
      </c>
      <c r="I100" s="27">
        <f>IFERROR(100/'Skjema total MA'!F100*G100,0)</f>
        <v>33.520327555940831</v>
      </c>
      <c r="J100" s="290">
        <f t="shared" si="22"/>
        <v>65377697.424479999</v>
      </c>
      <c r="K100" s="44">
        <f t="shared" si="22"/>
        <v>86513665.772</v>
      </c>
      <c r="L100" s="257">
        <f t="shared" si="17"/>
        <v>32.299999999999997</v>
      </c>
      <c r="M100" s="27">
        <f>IFERROR(100/'Skjema total MA'!I100*K100,0)</f>
        <v>33.211816708107158</v>
      </c>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v>3468361.148</v>
      </c>
      <c r="C107" s="145">
        <v>3449595.47</v>
      </c>
      <c r="D107" s="166">
        <f t="shared" si="14"/>
        <v>-0.5</v>
      </c>
      <c r="E107" s="27">
        <f>IFERROR(100/'Skjema total MA'!C107*C107,0)</f>
        <v>71.016007869339944</v>
      </c>
      <c r="F107" s="235"/>
      <c r="G107" s="145"/>
      <c r="H107" s="166"/>
      <c r="I107" s="27"/>
      <c r="J107" s="290">
        <f t="shared" si="22"/>
        <v>3468361.148</v>
      </c>
      <c r="K107" s="44">
        <f t="shared" si="22"/>
        <v>3449595.47</v>
      </c>
      <c r="L107" s="257">
        <f t="shared" si="17"/>
        <v>-0.5</v>
      </c>
      <c r="M107" s="27">
        <f>IFERROR(100/'Skjema total MA'!I107*K107,0)</f>
        <v>62.043620617230793</v>
      </c>
      <c r="O107" s="148"/>
    </row>
    <row r="108" spans="1:15" ht="15.75" x14ac:dyDescent="0.2">
      <c r="A108" s="21" t="s">
        <v>395</v>
      </c>
      <c r="B108" s="235">
        <v>126439201.397</v>
      </c>
      <c r="C108" s="235">
        <v>130956282.7</v>
      </c>
      <c r="D108" s="166">
        <f t="shared" si="14"/>
        <v>3.6</v>
      </c>
      <c r="E108" s="27">
        <f>IFERROR(100/'Skjema total MA'!C108*C108,0)</f>
        <v>42.403313403511014</v>
      </c>
      <c r="F108" s="235">
        <v>6395342.0559999999</v>
      </c>
      <c r="G108" s="235">
        <v>15622645.932</v>
      </c>
      <c r="H108" s="166">
        <f t="shared" si="15"/>
        <v>144.30000000000001</v>
      </c>
      <c r="I108" s="27">
        <f>IFERROR(100/'Skjema total MA'!F108*G108,0)</f>
        <v>96.520771835690553</v>
      </c>
      <c r="J108" s="290">
        <f t="shared" si="22"/>
        <v>132834543.45299999</v>
      </c>
      <c r="K108" s="44">
        <f t="shared" si="22"/>
        <v>146578928.632</v>
      </c>
      <c r="L108" s="257">
        <f t="shared" si="17"/>
        <v>10.3</v>
      </c>
      <c r="M108" s="27">
        <f>IFERROR(100/'Skjema total MA'!I108*K108,0)</f>
        <v>45.098321217885506</v>
      </c>
      <c r="O108" s="148"/>
    </row>
    <row r="109" spans="1:15" ht="15.75" x14ac:dyDescent="0.2">
      <c r="A109" s="21" t="s">
        <v>396</v>
      </c>
      <c r="B109" s="235"/>
      <c r="C109" s="235"/>
      <c r="D109" s="166"/>
      <c r="E109" s="27"/>
      <c r="F109" s="235">
        <v>20312692.802000001</v>
      </c>
      <c r="G109" s="235">
        <v>24982897.203000002</v>
      </c>
      <c r="H109" s="166">
        <f t="shared" si="15"/>
        <v>23</v>
      </c>
      <c r="I109" s="27">
        <f>IFERROR(100/'Skjema total MA'!F109*G109,0)</f>
        <v>30.373226747437077</v>
      </c>
      <c r="J109" s="290">
        <f t="shared" si="22"/>
        <v>20312692.802000001</v>
      </c>
      <c r="K109" s="44">
        <f t="shared" si="22"/>
        <v>24982897.203000002</v>
      </c>
      <c r="L109" s="257">
        <f t="shared" si="17"/>
        <v>23</v>
      </c>
      <c r="M109" s="27">
        <f>IFERROR(100/'Skjema total MA'!I109*K109,0)</f>
        <v>30.037133486324556</v>
      </c>
      <c r="O109" s="148"/>
    </row>
    <row r="110" spans="1:15" ht="15.75" x14ac:dyDescent="0.2">
      <c r="A110" s="21" t="s">
        <v>397</v>
      </c>
      <c r="B110" s="235">
        <v>0</v>
      </c>
      <c r="C110" s="235">
        <v>33916.114999999998</v>
      </c>
      <c r="D110" s="166" t="str">
        <f t="shared" si="14"/>
        <v xml:space="preserve">    ---- </v>
      </c>
      <c r="E110" s="27">
        <f>IFERROR(100/'Skjema total MA'!C110*C110,0)</f>
        <v>32.234218416945872</v>
      </c>
      <c r="F110" s="235"/>
      <c r="G110" s="235"/>
      <c r="H110" s="166"/>
      <c r="I110" s="27"/>
      <c r="J110" s="290">
        <f t="shared" si="22"/>
        <v>0</v>
      </c>
      <c r="K110" s="44">
        <f t="shared" si="22"/>
        <v>33916.114999999998</v>
      </c>
      <c r="L110" s="257" t="str">
        <f t="shared" si="17"/>
        <v xml:space="preserve">    ---- </v>
      </c>
      <c r="M110" s="27">
        <f>IFERROR(100/'Skjema total MA'!I110*K110,0)</f>
        <v>32.234218416945872</v>
      </c>
      <c r="O110" s="148"/>
    </row>
    <row r="111" spans="1:15" ht="15.75" x14ac:dyDescent="0.2">
      <c r="A111" s="13" t="s">
        <v>377</v>
      </c>
      <c r="B111" s="311">
        <v>15211.541999999999</v>
      </c>
      <c r="C111" s="159">
        <v>65861.044999999998</v>
      </c>
      <c r="D111" s="171">
        <f t="shared" si="14"/>
        <v>333</v>
      </c>
      <c r="E111" s="11">
        <f>IFERROR(100/'Skjema total MA'!C111*C111,0)</f>
        <v>18.428986965125734</v>
      </c>
      <c r="F111" s="311">
        <v>453025.51699999999</v>
      </c>
      <c r="G111" s="159">
        <v>1695339.703</v>
      </c>
      <c r="H111" s="171">
        <f t="shared" si="15"/>
        <v>274.2</v>
      </c>
      <c r="I111" s="11">
        <f>IFERROR(100/'Skjema total MA'!F111*G111,0)</f>
        <v>15.677738607210008</v>
      </c>
      <c r="J111" s="312">
        <f t="shared" si="22"/>
        <v>468237.05900000001</v>
      </c>
      <c r="K111" s="237">
        <f t="shared" si="22"/>
        <v>1761200.7479999999</v>
      </c>
      <c r="L111" s="432">
        <f t="shared" si="17"/>
        <v>276.10000000000002</v>
      </c>
      <c r="M111" s="11">
        <f>IFERROR(100/'Skjema total MA'!I111*K111,0)</f>
        <v>15.765754856752675</v>
      </c>
      <c r="O111" s="148"/>
    </row>
    <row r="112" spans="1:15" x14ac:dyDescent="0.2">
      <c r="A112" s="21" t="s">
        <v>9</v>
      </c>
      <c r="B112" s="235">
        <v>15211.541999999999</v>
      </c>
      <c r="C112" s="145">
        <v>27196.940999999999</v>
      </c>
      <c r="D112" s="166">
        <f t="shared" ref="D112:D125" si="27">IF(B112=0, "    ---- ", IF(ABS(ROUND(100/B112*C112-100,1))&lt;999,ROUND(100/B112*C112-100,1),IF(ROUND(100/B112*C112-100,1)&gt;999,999,-999)))</f>
        <v>78.8</v>
      </c>
      <c r="E112" s="27">
        <f>IFERROR(100/'Skjema total MA'!C112*C112,0)</f>
        <v>8.8657088918877953</v>
      </c>
      <c r="F112" s="235">
        <v>0</v>
      </c>
      <c r="G112" s="145">
        <v>1442.1869999999999</v>
      </c>
      <c r="H112" s="166" t="str">
        <f t="shared" ref="H112:H125" si="28">IF(F112=0, "    ---- ", IF(ABS(ROUND(100/F112*G112-100,1))&lt;999,ROUND(100/F112*G112-100,1),IF(ROUND(100/F112*G112-100,1)&gt;999,999,-999)))</f>
        <v xml:space="preserve">    ---- </v>
      </c>
      <c r="I112" s="27">
        <f>IFERROR(100/'Skjema total MA'!F112*G112,0)</f>
        <v>100</v>
      </c>
      <c r="J112" s="290">
        <f t="shared" ref="J112:K125" si="29">SUM(B112,F112)</f>
        <v>15211.541999999999</v>
      </c>
      <c r="K112" s="44">
        <f t="shared" si="29"/>
        <v>28639.127999999997</v>
      </c>
      <c r="L112" s="257">
        <f t="shared" ref="L112:L125" si="30">IF(J112=0, "    ---- ", IF(ABS(ROUND(100/J112*K112-100,1))&lt;999,ROUND(100/J112*K112-100,1),IF(ROUND(100/J112*K112-100,1)&gt;999,999,-999)))</f>
        <v>88.3</v>
      </c>
      <c r="M112" s="27">
        <f>IFERROR(100/'Skjema total MA'!I112*K112,0)</f>
        <v>9.2921507763627424</v>
      </c>
      <c r="O112" s="148"/>
    </row>
    <row r="113" spans="1:15" x14ac:dyDescent="0.2">
      <c r="A113" s="21" t="s">
        <v>10</v>
      </c>
      <c r="B113" s="235"/>
      <c r="C113" s="145"/>
      <c r="D113" s="166"/>
      <c r="E113" s="27"/>
      <c r="F113" s="235">
        <v>453025.51699999999</v>
      </c>
      <c r="G113" s="145">
        <v>1654683.081</v>
      </c>
      <c r="H113" s="166">
        <f t="shared" si="28"/>
        <v>265.3</v>
      </c>
      <c r="I113" s="27">
        <f>IFERROR(100/'Skjema total MA'!F113*G113,0)</f>
        <v>15.359512258574066</v>
      </c>
      <c r="J113" s="290">
        <f t="shared" si="29"/>
        <v>453025.51699999999</v>
      </c>
      <c r="K113" s="44">
        <f t="shared" si="29"/>
        <v>1654683.081</v>
      </c>
      <c r="L113" s="257">
        <f t="shared" si="30"/>
        <v>265.3</v>
      </c>
      <c r="M113" s="27">
        <f>IFERROR(100/'Skjema total MA'!I113*K113,0)</f>
        <v>15.356610477030442</v>
      </c>
      <c r="O113" s="148"/>
    </row>
    <row r="114" spans="1:15" x14ac:dyDescent="0.2">
      <c r="A114" s="21" t="s">
        <v>26</v>
      </c>
      <c r="B114" s="235">
        <v>0</v>
      </c>
      <c r="C114" s="145">
        <v>38664.103999999999</v>
      </c>
      <c r="D114" s="166" t="str">
        <f t="shared" si="27"/>
        <v xml:space="preserve">    ---- </v>
      </c>
      <c r="E114" s="27">
        <f>IFERROR(100/'Skjema total MA'!C114*C114,0)</f>
        <v>79.59468887718235</v>
      </c>
      <c r="F114" s="235">
        <v>0</v>
      </c>
      <c r="G114" s="145">
        <v>39214.434999999998</v>
      </c>
      <c r="H114" s="166" t="str">
        <f t="shared" si="28"/>
        <v xml:space="preserve">    ---- </v>
      </c>
      <c r="I114" s="27">
        <f>IFERROR(100/'Skjema total MA'!F114*G114,0)</f>
        <v>100.00000000000001</v>
      </c>
      <c r="J114" s="290">
        <f t="shared" si="29"/>
        <v>0</v>
      </c>
      <c r="K114" s="44">
        <f t="shared" si="29"/>
        <v>77878.53899999999</v>
      </c>
      <c r="L114" s="257" t="str">
        <f t="shared" si="30"/>
        <v xml:space="preserve">    ---- </v>
      </c>
      <c r="M114" s="27">
        <f>IFERROR(100/'Skjema total MA'!I114*K114,0)</f>
        <v>88.709356034446643</v>
      </c>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v>9329.2610000000004</v>
      </c>
      <c r="C116" s="235">
        <v>16505.925999999999</v>
      </c>
      <c r="D116" s="166">
        <f t="shared" si="27"/>
        <v>76.900000000000006</v>
      </c>
      <c r="E116" s="27">
        <f>IFERROR(100/'Skjema total MA'!C116*C116,0)</f>
        <v>10.777376398946137</v>
      </c>
      <c r="F116" s="235">
        <v>0</v>
      </c>
      <c r="G116" s="235">
        <v>1442.1869999999999</v>
      </c>
      <c r="H116" s="166" t="str">
        <f t="shared" si="28"/>
        <v xml:space="preserve">    ---- </v>
      </c>
      <c r="I116" s="27">
        <f>IFERROR(100/'Skjema total MA'!F116*G116,0)</f>
        <v>65.299021230296802</v>
      </c>
      <c r="J116" s="290">
        <f t="shared" si="29"/>
        <v>9329.2610000000004</v>
      </c>
      <c r="K116" s="44">
        <f t="shared" si="29"/>
        <v>17948.112999999998</v>
      </c>
      <c r="L116" s="257">
        <f t="shared" si="30"/>
        <v>92.4</v>
      </c>
      <c r="M116" s="27">
        <f>IFERROR(100/'Skjema total MA'!I116*K116,0)</f>
        <v>11.552442752389835</v>
      </c>
      <c r="O116" s="148"/>
    </row>
    <row r="117" spans="1:15" ht="15.75" x14ac:dyDescent="0.2">
      <c r="A117" s="21" t="s">
        <v>399</v>
      </c>
      <c r="B117" s="235"/>
      <c r="C117" s="235"/>
      <c r="D117" s="166"/>
      <c r="E117" s="27"/>
      <c r="F117" s="235">
        <v>283070.69099999999</v>
      </c>
      <c r="G117" s="235">
        <v>477149.07199999999</v>
      </c>
      <c r="H117" s="166">
        <f t="shared" si="28"/>
        <v>68.599999999999994</v>
      </c>
      <c r="I117" s="27">
        <f>IFERROR(100/'Skjema total MA'!F117*G117,0)</f>
        <v>28.996230485415964</v>
      </c>
      <c r="J117" s="290">
        <f t="shared" si="29"/>
        <v>283070.69099999999</v>
      </c>
      <c r="K117" s="44">
        <f t="shared" si="29"/>
        <v>477149.07199999999</v>
      </c>
      <c r="L117" s="257">
        <f t="shared" si="30"/>
        <v>68.599999999999994</v>
      </c>
      <c r="M117" s="27">
        <f>IFERROR(100/'Skjema total MA'!I117*K117,0)</f>
        <v>28.996230485415964</v>
      </c>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v>130160.15399999999</v>
      </c>
      <c r="C119" s="159">
        <v>398350.90499999997</v>
      </c>
      <c r="D119" s="171">
        <f t="shared" si="27"/>
        <v>206</v>
      </c>
      <c r="E119" s="11">
        <f>IFERROR(100/'Skjema total MA'!C119*C119,0)</f>
        <v>50.163948212263996</v>
      </c>
      <c r="F119" s="311">
        <v>2899771.6719999998</v>
      </c>
      <c r="G119" s="159">
        <v>2188783.5729999999</v>
      </c>
      <c r="H119" s="171">
        <f t="shared" si="28"/>
        <v>-24.5</v>
      </c>
      <c r="I119" s="11">
        <f>IFERROR(100/'Skjema total MA'!F119*G119,0)</f>
        <v>20.092363601507284</v>
      </c>
      <c r="J119" s="312">
        <f t="shared" si="29"/>
        <v>3029931.8259999999</v>
      </c>
      <c r="K119" s="237">
        <f t="shared" si="29"/>
        <v>2587134.4779999997</v>
      </c>
      <c r="L119" s="432">
        <f t="shared" si="30"/>
        <v>-14.6</v>
      </c>
      <c r="M119" s="11">
        <f>IFERROR(100/'Skjema total MA'!I119*K119,0)</f>
        <v>22.135517532809562</v>
      </c>
      <c r="O119" s="148"/>
    </row>
    <row r="120" spans="1:15" x14ac:dyDescent="0.2">
      <c r="A120" s="21" t="s">
        <v>9</v>
      </c>
      <c r="B120" s="235">
        <v>130160.15399999999</v>
      </c>
      <c r="C120" s="145">
        <v>12783.888000000001</v>
      </c>
      <c r="D120" s="166">
        <f t="shared" si="27"/>
        <v>-90.2</v>
      </c>
      <c r="E120" s="27">
        <f>IFERROR(100/'Skjema total MA'!C120*C120,0)</f>
        <v>3.3856831687119127</v>
      </c>
      <c r="F120" s="235"/>
      <c r="G120" s="145"/>
      <c r="H120" s="166"/>
      <c r="I120" s="27"/>
      <c r="J120" s="290">
        <f t="shared" si="29"/>
        <v>130160.15399999999</v>
      </c>
      <c r="K120" s="44">
        <f t="shared" si="29"/>
        <v>12783.888000000001</v>
      </c>
      <c r="L120" s="257">
        <f t="shared" si="30"/>
        <v>-90.2</v>
      </c>
      <c r="M120" s="27">
        <f>IFERROR(100/'Skjema total MA'!I120*K120,0)</f>
        <v>3.3856831687119127</v>
      </c>
      <c r="O120" s="148"/>
    </row>
    <row r="121" spans="1:15" x14ac:dyDescent="0.2">
      <c r="A121" s="21" t="s">
        <v>10</v>
      </c>
      <c r="B121" s="235"/>
      <c r="C121" s="145"/>
      <c r="D121" s="166"/>
      <c r="E121" s="27"/>
      <c r="F121" s="235">
        <v>2899771.6719999998</v>
      </c>
      <c r="G121" s="145">
        <v>2188783.5729999999</v>
      </c>
      <c r="H121" s="166">
        <f t="shared" si="28"/>
        <v>-24.5</v>
      </c>
      <c r="I121" s="27">
        <f>IFERROR(100/'Skjema total MA'!F121*G121,0)</f>
        <v>20.092363601507284</v>
      </c>
      <c r="J121" s="290">
        <f t="shared" si="29"/>
        <v>2899771.6719999998</v>
      </c>
      <c r="K121" s="44">
        <f t="shared" si="29"/>
        <v>2188783.5729999999</v>
      </c>
      <c r="L121" s="257">
        <f t="shared" si="30"/>
        <v>-24.5</v>
      </c>
      <c r="M121" s="27">
        <f>IFERROR(100/'Skjema total MA'!I121*K121,0)</f>
        <v>20.04227348274593</v>
      </c>
      <c r="O121" s="148"/>
    </row>
    <row r="122" spans="1:15" x14ac:dyDescent="0.2">
      <c r="A122" s="21" t="s">
        <v>26</v>
      </c>
      <c r="B122" s="235">
        <v>0</v>
      </c>
      <c r="C122" s="145">
        <v>385567.01699999999</v>
      </c>
      <c r="D122" s="166" t="str">
        <f t="shared" si="27"/>
        <v xml:space="preserve">    ---- </v>
      </c>
      <c r="E122" s="27">
        <f>IFERROR(100/'Skjema total MA'!C122*C122,0)</f>
        <v>99.044724663381814</v>
      </c>
      <c r="F122" s="235"/>
      <c r="G122" s="145"/>
      <c r="H122" s="166"/>
      <c r="I122" s="27"/>
      <c r="J122" s="290">
        <f t="shared" si="29"/>
        <v>0</v>
      </c>
      <c r="K122" s="44">
        <f t="shared" si="29"/>
        <v>385567.01699999999</v>
      </c>
      <c r="L122" s="257" t="str">
        <f t="shared" si="30"/>
        <v xml:space="preserve">    ---- </v>
      </c>
      <c r="M122" s="27">
        <f>IFERROR(100/'Skjema total MA'!I122*K122,0)</f>
        <v>99.044724663381814</v>
      </c>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v>4128.9449999999997</v>
      </c>
      <c r="C124" s="235">
        <v>7457.3320000000003</v>
      </c>
      <c r="D124" s="166">
        <f t="shared" si="27"/>
        <v>80.599999999999994</v>
      </c>
      <c r="E124" s="27">
        <f>IFERROR(100/'Skjema total MA'!C124*C124,0)</f>
        <v>6.735652867150443</v>
      </c>
      <c r="F124" s="235">
        <v>12070.852000000001</v>
      </c>
      <c r="G124" s="235">
        <v>25815.274000000001</v>
      </c>
      <c r="H124" s="166">
        <f t="shared" si="28"/>
        <v>113.9</v>
      </c>
      <c r="I124" s="27">
        <f>IFERROR(100/'Skjema total MA'!F124*G124,0)</f>
        <v>99.518242755089076</v>
      </c>
      <c r="J124" s="290">
        <f t="shared" si="29"/>
        <v>16199.797</v>
      </c>
      <c r="K124" s="44">
        <f t="shared" si="29"/>
        <v>33272.606</v>
      </c>
      <c r="L124" s="257">
        <f t="shared" si="30"/>
        <v>105.4</v>
      </c>
      <c r="M124" s="27">
        <f>IFERROR(100/'Skjema total MA'!I124*K124,0)</f>
        <v>24.347966319952775</v>
      </c>
      <c r="O124" s="148"/>
    </row>
    <row r="125" spans="1:15" ht="15.75" x14ac:dyDescent="0.2">
      <c r="A125" s="21" t="s">
        <v>396</v>
      </c>
      <c r="B125" s="235">
        <v>2.1040000000000001</v>
      </c>
      <c r="C125" s="235">
        <v>5.1509999999999998</v>
      </c>
      <c r="D125" s="166">
        <f t="shared" si="27"/>
        <v>144.80000000000001</v>
      </c>
      <c r="E125" s="27">
        <f>IFERROR(100/'Skjema total MA'!C125*C125,0)</f>
        <v>0.19996057310105528</v>
      </c>
      <c r="F125" s="235">
        <v>380821.717</v>
      </c>
      <c r="G125" s="235">
        <v>354067.28200000001</v>
      </c>
      <c r="H125" s="166">
        <f t="shared" si="28"/>
        <v>-7</v>
      </c>
      <c r="I125" s="27">
        <f>IFERROR(100/'Skjema total MA'!F125*G125,0)</f>
        <v>22.765806728270391</v>
      </c>
      <c r="J125" s="290">
        <f t="shared" si="29"/>
        <v>380823.821</v>
      </c>
      <c r="K125" s="44">
        <f t="shared" si="29"/>
        <v>354072.43300000002</v>
      </c>
      <c r="L125" s="257">
        <f t="shared" si="30"/>
        <v>-7</v>
      </c>
      <c r="M125" s="27">
        <f>IFERROR(100/'Skjema total MA'!I125*K125,0)</f>
        <v>22.728492255334817</v>
      </c>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v>147814.64199999999</v>
      </c>
      <c r="C134" s="312">
        <v>208307.09299999999</v>
      </c>
      <c r="D134" s="354">
        <f t="shared" ref="D134:D137" si="31">IF(B134=0, "    ---- ", IF(ABS(ROUND(100/B134*C134-100,1))&lt;999,ROUND(100/B134*C134-100,1),IF(ROUND(100/B134*C134-100,1)&gt;999,999,-999)))</f>
        <v>40.9</v>
      </c>
      <c r="E134" s="11">
        <f>IFERROR(100/'Skjema total MA'!C134*C134,0)</f>
        <v>0.58972819053274939</v>
      </c>
      <c r="F134" s="319"/>
      <c r="G134" s="320"/>
      <c r="H134" s="435"/>
      <c r="I134" s="24"/>
      <c r="J134" s="321">
        <f t="shared" ref="J134:K137" si="32">SUM(B134,F134)</f>
        <v>147814.64199999999</v>
      </c>
      <c r="K134" s="321">
        <f t="shared" si="32"/>
        <v>208307.09299999999</v>
      </c>
      <c r="L134" s="431">
        <f t="shared" ref="L134:L137" si="33">IF(J134=0, "    ---- ", IF(ABS(ROUND(100/J134*K134-100,1))&lt;999,ROUND(100/J134*K134-100,1),IF(ROUND(100/J134*K134-100,1)&gt;999,999,-999)))</f>
        <v>40.9</v>
      </c>
      <c r="M134" s="11">
        <f>IFERROR(100/'Skjema total MA'!I134*K134,0)</f>
        <v>0.5877841234435377</v>
      </c>
      <c r="N134" s="148"/>
      <c r="O134" s="148"/>
    </row>
    <row r="135" spans="1:15" s="3" customFormat="1" ht="15.75" x14ac:dyDescent="0.2">
      <c r="A135" s="13" t="s">
        <v>405</v>
      </c>
      <c r="B135" s="237">
        <v>2780424.179</v>
      </c>
      <c r="C135" s="312">
        <v>2875106.7949999999</v>
      </c>
      <c r="D135" s="171">
        <f t="shared" si="31"/>
        <v>3.4</v>
      </c>
      <c r="E135" s="11">
        <f>IFERROR(100/'Skjema total MA'!C135*C135,0)</f>
        <v>0.52573100319428101</v>
      </c>
      <c r="F135" s="237"/>
      <c r="G135" s="312"/>
      <c r="H135" s="436"/>
      <c r="I135" s="24"/>
      <c r="J135" s="311">
        <f t="shared" si="32"/>
        <v>2780424.179</v>
      </c>
      <c r="K135" s="311">
        <f t="shared" si="32"/>
        <v>2875106.7949999999</v>
      </c>
      <c r="L135" s="432">
        <f t="shared" si="33"/>
        <v>3.4</v>
      </c>
      <c r="M135" s="11">
        <f>IFERROR(100/'Skjema total MA'!I135*K135,0)</f>
        <v>0.5233587808467951</v>
      </c>
      <c r="N135" s="148"/>
      <c r="O135" s="148"/>
    </row>
    <row r="136" spans="1:15" s="3" customFormat="1" ht="15.75" x14ac:dyDescent="0.2">
      <c r="A136" s="13" t="s">
        <v>402</v>
      </c>
      <c r="B136" s="237"/>
      <c r="C136" s="312"/>
      <c r="D136" s="171"/>
      <c r="E136" s="11"/>
      <c r="F136" s="237"/>
      <c r="G136" s="312"/>
      <c r="H136" s="436"/>
      <c r="I136" s="24"/>
      <c r="J136" s="311">
        <f t="shared" si="32"/>
        <v>0</v>
      </c>
      <c r="K136" s="311">
        <f t="shared" si="32"/>
        <v>0</v>
      </c>
      <c r="L136" s="432" t="str">
        <f t="shared" si="33"/>
        <v xml:space="preserve">    ---- </v>
      </c>
      <c r="M136" s="11">
        <f>IFERROR(100/'Skjema total MA'!I136*K136,0)</f>
        <v>0</v>
      </c>
      <c r="N136" s="148"/>
      <c r="O136" s="148"/>
    </row>
    <row r="137" spans="1:15" s="3" customFormat="1" ht="15.75" x14ac:dyDescent="0.2">
      <c r="A137" s="41" t="s">
        <v>403</v>
      </c>
      <c r="B137" s="279">
        <v>147167.99299999999</v>
      </c>
      <c r="C137" s="318">
        <v>0</v>
      </c>
      <c r="D137" s="169">
        <f t="shared" si="31"/>
        <v>-100</v>
      </c>
      <c r="E137" s="9">
        <f>IFERROR(100/'Skjema total MA'!C137*C137,0)</f>
        <v>0</v>
      </c>
      <c r="F137" s="279"/>
      <c r="G137" s="318"/>
      <c r="H137" s="437"/>
      <c r="I137" s="36"/>
      <c r="J137" s="317">
        <f t="shared" si="32"/>
        <v>147167.99299999999</v>
      </c>
      <c r="K137" s="317">
        <f t="shared" si="32"/>
        <v>0</v>
      </c>
      <c r="L137" s="433">
        <f t="shared" si="33"/>
        <v>-100</v>
      </c>
      <c r="M137" s="36">
        <f>IFERROR(100/'Skjema total MA'!I137*K137,0)</f>
        <v>0</v>
      </c>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398" priority="132">
      <formula>kvartal &lt; 4</formula>
    </cfRule>
  </conditionalFormatting>
  <conditionalFormatting sqref="B69">
    <cfRule type="expression" dxfId="397" priority="100">
      <formula>kvartal &lt; 4</formula>
    </cfRule>
  </conditionalFormatting>
  <conditionalFormatting sqref="C69">
    <cfRule type="expression" dxfId="396" priority="99">
      <formula>kvartal &lt; 4</formula>
    </cfRule>
  </conditionalFormatting>
  <conditionalFormatting sqref="B72">
    <cfRule type="expression" dxfId="395" priority="98">
      <formula>kvartal &lt; 4</formula>
    </cfRule>
  </conditionalFormatting>
  <conditionalFormatting sqref="C72">
    <cfRule type="expression" dxfId="394" priority="97">
      <formula>kvartal &lt; 4</formula>
    </cfRule>
  </conditionalFormatting>
  <conditionalFormatting sqref="B80">
    <cfRule type="expression" dxfId="393" priority="96">
      <formula>kvartal &lt; 4</formula>
    </cfRule>
  </conditionalFormatting>
  <conditionalFormatting sqref="C80">
    <cfRule type="expression" dxfId="392" priority="95">
      <formula>kvartal &lt; 4</formula>
    </cfRule>
  </conditionalFormatting>
  <conditionalFormatting sqref="B83">
    <cfRule type="expression" dxfId="391" priority="94">
      <formula>kvartal &lt; 4</formula>
    </cfRule>
  </conditionalFormatting>
  <conditionalFormatting sqref="C83">
    <cfRule type="expression" dxfId="390" priority="93">
      <formula>kvartal &lt; 4</formula>
    </cfRule>
  </conditionalFormatting>
  <conditionalFormatting sqref="B90">
    <cfRule type="expression" dxfId="389" priority="84">
      <formula>kvartal &lt; 4</formula>
    </cfRule>
  </conditionalFormatting>
  <conditionalFormatting sqref="C90">
    <cfRule type="expression" dxfId="388" priority="83">
      <formula>kvartal &lt; 4</formula>
    </cfRule>
  </conditionalFormatting>
  <conditionalFormatting sqref="B93">
    <cfRule type="expression" dxfId="387" priority="82">
      <formula>kvartal &lt; 4</formula>
    </cfRule>
  </conditionalFormatting>
  <conditionalFormatting sqref="C93">
    <cfRule type="expression" dxfId="386" priority="81">
      <formula>kvartal &lt; 4</formula>
    </cfRule>
  </conditionalFormatting>
  <conditionalFormatting sqref="B101">
    <cfRule type="expression" dxfId="385" priority="80">
      <formula>kvartal &lt; 4</formula>
    </cfRule>
  </conditionalFormatting>
  <conditionalFormatting sqref="C101">
    <cfRule type="expression" dxfId="384" priority="79">
      <formula>kvartal &lt; 4</formula>
    </cfRule>
  </conditionalFormatting>
  <conditionalFormatting sqref="B104">
    <cfRule type="expression" dxfId="383" priority="78">
      <formula>kvartal &lt; 4</formula>
    </cfRule>
  </conditionalFormatting>
  <conditionalFormatting sqref="C104">
    <cfRule type="expression" dxfId="382" priority="77">
      <formula>kvartal &lt; 4</formula>
    </cfRule>
  </conditionalFormatting>
  <conditionalFormatting sqref="B115">
    <cfRule type="expression" dxfId="381" priority="76">
      <formula>kvartal &lt; 4</formula>
    </cfRule>
  </conditionalFormatting>
  <conditionalFormatting sqref="C115">
    <cfRule type="expression" dxfId="380" priority="75">
      <formula>kvartal &lt; 4</formula>
    </cfRule>
  </conditionalFormatting>
  <conditionalFormatting sqref="B123">
    <cfRule type="expression" dxfId="379" priority="74">
      <formula>kvartal &lt; 4</formula>
    </cfRule>
  </conditionalFormatting>
  <conditionalFormatting sqref="C123">
    <cfRule type="expression" dxfId="378" priority="73">
      <formula>kvartal &lt; 4</formula>
    </cfRule>
  </conditionalFormatting>
  <conditionalFormatting sqref="F70">
    <cfRule type="expression" dxfId="377" priority="72">
      <formula>kvartal &lt; 4</formula>
    </cfRule>
  </conditionalFormatting>
  <conditionalFormatting sqref="G70">
    <cfRule type="expression" dxfId="376" priority="71">
      <formula>kvartal &lt; 4</formula>
    </cfRule>
  </conditionalFormatting>
  <conditionalFormatting sqref="F71:G71">
    <cfRule type="expression" dxfId="375" priority="70">
      <formula>kvartal &lt; 4</formula>
    </cfRule>
  </conditionalFormatting>
  <conditionalFormatting sqref="F73:G74">
    <cfRule type="expression" dxfId="374" priority="69">
      <formula>kvartal &lt; 4</formula>
    </cfRule>
  </conditionalFormatting>
  <conditionalFormatting sqref="F81:G82">
    <cfRule type="expression" dxfId="373" priority="68">
      <formula>kvartal &lt; 4</formula>
    </cfRule>
  </conditionalFormatting>
  <conditionalFormatting sqref="F84:G85">
    <cfRule type="expression" dxfId="372" priority="67">
      <formula>kvartal &lt; 4</formula>
    </cfRule>
  </conditionalFormatting>
  <conditionalFormatting sqref="F91:G92">
    <cfRule type="expression" dxfId="371" priority="62">
      <formula>kvartal &lt; 4</formula>
    </cfRule>
  </conditionalFormatting>
  <conditionalFormatting sqref="F94:G95">
    <cfRule type="expression" dxfId="370" priority="61">
      <formula>kvartal &lt; 4</formula>
    </cfRule>
  </conditionalFormatting>
  <conditionalFormatting sqref="F102:G103">
    <cfRule type="expression" dxfId="369" priority="60">
      <formula>kvartal &lt; 4</formula>
    </cfRule>
  </conditionalFormatting>
  <conditionalFormatting sqref="F105:G106">
    <cfRule type="expression" dxfId="368" priority="59">
      <formula>kvartal &lt; 4</formula>
    </cfRule>
  </conditionalFormatting>
  <conditionalFormatting sqref="F115">
    <cfRule type="expression" dxfId="367" priority="58">
      <formula>kvartal &lt; 4</formula>
    </cfRule>
  </conditionalFormatting>
  <conditionalFormatting sqref="G115">
    <cfRule type="expression" dxfId="366" priority="57">
      <formula>kvartal &lt; 4</formula>
    </cfRule>
  </conditionalFormatting>
  <conditionalFormatting sqref="F123:G123">
    <cfRule type="expression" dxfId="365" priority="56">
      <formula>kvartal &lt; 4</formula>
    </cfRule>
  </conditionalFormatting>
  <conditionalFormatting sqref="F69:G69">
    <cfRule type="expression" dxfId="364" priority="55">
      <formula>kvartal &lt; 4</formula>
    </cfRule>
  </conditionalFormatting>
  <conditionalFormatting sqref="F72:G72">
    <cfRule type="expression" dxfId="363" priority="54">
      <formula>kvartal &lt; 4</formula>
    </cfRule>
  </conditionalFormatting>
  <conditionalFormatting sqref="F80:G80">
    <cfRule type="expression" dxfId="362" priority="53">
      <formula>kvartal &lt; 4</formula>
    </cfRule>
  </conditionalFormatting>
  <conditionalFormatting sqref="F83:G83">
    <cfRule type="expression" dxfId="361" priority="52">
      <formula>kvartal &lt; 4</formula>
    </cfRule>
  </conditionalFormatting>
  <conditionalFormatting sqref="F90:G90">
    <cfRule type="expression" dxfId="360" priority="46">
      <formula>kvartal &lt; 4</formula>
    </cfRule>
  </conditionalFormatting>
  <conditionalFormatting sqref="F93">
    <cfRule type="expression" dxfId="359" priority="45">
      <formula>kvartal &lt; 4</formula>
    </cfRule>
  </conditionalFormatting>
  <conditionalFormatting sqref="G93">
    <cfRule type="expression" dxfId="358" priority="44">
      <formula>kvartal &lt; 4</formula>
    </cfRule>
  </conditionalFormatting>
  <conditionalFormatting sqref="F101">
    <cfRule type="expression" dxfId="357" priority="43">
      <formula>kvartal &lt; 4</formula>
    </cfRule>
  </conditionalFormatting>
  <conditionalFormatting sqref="G101">
    <cfRule type="expression" dxfId="356" priority="42">
      <formula>kvartal &lt; 4</formula>
    </cfRule>
  </conditionalFormatting>
  <conditionalFormatting sqref="G104">
    <cfRule type="expression" dxfId="355" priority="41">
      <formula>kvartal &lt; 4</formula>
    </cfRule>
  </conditionalFormatting>
  <conditionalFormatting sqref="F104">
    <cfRule type="expression" dxfId="354" priority="40">
      <formula>kvartal &lt; 4</formula>
    </cfRule>
  </conditionalFormatting>
  <conditionalFormatting sqref="J69:K73">
    <cfRule type="expression" dxfId="353" priority="39">
      <formula>kvartal &lt; 4</formula>
    </cfRule>
  </conditionalFormatting>
  <conditionalFormatting sqref="J74:K74">
    <cfRule type="expression" dxfId="352" priority="38">
      <formula>kvartal &lt; 4</formula>
    </cfRule>
  </conditionalFormatting>
  <conditionalFormatting sqref="J80:K85">
    <cfRule type="expression" dxfId="351" priority="37">
      <formula>kvartal &lt; 4</formula>
    </cfRule>
  </conditionalFormatting>
  <conditionalFormatting sqref="J90:K95">
    <cfRule type="expression" dxfId="350" priority="34">
      <formula>kvartal &lt; 4</formula>
    </cfRule>
  </conditionalFormatting>
  <conditionalFormatting sqref="J101:K106">
    <cfRule type="expression" dxfId="349" priority="33">
      <formula>kvartal &lt; 4</formula>
    </cfRule>
  </conditionalFormatting>
  <conditionalFormatting sqref="J115:K115">
    <cfRule type="expression" dxfId="348" priority="32">
      <formula>kvartal &lt; 4</formula>
    </cfRule>
  </conditionalFormatting>
  <conditionalFormatting sqref="J123:K123">
    <cfRule type="expression" dxfId="347" priority="31">
      <formula>kvartal &lt; 4</formula>
    </cfRule>
  </conditionalFormatting>
  <conditionalFormatting sqref="A50:A52">
    <cfRule type="expression" dxfId="346" priority="12">
      <formula>kvartal &lt; 4</formula>
    </cfRule>
  </conditionalFormatting>
  <conditionalFormatting sqref="A69:A74">
    <cfRule type="expression" dxfId="345" priority="10">
      <formula>kvartal &lt; 4</formula>
    </cfRule>
  </conditionalFormatting>
  <conditionalFormatting sqref="A80:A85">
    <cfRule type="expression" dxfId="344" priority="9">
      <formula>kvartal &lt; 4</formula>
    </cfRule>
  </conditionalFormatting>
  <conditionalFormatting sqref="A90:A95">
    <cfRule type="expression" dxfId="343" priority="6">
      <formula>kvartal &lt; 4</formula>
    </cfRule>
  </conditionalFormatting>
  <conditionalFormatting sqref="A101:A106">
    <cfRule type="expression" dxfId="342" priority="5">
      <formula>kvartal &lt; 4</formula>
    </cfRule>
  </conditionalFormatting>
  <conditionalFormatting sqref="A115">
    <cfRule type="expression" dxfId="341" priority="4">
      <formula>kvartal &lt; 4</formula>
    </cfRule>
  </conditionalFormatting>
  <conditionalFormatting sqref="A123">
    <cfRule type="expression" dxfId="340" priority="3">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O144"/>
  <sheetViews>
    <sheetView showGridLines="0" zoomScale="90" zoomScaleNormal="9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141</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c r="C7" s="310"/>
      <c r="D7" s="354"/>
      <c r="E7" s="11"/>
      <c r="F7" s="309"/>
      <c r="G7" s="310"/>
      <c r="H7" s="354"/>
      <c r="I7" s="160"/>
      <c r="J7" s="311"/>
      <c r="K7" s="312"/>
      <c r="L7" s="431"/>
      <c r="M7" s="11"/>
      <c r="O7" s="148"/>
    </row>
    <row r="8" spans="1:15" ht="15.75" x14ac:dyDescent="0.2">
      <c r="A8" s="21" t="s">
        <v>25</v>
      </c>
      <c r="B8" s="284"/>
      <c r="C8" s="285"/>
      <c r="D8" s="166"/>
      <c r="E8" s="27"/>
      <c r="F8" s="288"/>
      <c r="G8" s="289"/>
      <c r="H8" s="166"/>
      <c r="I8" s="176"/>
      <c r="J8" s="235"/>
      <c r="K8" s="290"/>
      <c r="L8" s="257"/>
      <c r="M8" s="27"/>
      <c r="O8" s="148"/>
    </row>
    <row r="9" spans="1:15" ht="15.75" x14ac:dyDescent="0.2">
      <c r="A9" s="21" t="s">
        <v>24</v>
      </c>
      <c r="B9" s="284"/>
      <c r="C9" s="285"/>
      <c r="D9" s="166"/>
      <c r="E9" s="27"/>
      <c r="F9" s="288"/>
      <c r="G9" s="289"/>
      <c r="H9" s="166"/>
      <c r="I9" s="176"/>
      <c r="J9" s="235"/>
      <c r="K9" s="290"/>
      <c r="L9" s="257"/>
      <c r="M9" s="27"/>
      <c r="O9" s="148"/>
    </row>
    <row r="10" spans="1:15" ht="15.75" x14ac:dyDescent="0.2">
      <c r="A10" s="13" t="s">
        <v>376</v>
      </c>
      <c r="B10" s="313"/>
      <c r="C10" s="314"/>
      <c r="D10" s="171"/>
      <c r="E10" s="11"/>
      <c r="F10" s="313"/>
      <c r="G10" s="314"/>
      <c r="H10" s="171"/>
      <c r="I10" s="160"/>
      <c r="J10" s="311"/>
      <c r="K10" s="312"/>
      <c r="L10" s="432"/>
      <c r="M10" s="11"/>
      <c r="O10" s="148"/>
    </row>
    <row r="11" spans="1:15" s="43" customFormat="1" ht="15.75" x14ac:dyDescent="0.2">
      <c r="A11" s="13" t="s">
        <v>377</v>
      </c>
      <c r="B11" s="313"/>
      <c r="C11" s="314"/>
      <c r="D11" s="171"/>
      <c r="E11" s="11"/>
      <c r="F11" s="313"/>
      <c r="G11" s="314"/>
      <c r="H11" s="171"/>
      <c r="I11" s="160"/>
      <c r="J11" s="311"/>
      <c r="K11" s="312"/>
      <c r="L11" s="432"/>
      <c r="M11" s="11"/>
      <c r="N11" s="143"/>
      <c r="O11" s="148"/>
    </row>
    <row r="12" spans="1:15" s="43" customFormat="1" ht="15.75" x14ac:dyDescent="0.2">
      <c r="A12" s="41" t="s">
        <v>378</v>
      </c>
      <c r="B12" s="315"/>
      <c r="C12" s="316"/>
      <c r="D12" s="169"/>
      <c r="E12" s="36"/>
      <c r="F12" s="315"/>
      <c r="G12" s="316"/>
      <c r="H12" s="169"/>
      <c r="I12" s="169"/>
      <c r="J12" s="317"/>
      <c r="K12" s="318"/>
      <c r="L12" s="433"/>
      <c r="M12" s="36"/>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19"/>
      <c r="C22" s="319"/>
      <c r="D22" s="354"/>
      <c r="E22" s="11"/>
      <c r="F22" s="321"/>
      <c r="G22" s="321"/>
      <c r="H22" s="354"/>
      <c r="I22" s="11"/>
      <c r="J22" s="319"/>
      <c r="K22" s="319"/>
      <c r="L22" s="431"/>
      <c r="M22" s="24"/>
      <c r="O22" s="148"/>
    </row>
    <row r="23" spans="1:15" ht="15.75" x14ac:dyDescent="0.2">
      <c r="A23" s="619" t="s">
        <v>379</v>
      </c>
      <c r="B23" s="284"/>
      <c r="C23" s="284"/>
      <c r="D23" s="166"/>
      <c r="E23" s="11"/>
      <c r="F23" s="293"/>
      <c r="G23" s="293"/>
      <c r="H23" s="166"/>
      <c r="I23" s="421"/>
      <c r="J23" s="293"/>
      <c r="K23" s="293"/>
      <c r="L23" s="166"/>
      <c r="M23" s="23"/>
      <c r="O23" s="148"/>
    </row>
    <row r="24" spans="1:15" ht="15.75" x14ac:dyDescent="0.2">
      <c r="A24" s="619" t="s">
        <v>380</v>
      </c>
      <c r="B24" s="284"/>
      <c r="C24" s="284"/>
      <c r="D24" s="166"/>
      <c r="E24" s="11"/>
      <c r="F24" s="293"/>
      <c r="G24" s="293"/>
      <c r="H24" s="166"/>
      <c r="I24" s="421"/>
      <c r="J24" s="293"/>
      <c r="K24" s="293"/>
      <c r="L24" s="166"/>
      <c r="M24" s="23"/>
      <c r="O24" s="148"/>
    </row>
    <row r="25" spans="1:15" ht="15.75" x14ac:dyDescent="0.2">
      <c r="A25" s="619" t="s">
        <v>381</v>
      </c>
      <c r="B25" s="284"/>
      <c r="C25" s="284"/>
      <c r="D25" s="166"/>
      <c r="E25" s="11"/>
      <c r="F25" s="293"/>
      <c r="G25" s="293"/>
      <c r="H25" s="166"/>
      <c r="I25" s="421"/>
      <c r="J25" s="293"/>
      <c r="K25" s="293"/>
      <c r="L25" s="166"/>
      <c r="M25" s="23"/>
      <c r="O25" s="148"/>
    </row>
    <row r="26" spans="1:15" ht="15.75" x14ac:dyDescent="0.2">
      <c r="A26" s="619" t="s">
        <v>382</v>
      </c>
      <c r="B26" s="284"/>
      <c r="C26" s="284"/>
      <c r="D26" s="166"/>
      <c r="E26" s="11"/>
      <c r="F26" s="293"/>
      <c r="G26" s="293"/>
      <c r="H26" s="166"/>
      <c r="I26" s="421"/>
      <c r="J26" s="293"/>
      <c r="K26" s="293"/>
      <c r="L26" s="166"/>
      <c r="M26" s="23"/>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c r="C28" s="290"/>
      <c r="D28" s="166"/>
      <c r="E28" s="11"/>
      <c r="F28" s="235"/>
      <c r="G28" s="290"/>
      <c r="H28" s="166"/>
      <c r="I28" s="27"/>
      <c r="J28" s="44"/>
      <c r="K28" s="44"/>
      <c r="L28" s="257"/>
      <c r="M28" s="23"/>
      <c r="O28" s="148"/>
    </row>
    <row r="29" spans="1:15" s="3" customFormat="1" ht="15.75" x14ac:dyDescent="0.2">
      <c r="A29" s="13" t="s">
        <v>376</v>
      </c>
      <c r="B29" s="237"/>
      <c r="C29" s="237"/>
      <c r="D29" s="171"/>
      <c r="E29" s="11"/>
      <c r="F29" s="311"/>
      <c r="G29" s="311"/>
      <c r="H29" s="171"/>
      <c r="I29" s="11"/>
      <c r="J29" s="237"/>
      <c r="K29" s="237"/>
      <c r="L29" s="432"/>
      <c r="M29" s="24"/>
      <c r="N29" s="148"/>
      <c r="O29" s="148"/>
    </row>
    <row r="30" spans="1:15" s="3" customFormat="1" ht="15.75" x14ac:dyDescent="0.2">
      <c r="A30" s="619" t="s">
        <v>379</v>
      </c>
      <c r="B30" s="284"/>
      <c r="C30" s="284"/>
      <c r="D30" s="166"/>
      <c r="E30" s="11"/>
      <c r="F30" s="293"/>
      <c r="G30" s="293"/>
      <c r="H30" s="166"/>
      <c r="I30" s="421"/>
      <c r="J30" s="293"/>
      <c r="K30" s="293"/>
      <c r="L30" s="166"/>
      <c r="M30" s="23"/>
      <c r="N30" s="148"/>
      <c r="O30" s="148"/>
    </row>
    <row r="31" spans="1:15" s="3" customFormat="1" ht="15.75" x14ac:dyDescent="0.2">
      <c r="A31" s="619" t="s">
        <v>380</v>
      </c>
      <c r="B31" s="284"/>
      <c r="C31" s="284"/>
      <c r="D31" s="166"/>
      <c r="E31" s="11"/>
      <c r="F31" s="293"/>
      <c r="G31" s="293"/>
      <c r="H31" s="166"/>
      <c r="I31" s="421"/>
      <c r="J31" s="293"/>
      <c r="K31" s="293"/>
      <c r="L31" s="166"/>
      <c r="M31" s="23"/>
      <c r="N31" s="148"/>
      <c r="O31" s="148"/>
    </row>
    <row r="32" spans="1:15" ht="15.75" x14ac:dyDescent="0.2">
      <c r="A32" s="619" t="s">
        <v>381</v>
      </c>
      <c r="B32" s="284"/>
      <c r="C32" s="284"/>
      <c r="D32" s="166"/>
      <c r="E32" s="11"/>
      <c r="F32" s="293"/>
      <c r="G32" s="293"/>
      <c r="H32" s="166"/>
      <c r="I32" s="421"/>
      <c r="J32" s="293"/>
      <c r="K32" s="293"/>
      <c r="L32" s="166"/>
      <c r="M32" s="23"/>
      <c r="O32" s="148"/>
    </row>
    <row r="33" spans="1:15" ht="15.75" x14ac:dyDescent="0.2">
      <c r="A33" s="619" t="s">
        <v>382</v>
      </c>
      <c r="B33" s="284"/>
      <c r="C33" s="284"/>
      <c r="D33" s="166"/>
      <c r="E33" s="11"/>
      <c r="F33" s="293"/>
      <c r="G33" s="293"/>
      <c r="H33" s="166"/>
      <c r="I33" s="421"/>
      <c r="J33" s="293"/>
      <c r="K33" s="293"/>
      <c r="L33" s="166"/>
      <c r="M33" s="23"/>
      <c r="O33" s="148"/>
    </row>
    <row r="34" spans="1:15" ht="15.75" x14ac:dyDescent="0.2">
      <c r="A34" s="13" t="s">
        <v>377</v>
      </c>
      <c r="B34" s="237"/>
      <c r="C34" s="312"/>
      <c r="D34" s="171"/>
      <c r="E34" s="11"/>
      <c r="F34" s="311"/>
      <c r="G34" s="312"/>
      <c r="H34" s="171"/>
      <c r="I34" s="11"/>
      <c r="J34" s="237"/>
      <c r="K34" s="237"/>
      <c r="L34" s="432"/>
      <c r="M34" s="24"/>
      <c r="O34" s="148"/>
    </row>
    <row r="35" spans="1:15" ht="15.75" x14ac:dyDescent="0.2">
      <c r="A35" s="13" t="s">
        <v>378</v>
      </c>
      <c r="B35" s="237"/>
      <c r="C35" s="312"/>
      <c r="D35" s="171"/>
      <c r="E35" s="11"/>
      <c r="F35" s="311"/>
      <c r="G35" s="312"/>
      <c r="H35" s="171"/>
      <c r="I35" s="11"/>
      <c r="J35" s="237"/>
      <c r="K35" s="237"/>
      <c r="L35" s="432"/>
      <c r="M35" s="24"/>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171"/>
      <c r="E38" s="24"/>
      <c r="F38" s="322"/>
      <c r="G38" s="323"/>
      <c r="H38" s="171"/>
      <c r="I38" s="438"/>
      <c r="J38" s="237"/>
      <c r="K38" s="237"/>
      <c r="L38" s="432"/>
      <c r="M38" s="24"/>
      <c r="O38" s="148"/>
    </row>
    <row r="39" spans="1:15" ht="15.75" x14ac:dyDescent="0.2">
      <c r="A39" s="18" t="s">
        <v>386</v>
      </c>
      <c r="B39" s="279"/>
      <c r="C39" s="318"/>
      <c r="D39" s="169"/>
      <c r="E39" s="36"/>
      <c r="F39" s="325"/>
      <c r="G39" s="326"/>
      <c r="H39" s="169"/>
      <c r="I39" s="36"/>
      <c r="J39" s="237"/>
      <c r="K39" s="237"/>
      <c r="L39" s="433"/>
      <c r="M39" s="36"/>
      <c r="O39" s="148"/>
    </row>
    <row r="40" spans="1:15" ht="15.75" x14ac:dyDescent="0.25">
      <c r="A40" s="47"/>
      <c r="B40" s="256"/>
      <c r="C40" s="256"/>
      <c r="D40" s="730"/>
      <c r="E40" s="730"/>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v>23751</v>
      </c>
      <c r="C47" s="314">
        <v>20446</v>
      </c>
      <c r="D47" s="431">
        <f t="shared" ref="D47:D48" si="0">IF(B47=0, "    ---- ", IF(ABS(ROUND(100/B47*C47-100,1))&lt;999,ROUND(100/B47*C47-100,1),IF(ROUND(100/B47*C47-100,1)&gt;999,999,-999)))</f>
        <v>-13.9</v>
      </c>
      <c r="E47" s="11">
        <f>IFERROR(100/'Skjema total MA'!C47*C47,0)</f>
        <v>0.5541111380177306</v>
      </c>
      <c r="F47" s="145"/>
      <c r="G47" s="33"/>
      <c r="H47" s="159"/>
      <c r="I47" s="159"/>
      <c r="J47" s="37"/>
      <c r="K47" s="37"/>
      <c r="L47" s="159"/>
      <c r="M47" s="159"/>
      <c r="N47" s="148"/>
      <c r="O47" s="148"/>
    </row>
    <row r="48" spans="1:15" s="3" customFormat="1" ht="15.75" x14ac:dyDescent="0.2">
      <c r="A48" s="38" t="s">
        <v>387</v>
      </c>
      <c r="B48" s="284">
        <v>23751</v>
      </c>
      <c r="C48" s="285">
        <v>20446</v>
      </c>
      <c r="D48" s="257">
        <f t="shared" si="0"/>
        <v>-13.9</v>
      </c>
      <c r="E48" s="27">
        <f>IFERROR(100/'Skjema total MA'!C48*C48,0)</f>
        <v>0.97855983113988032</v>
      </c>
      <c r="F48" s="145"/>
      <c r="G48" s="33"/>
      <c r="H48" s="145"/>
      <c r="I48" s="145"/>
      <c r="J48" s="33"/>
      <c r="K48" s="33"/>
      <c r="L48" s="159"/>
      <c r="M48" s="159"/>
      <c r="N48" s="148"/>
      <c r="O48" s="148"/>
    </row>
    <row r="49" spans="1:15" s="3" customFormat="1" ht="15.75" x14ac:dyDescent="0.2">
      <c r="A49" s="38" t="s">
        <v>388</v>
      </c>
      <c r="B49" s="44"/>
      <c r="C49" s="290"/>
      <c r="D49" s="257"/>
      <c r="E49" s="27"/>
      <c r="F49" s="145"/>
      <c r="G49" s="33"/>
      <c r="H49" s="145"/>
      <c r="I49" s="145"/>
      <c r="J49" s="37"/>
      <c r="K49" s="37"/>
      <c r="L49" s="159"/>
      <c r="M49" s="159"/>
      <c r="N49" s="148"/>
      <c r="O49" s="148"/>
    </row>
    <row r="50" spans="1:15" s="3" customFormat="1" x14ac:dyDescent="0.2">
      <c r="A50" s="299" t="s">
        <v>6</v>
      </c>
      <c r="B50" s="293"/>
      <c r="C50" s="294"/>
      <c r="D50" s="257"/>
      <c r="E50" s="23"/>
      <c r="F50" s="145"/>
      <c r="G50" s="33"/>
      <c r="H50" s="145"/>
      <c r="I50" s="145"/>
      <c r="J50" s="33"/>
      <c r="K50" s="33"/>
      <c r="L50" s="159"/>
      <c r="M50" s="159"/>
      <c r="N50" s="148"/>
      <c r="O50" s="148"/>
    </row>
    <row r="51" spans="1:15" s="3" customFormat="1" x14ac:dyDescent="0.2">
      <c r="A51" s="299" t="s">
        <v>7</v>
      </c>
      <c r="B51" s="293"/>
      <c r="C51" s="294"/>
      <c r="D51" s="257"/>
      <c r="E51" s="23"/>
      <c r="F51" s="145"/>
      <c r="G51" s="33"/>
      <c r="H51" s="145"/>
      <c r="I51" s="145"/>
      <c r="J51" s="33"/>
      <c r="K51" s="33"/>
      <c r="L51" s="159"/>
      <c r="M51" s="159"/>
      <c r="N51" s="148"/>
      <c r="O51" s="148"/>
    </row>
    <row r="52" spans="1:15" s="3" customFormat="1" x14ac:dyDescent="0.2">
      <c r="A52" s="299" t="s">
        <v>8</v>
      </c>
      <c r="B52" s="293"/>
      <c r="C52" s="294"/>
      <c r="D52" s="257"/>
      <c r="E52" s="23"/>
      <c r="F52" s="145"/>
      <c r="G52" s="33"/>
      <c r="H52" s="145"/>
      <c r="I52" s="145"/>
      <c r="J52" s="33"/>
      <c r="K52" s="33"/>
      <c r="L52" s="159"/>
      <c r="M52" s="159"/>
      <c r="N52" s="148"/>
      <c r="O52" s="148"/>
    </row>
    <row r="53" spans="1:15" s="3" customFormat="1" ht="15.75" x14ac:dyDescent="0.2">
      <c r="A53" s="39" t="s">
        <v>389</v>
      </c>
      <c r="B53" s="313"/>
      <c r="C53" s="314"/>
      <c r="D53" s="432"/>
      <c r="E53" s="11"/>
      <c r="F53" s="145"/>
      <c r="G53" s="33"/>
      <c r="H53" s="145"/>
      <c r="I53" s="145"/>
      <c r="J53" s="33"/>
      <c r="K53" s="33"/>
      <c r="L53" s="159"/>
      <c r="M53" s="159"/>
      <c r="N53" s="148"/>
      <c r="O53" s="148"/>
    </row>
    <row r="54" spans="1:15" s="3" customFormat="1" ht="15.75" x14ac:dyDescent="0.2">
      <c r="A54" s="38" t="s">
        <v>387</v>
      </c>
      <c r="B54" s="284"/>
      <c r="C54" s="285"/>
      <c r="D54" s="257"/>
      <c r="E54" s="27"/>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c r="C56" s="314"/>
      <c r="D56" s="432"/>
      <c r="E56" s="11"/>
      <c r="F56" s="145"/>
      <c r="G56" s="33"/>
      <c r="H56" s="145"/>
      <c r="I56" s="145"/>
      <c r="J56" s="33"/>
      <c r="K56" s="33"/>
      <c r="L56" s="159"/>
      <c r="M56" s="159"/>
      <c r="N56" s="148"/>
      <c r="O56" s="148"/>
    </row>
    <row r="57" spans="1:15" s="3" customFormat="1" ht="15.75" x14ac:dyDescent="0.2">
      <c r="A57" s="38" t="s">
        <v>387</v>
      </c>
      <c r="B57" s="284"/>
      <c r="C57" s="285"/>
      <c r="D57" s="257"/>
      <c r="E57" s="27"/>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c r="C66" s="357"/>
      <c r="D66" s="354"/>
      <c r="E66" s="11"/>
      <c r="F66" s="356"/>
      <c r="G66" s="356"/>
      <c r="H66" s="354"/>
      <c r="I66" s="11"/>
      <c r="J66" s="312"/>
      <c r="K66" s="319"/>
      <c r="L66" s="432"/>
      <c r="M66" s="11"/>
      <c r="O66" s="148"/>
    </row>
    <row r="67" spans="1:15" x14ac:dyDescent="0.2">
      <c r="A67" s="423" t="s">
        <v>9</v>
      </c>
      <c r="B67" s="44"/>
      <c r="C67" s="145"/>
      <c r="D67" s="166"/>
      <c r="E67" s="27"/>
      <c r="F67" s="235"/>
      <c r="G67" s="145"/>
      <c r="H67" s="166"/>
      <c r="I67" s="27"/>
      <c r="J67" s="290"/>
      <c r="K67" s="44"/>
      <c r="L67" s="257"/>
      <c r="M67" s="27"/>
      <c r="O67" s="148"/>
    </row>
    <row r="68" spans="1:15" x14ac:dyDescent="0.2">
      <c r="A68" s="21" t="s">
        <v>10</v>
      </c>
      <c r="B68" s="295"/>
      <c r="C68" s="296"/>
      <c r="D68" s="166"/>
      <c r="E68" s="27"/>
      <c r="F68" s="295"/>
      <c r="G68" s="296"/>
      <c r="H68" s="166"/>
      <c r="I68" s="27"/>
      <c r="J68" s="290"/>
      <c r="K68" s="44"/>
      <c r="L68" s="257"/>
      <c r="M68" s="27"/>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c r="C77" s="235"/>
      <c r="D77" s="166"/>
      <c r="E77" s="27"/>
      <c r="F77" s="235"/>
      <c r="G77" s="145"/>
      <c r="H77" s="166"/>
      <c r="I77" s="27"/>
      <c r="J77" s="290"/>
      <c r="K77" s="44"/>
      <c r="L77" s="257"/>
      <c r="M77" s="27"/>
      <c r="O77" s="148"/>
    </row>
    <row r="78" spans="1:15" x14ac:dyDescent="0.2">
      <c r="A78" s="21" t="s">
        <v>9</v>
      </c>
      <c r="B78" s="235"/>
      <c r="C78" s="145"/>
      <c r="D78" s="166"/>
      <c r="E78" s="27"/>
      <c r="F78" s="235"/>
      <c r="G78" s="145"/>
      <c r="H78" s="166"/>
      <c r="I78" s="27"/>
      <c r="J78" s="290"/>
      <c r="K78" s="44"/>
      <c r="L78" s="257"/>
      <c r="M78" s="27"/>
      <c r="O78" s="148"/>
    </row>
    <row r="79" spans="1:15" x14ac:dyDescent="0.2">
      <c r="A79" s="21" t="s">
        <v>10</v>
      </c>
      <c r="B79" s="295"/>
      <c r="C79" s="296"/>
      <c r="D79" s="166"/>
      <c r="E79" s="27"/>
      <c r="F79" s="295"/>
      <c r="G79" s="296"/>
      <c r="H79" s="166"/>
      <c r="I79" s="27"/>
      <c r="J79" s="290"/>
      <c r="K79" s="44"/>
      <c r="L79" s="257"/>
      <c r="M79" s="27"/>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c r="G86" s="145"/>
      <c r="H86" s="166"/>
      <c r="I86" s="27"/>
      <c r="J86" s="290"/>
      <c r="K86" s="44"/>
      <c r="L86" s="257"/>
      <c r="M86" s="27"/>
      <c r="O86" s="148"/>
    </row>
    <row r="87" spans="1:15" ht="15.75" x14ac:dyDescent="0.2">
      <c r="A87" s="13" t="s">
        <v>376</v>
      </c>
      <c r="B87" s="357"/>
      <c r="C87" s="357"/>
      <c r="D87" s="171"/>
      <c r="E87" s="11"/>
      <c r="F87" s="356"/>
      <c r="G87" s="356"/>
      <c r="H87" s="171"/>
      <c r="I87" s="11"/>
      <c r="J87" s="312"/>
      <c r="K87" s="237"/>
      <c r="L87" s="432"/>
      <c r="M87" s="11"/>
      <c r="O87" s="148"/>
    </row>
    <row r="88" spans="1:15" x14ac:dyDescent="0.2">
      <c r="A88" s="21" t="s">
        <v>9</v>
      </c>
      <c r="B88" s="235"/>
      <c r="C88" s="145"/>
      <c r="D88" s="166"/>
      <c r="E88" s="27"/>
      <c r="F88" s="235"/>
      <c r="G88" s="145"/>
      <c r="H88" s="166"/>
      <c r="I88" s="27"/>
      <c r="J88" s="290"/>
      <c r="K88" s="44"/>
      <c r="L88" s="257"/>
      <c r="M88" s="27"/>
      <c r="O88" s="148"/>
    </row>
    <row r="89" spans="1:15" x14ac:dyDescent="0.2">
      <c r="A89" s="21" t="s">
        <v>10</v>
      </c>
      <c r="B89" s="235"/>
      <c r="C89" s="145"/>
      <c r="D89" s="166"/>
      <c r="E89" s="27"/>
      <c r="F89" s="235"/>
      <c r="G89" s="145"/>
      <c r="H89" s="166"/>
      <c r="I89" s="27"/>
      <c r="J89" s="290"/>
      <c r="K89" s="44"/>
      <c r="L89" s="257"/>
      <c r="M89" s="27"/>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c r="C98" s="235"/>
      <c r="D98" s="166"/>
      <c r="E98" s="27"/>
      <c r="F98" s="295"/>
      <c r="G98" s="295"/>
      <c r="H98" s="166"/>
      <c r="I98" s="27"/>
      <c r="J98" s="290"/>
      <c r="K98" s="44"/>
      <c r="L98" s="257"/>
      <c r="M98" s="27"/>
      <c r="O98" s="148"/>
    </row>
    <row r="99" spans="1:15" x14ac:dyDescent="0.2">
      <c r="A99" s="21" t="s">
        <v>9</v>
      </c>
      <c r="B99" s="295"/>
      <c r="C99" s="296"/>
      <c r="D99" s="166"/>
      <c r="E99" s="27"/>
      <c r="F99" s="235"/>
      <c r="G99" s="145"/>
      <c r="H99" s="166"/>
      <c r="I99" s="27"/>
      <c r="J99" s="290"/>
      <c r="K99" s="44"/>
      <c r="L99" s="257"/>
      <c r="M99" s="27"/>
      <c r="O99" s="148"/>
    </row>
    <row r="100" spans="1:15" x14ac:dyDescent="0.2">
      <c r="A100" s="21" t="s">
        <v>10</v>
      </c>
      <c r="B100" s="295"/>
      <c r="C100" s="296"/>
      <c r="D100" s="166"/>
      <c r="E100" s="27"/>
      <c r="F100" s="235"/>
      <c r="G100" s="235"/>
      <c r="H100" s="166"/>
      <c r="I100" s="27"/>
      <c r="J100" s="290"/>
      <c r="K100" s="44"/>
      <c r="L100" s="257"/>
      <c r="M100" s="27"/>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c r="G107" s="145"/>
      <c r="H107" s="166"/>
      <c r="I107" s="27"/>
      <c r="J107" s="290"/>
      <c r="K107" s="44"/>
      <c r="L107" s="257"/>
      <c r="M107" s="27"/>
      <c r="O107" s="148"/>
    </row>
    <row r="108" spans="1:15" ht="15.75" x14ac:dyDescent="0.2">
      <c r="A108" s="21" t="s">
        <v>395</v>
      </c>
      <c r="B108" s="235"/>
      <c r="C108" s="235"/>
      <c r="D108" s="166"/>
      <c r="E108" s="27"/>
      <c r="F108" s="235"/>
      <c r="G108" s="235"/>
      <c r="H108" s="166"/>
      <c r="I108" s="27"/>
      <c r="J108" s="290"/>
      <c r="K108" s="44"/>
      <c r="L108" s="257"/>
      <c r="M108" s="27"/>
      <c r="O108" s="148"/>
    </row>
    <row r="109" spans="1:15" ht="15.75" x14ac:dyDescent="0.2">
      <c r="A109" s="21" t="s">
        <v>396</v>
      </c>
      <c r="B109" s="235"/>
      <c r="C109" s="235"/>
      <c r="D109" s="166"/>
      <c r="E109" s="27"/>
      <c r="F109" s="235"/>
      <c r="G109" s="235"/>
      <c r="H109" s="166"/>
      <c r="I109" s="27"/>
      <c r="J109" s="290"/>
      <c r="K109" s="44"/>
      <c r="L109" s="257"/>
      <c r="M109" s="27"/>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c r="C111" s="159"/>
      <c r="D111" s="171"/>
      <c r="E111" s="11"/>
      <c r="F111" s="311"/>
      <c r="G111" s="159"/>
      <c r="H111" s="171"/>
      <c r="I111" s="11"/>
      <c r="J111" s="312"/>
      <c r="K111" s="237"/>
      <c r="L111" s="432"/>
      <c r="M111" s="11"/>
      <c r="O111" s="148"/>
    </row>
    <row r="112" spans="1:15" x14ac:dyDescent="0.2">
      <c r="A112" s="21" t="s">
        <v>9</v>
      </c>
      <c r="B112" s="235"/>
      <c r="C112" s="145"/>
      <c r="D112" s="166"/>
      <c r="E112" s="27"/>
      <c r="F112" s="235"/>
      <c r="G112" s="145"/>
      <c r="H112" s="166"/>
      <c r="I112" s="27"/>
      <c r="J112" s="290"/>
      <c r="K112" s="44"/>
      <c r="L112" s="257"/>
      <c r="M112" s="27"/>
      <c r="O112" s="148"/>
    </row>
    <row r="113" spans="1:15" x14ac:dyDescent="0.2">
      <c r="A113" s="21" t="s">
        <v>10</v>
      </c>
      <c r="B113" s="235"/>
      <c r="C113" s="145"/>
      <c r="D113" s="166"/>
      <c r="E113" s="27"/>
      <c r="F113" s="235"/>
      <c r="G113" s="145"/>
      <c r="H113" s="166"/>
      <c r="I113" s="27"/>
      <c r="J113" s="290"/>
      <c r="K113" s="44"/>
      <c r="L113" s="257"/>
      <c r="M113" s="27"/>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c r="C116" s="235"/>
      <c r="D116" s="166"/>
      <c r="E116" s="27"/>
      <c r="F116" s="235"/>
      <c r="G116" s="235"/>
      <c r="H116" s="166"/>
      <c r="I116" s="27"/>
      <c r="J116" s="290"/>
      <c r="K116" s="44"/>
      <c r="L116" s="257"/>
      <c r="M116" s="27"/>
      <c r="O116" s="148"/>
    </row>
    <row r="117" spans="1:15" ht="15.75" x14ac:dyDescent="0.2">
      <c r="A117" s="21" t="s">
        <v>399</v>
      </c>
      <c r="B117" s="235"/>
      <c r="C117" s="235"/>
      <c r="D117" s="166"/>
      <c r="E117" s="27"/>
      <c r="F117" s="235"/>
      <c r="G117" s="235"/>
      <c r="H117" s="166"/>
      <c r="I117" s="27"/>
      <c r="J117" s="290"/>
      <c r="K117" s="44"/>
      <c r="L117" s="257"/>
      <c r="M117" s="27"/>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c r="C119" s="159"/>
      <c r="D119" s="171"/>
      <c r="E119" s="11"/>
      <c r="F119" s="311"/>
      <c r="G119" s="159"/>
      <c r="H119" s="171"/>
      <c r="I119" s="11"/>
      <c r="J119" s="312"/>
      <c r="K119" s="237"/>
      <c r="L119" s="432"/>
      <c r="M119" s="11"/>
      <c r="O119" s="148"/>
    </row>
    <row r="120" spans="1:15" x14ac:dyDescent="0.2">
      <c r="A120" s="21" t="s">
        <v>9</v>
      </c>
      <c r="B120" s="235"/>
      <c r="C120" s="145"/>
      <c r="D120" s="166"/>
      <c r="E120" s="27"/>
      <c r="F120" s="235"/>
      <c r="G120" s="145"/>
      <c r="H120" s="166"/>
      <c r="I120" s="27"/>
      <c r="J120" s="290"/>
      <c r="K120" s="44"/>
      <c r="L120" s="257"/>
      <c r="M120" s="27"/>
      <c r="O120" s="148"/>
    </row>
    <row r="121" spans="1:15" x14ac:dyDescent="0.2">
      <c r="A121" s="21" t="s">
        <v>10</v>
      </c>
      <c r="B121" s="235"/>
      <c r="C121" s="145"/>
      <c r="D121" s="166"/>
      <c r="E121" s="27"/>
      <c r="F121" s="235"/>
      <c r="G121" s="145"/>
      <c r="H121" s="166"/>
      <c r="I121" s="27"/>
      <c r="J121" s="290"/>
      <c r="K121" s="44"/>
      <c r="L121" s="257"/>
      <c r="M121" s="27"/>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c r="G125" s="235"/>
      <c r="H125" s="166"/>
      <c r="I125" s="27"/>
      <c r="J125" s="290"/>
      <c r="K125" s="44"/>
      <c r="L125" s="257"/>
      <c r="M125" s="27"/>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339" priority="132">
      <formula>kvartal &lt; 4</formula>
    </cfRule>
  </conditionalFormatting>
  <conditionalFormatting sqref="B69">
    <cfRule type="expression" dxfId="338" priority="100">
      <formula>kvartal &lt; 4</formula>
    </cfRule>
  </conditionalFormatting>
  <conditionalFormatting sqref="C69">
    <cfRule type="expression" dxfId="337" priority="99">
      <formula>kvartal &lt; 4</formula>
    </cfRule>
  </conditionalFormatting>
  <conditionalFormatting sqref="B72">
    <cfRule type="expression" dxfId="336" priority="98">
      <formula>kvartal &lt; 4</formula>
    </cfRule>
  </conditionalFormatting>
  <conditionalFormatting sqref="C72">
    <cfRule type="expression" dxfId="335" priority="97">
      <formula>kvartal &lt; 4</formula>
    </cfRule>
  </conditionalFormatting>
  <conditionalFormatting sqref="B80">
    <cfRule type="expression" dxfId="334" priority="96">
      <formula>kvartal &lt; 4</formula>
    </cfRule>
  </conditionalFormatting>
  <conditionalFormatting sqref="C80">
    <cfRule type="expression" dxfId="333" priority="95">
      <formula>kvartal &lt; 4</formula>
    </cfRule>
  </conditionalFormatting>
  <conditionalFormatting sqref="B83">
    <cfRule type="expression" dxfId="332" priority="94">
      <formula>kvartal &lt; 4</formula>
    </cfRule>
  </conditionalFormatting>
  <conditionalFormatting sqref="C83">
    <cfRule type="expression" dxfId="331" priority="93">
      <formula>kvartal &lt; 4</formula>
    </cfRule>
  </conditionalFormatting>
  <conditionalFormatting sqref="B90">
    <cfRule type="expression" dxfId="330" priority="84">
      <formula>kvartal &lt; 4</formula>
    </cfRule>
  </conditionalFormatting>
  <conditionalFormatting sqref="C90">
    <cfRule type="expression" dxfId="329" priority="83">
      <formula>kvartal &lt; 4</formula>
    </cfRule>
  </conditionalFormatting>
  <conditionalFormatting sqref="B93">
    <cfRule type="expression" dxfId="328" priority="82">
      <formula>kvartal &lt; 4</formula>
    </cfRule>
  </conditionalFormatting>
  <conditionalFormatting sqref="C93">
    <cfRule type="expression" dxfId="327" priority="81">
      <formula>kvartal &lt; 4</formula>
    </cfRule>
  </conditionalFormatting>
  <conditionalFormatting sqref="B101">
    <cfRule type="expression" dxfId="326" priority="80">
      <formula>kvartal &lt; 4</formula>
    </cfRule>
  </conditionalFormatting>
  <conditionalFormatting sqref="C101">
    <cfRule type="expression" dxfId="325" priority="79">
      <formula>kvartal &lt; 4</formula>
    </cfRule>
  </conditionalFormatting>
  <conditionalFormatting sqref="B104">
    <cfRule type="expression" dxfId="324" priority="78">
      <formula>kvartal &lt; 4</formula>
    </cfRule>
  </conditionalFormatting>
  <conditionalFormatting sqref="C104">
    <cfRule type="expression" dxfId="323" priority="77">
      <formula>kvartal &lt; 4</formula>
    </cfRule>
  </conditionalFormatting>
  <conditionalFormatting sqref="B115">
    <cfRule type="expression" dxfId="322" priority="76">
      <formula>kvartal &lt; 4</formula>
    </cfRule>
  </conditionalFormatting>
  <conditionalFormatting sqref="C115">
    <cfRule type="expression" dxfId="321" priority="75">
      <formula>kvartal &lt; 4</formula>
    </cfRule>
  </conditionalFormatting>
  <conditionalFormatting sqref="B123">
    <cfRule type="expression" dxfId="320" priority="74">
      <formula>kvartal &lt; 4</formula>
    </cfRule>
  </conditionalFormatting>
  <conditionalFormatting sqref="C123">
    <cfRule type="expression" dxfId="319" priority="73">
      <formula>kvartal &lt; 4</formula>
    </cfRule>
  </conditionalFormatting>
  <conditionalFormatting sqref="F70">
    <cfRule type="expression" dxfId="318" priority="72">
      <formula>kvartal &lt; 4</formula>
    </cfRule>
  </conditionalFormatting>
  <conditionalFormatting sqref="G70">
    <cfRule type="expression" dxfId="317" priority="71">
      <formula>kvartal &lt; 4</formula>
    </cfRule>
  </conditionalFormatting>
  <conditionalFormatting sqref="F71:G71">
    <cfRule type="expression" dxfId="316" priority="70">
      <formula>kvartal &lt; 4</formula>
    </cfRule>
  </conditionalFormatting>
  <conditionalFormatting sqref="F73:G74">
    <cfRule type="expression" dxfId="315" priority="69">
      <formula>kvartal &lt; 4</formula>
    </cfRule>
  </conditionalFormatting>
  <conditionalFormatting sqref="F81:G82">
    <cfRule type="expression" dxfId="314" priority="68">
      <formula>kvartal &lt; 4</formula>
    </cfRule>
  </conditionalFormatting>
  <conditionalFormatting sqref="F84:G85">
    <cfRule type="expression" dxfId="313" priority="67">
      <formula>kvartal &lt; 4</formula>
    </cfRule>
  </conditionalFormatting>
  <conditionalFormatting sqref="F91:G92">
    <cfRule type="expression" dxfId="312" priority="62">
      <formula>kvartal &lt; 4</formula>
    </cfRule>
  </conditionalFormatting>
  <conditionalFormatting sqref="F94:G95">
    <cfRule type="expression" dxfId="311" priority="61">
      <formula>kvartal &lt; 4</formula>
    </cfRule>
  </conditionalFormatting>
  <conditionalFormatting sqref="F102:G103">
    <cfRule type="expression" dxfId="310" priority="60">
      <formula>kvartal &lt; 4</formula>
    </cfRule>
  </conditionalFormatting>
  <conditionalFormatting sqref="F105:G106">
    <cfRule type="expression" dxfId="309" priority="59">
      <formula>kvartal &lt; 4</formula>
    </cfRule>
  </conditionalFormatting>
  <conditionalFormatting sqref="F115">
    <cfRule type="expression" dxfId="308" priority="58">
      <formula>kvartal &lt; 4</formula>
    </cfRule>
  </conditionalFormatting>
  <conditionalFormatting sqref="G115">
    <cfRule type="expression" dxfId="307" priority="57">
      <formula>kvartal &lt; 4</formula>
    </cfRule>
  </conditionalFormatting>
  <conditionalFormatting sqref="F123:G123">
    <cfRule type="expression" dxfId="306" priority="56">
      <formula>kvartal &lt; 4</formula>
    </cfRule>
  </conditionalFormatting>
  <conditionalFormatting sqref="F69:G69">
    <cfRule type="expression" dxfId="305" priority="55">
      <formula>kvartal &lt; 4</formula>
    </cfRule>
  </conditionalFormatting>
  <conditionalFormatting sqref="F72:G72">
    <cfRule type="expression" dxfId="304" priority="54">
      <formula>kvartal &lt; 4</formula>
    </cfRule>
  </conditionalFormatting>
  <conditionalFormatting sqref="F80:G80">
    <cfRule type="expression" dxfId="303" priority="53">
      <formula>kvartal &lt; 4</formula>
    </cfRule>
  </conditionalFormatting>
  <conditionalFormatting sqref="F83:G83">
    <cfRule type="expression" dxfId="302" priority="52">
      <formula>kvartal &lt; 4</formula>
    </cfRule>
  </conditionalFormatting>
  <conditionalFormatting sqref="F90:G90">
    <cfRule type="expression" dxfId="301" priority="46">
      <formula>kvartal &lt; 4</formula>
    </cfRule>
  </conditionalFormatting>
  <conditionalFormatting sqref="F93">
    <cfRule type="expression" dxfId="300" priority="45">
      <formula>kvartal &lt; 4</formula>
    </cfRule>
  </conditionalFormatting>
  <conditionalFormatting sqref="G93">
    <cfRule type="expression" dxfId="299" priority="44">
      <formula>kvartal &lt; 4</formula>
    </cfRule>
  </conditionalFormatting>
  <conditionalFormatting sqref="F101">
    <cfRule type="expression" dxfId="298" priority="43">
      <formula>kvartal &lt; 4</formula>
    </cfRule>
  </conditionalFormatting>
  <conditionalFormatting sqref="G101">
    <cfRule type="expression" dxfId="297" priority="42">
      <formula>kvartal &lt; 4</formula>
    </cfRule>
  </conditionalFormatting>
  <conditionalFormatting sqref="G104">
    <cfRule type="expression" dxfId="296" priority="41">
      <formula>kvartal &lt; 4</formula>
    </cfRule>
  </conditionalFormatting>
  <conditionalFormatting sqref="F104">
    <cfRule type="expression" dxfId="295" priority="40">
      <formula>kvartal &lt; 4</formula>
    </cfRule>
  </conditionalFormatting>
  <conditionalFormatting sqref="J69:K73">
    <cfRule type="expression" dxfId="294" priority="39">
      <formula>kvartal &lt; 4</formula>
    </cfRule>
  </conditionalFormatting>
  <conditionalFormatting sqref="J74:K74">
    <cfRule type="expression" dxfId="293" priority="38">
      <formula>kvartal &lt; 4</formula>
    </cfRule>
  </conditionalFormatting>
  <conditionalFormatting sqref="J80:K85">
    <cfRule type="expression" dxfId="292" priority="37">
      <formula>kvartal &lt; 4</formula>
    </cfRule>
  </conditionalFormatting>
  <conditionalFormatting sqref="J90:K95">
    <cfRule type="expression" dxfId="291" priority="34">
      <formula>kvartal &lt; 4</formula>
    </cfRule>
  </conditionalFormatting>
  <conditionalFormatting sqref="J101:K106">
    <cfRule type="expression" dxfId="290" priority="33">
      <formula>kvartal &lt; 4</formula>
    </cfRule>
  </conditionalFormatting>
  <conditionalFormatting sqref="J115:K115">
    <cfRule type="expression" dxfId="289" priority="32">
      <formula>kvartal &lt; 4</formula>
    </cfRule>
  </conditionalFormatting>
  <conditionalFormatting sqref="J123:K123">
    <cfRule type="expression" dxfId="288" priority="31">
      <formula>kvartal &lt; 4</formula>
    </cfRule>
  </conditionalFormatting>
  <conditionalFormatting sqref="A50:A52">
    <cfRule type="expression" dxfId="287" priority="12">
      <formula>kvartal &lt; 4</formula>
    </cfRule>
  </conditionalFormatting>
  <conditionalFormatting sqref="A69:A74">
    <cfRule type="expression" dxfId="286" priority="10">
      <formula>kvartal &lt; 4</formula>
    </cfRule>
  </conditionalFormatting>
  <conditionalFormatting sqref="A80:A85">
    <cfRule type="expression" dxfId="285" priority="9">
      <formula>kvartal &lt; 4</formula>
    </cfRule>
  </conditionalFormatting>
  <conditionalFormatting sqref="A90:A95">
    <cfRule type="expression" dxfId="284" priority="6">
      <formula>kvartal &lt; 4</formula>
    </cfRule>
  </conditionalFormatting>
  <conditionalFormatting sqref="A101:A106">
    <cfRule type="expression" dxfId="283" priority="5">
      <formula>kvartal &lt; 4</formula>
    </cfRule>
  </conditionalFormatting>
  <conditionalFormatting sqref="A115">
    <cfRule type="expression" dxfId="282" priority="4">
      <formula>kvartal &lt; 4</formula>
    </cfRule>
  </conditionalFormatting>
  <conditionalFormatting sqref="A123">
    <cfRule type="expression" dxfId="281" priority="3">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90" zoomScaleNormal="90" workbookViewId="0">
      <selection activeCell="A4" sqref="A4"/>
    </sheetView>
  </sheetViews>
  <sheetFormatPr baseColWidth="10" defaultColWidth="11.42578125" defaultRowHeight="18.75" x14ac:dyDescent="0.3"/>
  <cols>
    <col min="10" max="11" width="16.7109375" customWidth="1"/>
    <col min="12" max="12" width="20.7109375" style="74" customWidth="1"/>
    <col min="13" max="14" width="15.85546875" style="74" bestFit="1" customWidth="1"/>
    <col min="15" max="15" width="22.85546875" customWidth="1"/>
    <col min="16" max="16" width="13.42578125" customWidth="1"/>
    <col min="17" max="17" width="13.85546875" customWidth="1"/>
  </cols>
  <sheetData>
    <row r="1" spans="1:15" x14ac:dyDescent="0.3">
      <c r="A1" s="73" t="s">
        <v>52</v>
      </c>
    </row>
    <row r="2" spans="1:15" x14ac:dyDescent="0.3">
      <c r="A2" s="75"/>
      <c r="B2" s="74"/>
      <c r="C2" s="74"/>
      <c r="D2" s="74"/>
      <c r="E2" s="74"/>
      <c r="F2" s="74"/>
      <c r="G2" s="74"/>
      <c r="H2" s="74"/>
      <c r="I2" s="74"/>
      <c r="J2" s="74"/>
      <c r="K2" s="74"/>
      <c r="O2" s="74"/>
    </row>
    <row r="3" spans="1:15" x14ac:dyDescent="0.3">
      <c r="A3" s="75" t="s">
        <v>32</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
        <v>415</v>
      </c>
      <c r="B5" s="74"/>
      <c r="C5" s="74"/>
      <c r="D5" s="74"/>
      <c r="E5" s="74"/>
      <c r="F5" s="74"/>
      <c r="G5" s="74"/>
      <c r="H5" s="74"/>
      <c r="I5" s="79"/>
      <c r="J5" s="74"/>
      <c r="K5" s="74"/>
      <c r="O5" s="74"/>
    </row>
    <row r="6" spans="1:15" x14ac:dyDescent="0.3">
      <c r="A6" s="74"/>
      <c r="B6" s="74"/>
      <c r="C6" s="74"/>
      <c r="D6" s="74"/>
      <c r="E6" s="74"/>
      <c r="F6" s="74"/>
      <c r="G6" s="74"/>
      <c r="H6" s="74"/>
      <c r="I6" s="74"/>
      <c r="J6" s="74"/>
      <c r="K6" s="74"/>
      <c r="L6" s="74" t="s">
        <v>53</v>
      </c>
      <c r="O6" s="74"/>
    </row>
    <row r="7" spans="1:15" x14ac:dyDescent="0.3">
      <c r="A7" s="74"/>
      <c r="B7" s="74"/>
      <c r="C7" s="74"/>
      <c r="D7" s="74"/>
      <c r="E7" s="74"/>
      <c r="F7" s="74"/>
      <c r="G7" s="74"/>
      <c r="H7" s="74"/>
      <c r="I7" s="74"/>
      <c r="J7" s="74"/>
      <c r="K7" s="74"/>
      <c r="L7" s="74" t="s">
        <v>0</v>
      </c>
      <c r="O7" s="74"/>
    </row>
    <row r="8" spans="1:15" x14ac:dyDescent="0.3">
      <c r="A8" s="74"/>
      <c r="B8" s="74"/>
      <c r="C8" s="74"/>
      <c r="D8" s="74"/>
      <c r="E8" s="74"/>
      <c r="F8" s="74"/>
      <c r="G8" s="74"/>
      <c r="H8" s="74"/>
      <c r="I8" s="74"/>
      <c r="J8" s="74"/>
      <c r="K8" s="74"/>
      <c r="M8" s="74">
        <v>2017</v>
      </c>
      <c r="N8" s="74">
        <v>2018</v>
      </c>
      <c r="O8" s="74"/>
    </row>
    <row r="9" spans="1:15" x14ac:dyDescent="0.3">
      <c r="A9" s="74"/>
      <c r="B9" s="74"/>
      <c r="C9" s="74"/>
      <c r="D9" s="74"/>
      <c r="E9" s="74"/>
      <c r="F9" s="74"/>
      <c r="G9" s="74"/>
      <c r="H9" s="74"/>
      <c r="I9" s="74"/>
      <c r="J9" s="74"/>
      <c r="K9" s="74"/>
      <c r="L9" s="74" t="s">
        <v>54</v>
      </c>
      <c r="M9" s="77">
        <f>'Tabel 1.1'!B9</f>
        <v>0</v>
      </c>
      <c r="N9" s="77">
        <f>'Tabel 1.1'!C9</f>
        <v>0</v>
      </c>
      <c r="O9" s="74"/>
    </row>
    <row r="10" spans="1:15" x14ac:dyDescent="0.3">
      <c r="A10" s="74"/>
      <c r="B10" s="74"/>
      <c r="C10" s="74"/>
      <c r="D10" s="74"/>
      <c r="E10" s="74"/>
      <c r="F10" s="74"/>
      <c r="G10" s="74"/>
      <c r="H10" s="74"/>
      <c r="I10" s="74"/>
      <c r="J10" s="74"/>
      <c r="K10" s="74"/>
      <c r="L10" s="74" t="s">
        <v>55</v>
      </c>
      <c r="M10" s="77">
        <f>'Tabel 1.1'!B10</f>
        <v>296945.32299999997</v>
      </c>
      <c r="N10" s="77">
        <f>'Tabel 1.1'!C10</f>
        <v>311903.85599999997</v>
      </c>
      <c r="O10" s="74"/>
    </row>
    <row r="11" spans="1:15" x14ac:dyDescent="0.3">
      <c r="A11" s="74"/>
      <c r="B11" s="74"/>
      <c r="C11" s="74"/>
      <c r="D11" s="74"/>
      <c r="E11" s="74"/>
      <c r="F11" s="74"/>
      <c r="G11" s="74"/>
      <c r="H11" s="74"/>
      <c r="I11" s="74"/>
      <c r="J11" s="74"/>
      <c r="K11" s="74"/>
      <c r="L11" s="74" t="s">
        <v>56</v>
      </c>
      <c r="M11" s="77">
        <f>'Tabel 1.1'!B11</f>
        <v>4014341.2930000001</v>
      </c>
      <c r="N11" s="77">
        <f>'Tabel 1.1'!C11</f>
        <v>3693482</v>
      </c>
      <c r="O11" s="74"/>
    </row>
    <row r="12" spans="1:15" x14ac:dyDescent="0.3">
      <c r="A12" s="74"/>
      <c r="B12" s="74"/>
      <c r="C12" s="74"/>
      <c r="D12" s="74"/>
      <c r="E12" s="74"/>
      <c r="F12" s="74"/>
      <c r="G12" s="74"/>
      <c r="H12" s="74"/>
      <c r="I12" s="74"/>
      <c r="J12" s="74"/>
      <c r="K12" s="74"/>
      <c r="L12" s="74" t="s">
        <v>57</v>
      </c>
      <c r="M12" s="77">
        <f>'Tabel 1.1'!B12</f>
        <v>210802</v>
      </c>
      <c r="N12" s="77">
        <f>'Tabel 1.1'!C12</f>
        <v>228170</v>
      </c>
      <c r="O12" s="74"/>
    </row>
    <row r="13" spans="1:15" x14ac:dyDescent="0.3">
      <c r="A13" s="74"/>
      <c r="B13" s="74"/>
      <c r="C13" s="74"/>
      <c r="D13" s="74"/>
      <c r="E13" s="74"/>
      <c r="F13" s="74"/>
      <c r="G13" s="74"/>
      <c r="H13" s="74"/>
      <c r="I13" s="74"/>
      <c r="J13" s="74"/>
      <c r="K13" s="74"/>
      <c r="L13" s="74" t="s">
        <v>58</v>
      </c>
      <c r="M13" s="77">
        <f>'Tabel 1.1'!B13</f>
        <v>437712.8</v>
      </c>
      <c r="N13" s="77">
        <f>'Tabel 1.1'!C13</f>
        <v>463177</v>
      </c>
      <c r="O13" s="74"/>
    </row>
    <row r="14" spans="1:15" x14ac:dyDescent="0.3">
      <c r="A14" s="74"/>
      <c r="B14" s="74"/>
      <c r="C14" s="74"/>
      <c r="D14" s="74"/>
      <c r="E14" s="74"/>
      <c r="F14" s="74"/>
      <c r="G14" s="74"/>
      <c r="H14" s="74"/>
      <c r="I14" s="74"/>
      <c r="J14" s="74"/>
      <c r="K14" s="74"/>
      <c r="L14" s="74" t="s">
        <v>59</v>
      </c>
      <c r="M14" s="77">
        <f>'Tabel 1.1'!B14</f>
        <v>5631</v>
      </c>
      <c r="N14" s="77">
        <f>'Tabel 1.1'!C14</f>
        <v>6101</v>
      </c>
      <c r="O14" s="74"/>
    </row>
    <row r="15" spans="1:15" x14ac:dyDescent="0.3">
      <c r="A15" s="74"/>
      <c r="B15" s="74"/>
      <c r="C15" s="74"/>
      <c r="D15" s="74"/>
      <c r="E15" s="74"/>
      <c r="F15" s="74"/>
      <c r="G15" s="74"/>
      <c r="H15" s="74"/>
      <c r="I15" s="74"/>
      <c r="J15" s="74"/>
      <c r="K15" s="74"/>
      <c r="L15" s="74" t="s">
        <v>60</v>
      </c>
      <c r="M15" s="77">
        <f>'Tabel 1.1'!B15</f>
        <v>1345481</v>
      </c>
      <c r="N15" s="77">
        <f>'Tabel 1.1'!C15</f>
        <v>1376815</v>
      </c>
      <c r="O15" s="74"/>
    </row>
    <row r="16" spans="1:15" x14ac:dyDescent="0.3">
      <c r="A16" s="74"/>
      <c r="B16" s="74"/>
      <c r="C16" s="74"/>
      <c r="D16" s="74"/>
      <c r="E16" s="74"/>
      <c r="F16" s="74"/>
      <c r="G16" s="74"/>
      <c r="H16" s="74"/>
      <c r="I16" s="74"/>
      <c r="J16" s="74"/>
      <c r="K16" s="74"/>
      <c r="L16" s="74" t="s">
        <v>61</v>
      </c>
      <c r="M16" s="77">
        <f>'Tabel 1.1'!B16</f>
        <v>397649.359</v>
      </c>
      <c r="N16" s="77">
        <f>'Tabel 1.1'!C16</f>
        <v>448350</v>
      </c>
      <c r="O16" s="74"/>
    </row>
    <row r="17" spans="1:15" x14ac:dyDescent="0.3">
      <c r="A17" s="74"/>
      <c r="B17" s="74"/>
      <c r="C17" s="74"/>
      <c r="D17" s="74"/>
      <c r="E17" s="74"/>
      <c r="F17" s="74"/>
      <c r="G17" s="74"/>
      <c r="H17" s="74"/>
      <c r="I17" s="74"/>
      <c r="J17" s="74"/>
      <c r="K17" s="74"/>
      <c r="L17" s="74" t="s">
        <v>62</v>
      </c>
      <c r="M17" s="77">
        <f>'Tabel 1.1'!B17</f>
        <v>28772</v>
      </c>
      <c r="N17" s="77">
        <f>'Tabel 1.1'!C17</f>
        <v>27672</v>
      </c>
      <c r="O17" s="74"/>
    </row>
    <row r="18" spans="1:15" x14ac:dyDescent="0.3">
      <c r="A18" s="74"/>
      <c r="B18" s="74"/>
      <c r="C18" s="74"/>
      <c r="D18" s="74"/>
      <c r="E18" s="74"/>
      <c r="F18" s="74"/>
      <c r="G18" s="74"/>
      <c r="H18" s="74"/>
      <c r="I18" s="74"/>
      <c r="J18" s="74"/>
      <c r="K18" s="74"/>
      <c r="L18" s="74" t="s">
        <v>63</v>
      </c>
      <c r="M18" s="77">
        <f>'Tabel 1.1'!B18</f>
        <v>349378.46600000001</v>
      </c>
      <c r="N18" s="77">
        <f>'Tabel 1.1'!C18</f>
        <v>354933.20600000001</v>
      </c>
      <c r="O18" s="74"/>
    </row>
    <row r="19" spans="1:15" x14ac:dyDescent="0.3">
      <c r="A19" s="74"/>
      <c r="B19" s="74"/>
      <c r="C19" s="74"/>
      <c r="D19" s="74"/>
      <c r="E19" s="74"/>
      <c r="F19" s="74"/>
      <c r="G19" s="74"/>
      <c r="H19" s="74"/>
      <c r="I19" s="74"/>
      <c r="J19" s="74"/>
      <c r="K19" s="74"/>
      <c r="L19" s="74" t="s">
        <v>64</v>
      </c>
      <c r="M19" s="77">
        <f>'Tabel 1.1'!B19</f>
        <v>23695892.482170001</v>
      </c>
      <c r="N19" s="77">
        <f>'Tabel 1.1'!C19</f>
        <v>31138078.29101</v>
      </c>
      <c r="O19" s="74"/>
    </row>
    <row r="20" spans="1:15" x14ac:dyDescent="0.3">
      <c r="A20" s="74"/>
      <c r="B20" s="74"/>
      <c r="C20" s="74"/>
      <c r="D20" s="74"/>
      <c r="E20" s="74"/>
      <c r="F20" s="74"/>
      <c r="G20" s="74"/>
      <c r="H20" s="74"/>
      <c r="I20" s="74"/>
      <c r="J20" s="74"/>
      <c r="K20" s="74"/>
      <c r="L20" s="74" t="s">
        <v>65</v>
      </c>
      <c r="M20" s="77">
        <f>'Tabel 1.1'!B20</f>
        <v>61324</v>
      </c>
      <c r="N20" s="77">
        <f>'Tabel 1.1'!C20</f>
        <v>66367</v>
      </c>
      <c r="O20" s="74"/>
    </row>
    <row r="21" spans="1:15" x14ac:dyDescent="0.3">
      <c r="A21" s="74"/>
      <c r="B21" s="74"/>
      <c r="C21" s="74"/>
      <c r="D21" s="74"/>
      <c r="E21" s="74"/>
      <c r="F21" s="74"/>
      <c r="G21" s="74"/>
      <c r="H21" s="74"/>
      <c r="I21" s="74"/>
      <c r="J21" s="74"/>
      <c r="K21" s="74"/>
      <c r="L21" s="74" t="s">
        <v>66</v>
      </c>
      <c r="M21" s="77">
        <f>'Tabel 1.1'!B21</f>
        <v>138577.38699999999</v>
      </c>
      <c r="N21" s="77">
        <f>'Tabel 1.1'!C21</f>
        <v>126445.98299999999</v>
      </c>
      <c r="O21" s="74"/>
    </row>
    <row r="22" spans="1:15" x14ac:dyDescent="0.3">
      <c r="A22" s="74"/>
      <c r="B22" s="74"/>
      <c r="C22" s="74"/>
      <c r="D22" s="74"/>
      <c r="E22" s="74"/>
      <c r="F22" s="74"/>
      <c r="G22" s="74"/>
      <c r="H22" s="74"/>
      <c r="I22" s="74"/>
      <c r="J22" s="74"/>
      <c r="K22" s="74"/>
      <c r="L22" s="74" t="s">
        <v>67</v>
      </c>
      <c r="M22" s="77">
        <f>'Tabel 1.1'!B22</f>
        <v>24813</v>
      </c>
      <c r="N22" s="77">
        <f>'Tabel 1.1'!C22</f>
        <v>24377</v>
      </c>
      <c r="O22" s="74"/>
    </row>
    <row r="23" spans="1:15" x14ac:dyDescent="0.3">
      <c r="A23" s="74"/>
      <c r="B23" s="74"/>
      <c r="C23" s="74"/>
      <c r="D23" s="74"/>
      <c r="E23" s="74"/>
      <c r="F23" s="74"/>
      <c r="G23" s="74"/>
      <c r="H23" s="74"/>
      <c r="I23" s="74"/>
      <c r="J23" s="74"/>
      <c r="K23" s="74"/>
      <c r="L23" s="74" t="s">
        <v>68</v>
      </c>
      <c r="M23" s="77">
        <f>'Tabel 1.1'!B23</f>
        <v>2011</v>
      </c>
      <c r="N23" s="77">
        <f>'Tabel 1.1'!C23</f>
        <v>1079</v>
      </c>
      <c r="O23" s="74"/>
    </row>
    <row r="24" spans="1:15" x14ac:dyDescent="0.3">
      <c r="A24" s="74"/>
      <c r="B24" s="74"/>
      <c r="C24" s="74"/>
      <c r="D24" s="74"/>
      <c r="E24" s="74"/>
      <c r="F24" s="74"/>
      <c r="G24" s="74"/>
      <c r="H24" s="74"/>
      <c r="I24" s="74"/>
      <c r="J24" s="74"/>
      <c r="K24" s="74"/>
      <c r="L24" s="74" t="s">
        <v>69</v>
      </c>
      <c r="M24" s="77">
        <f>'Tabel 1.1'!B24</f>
        <v>1392867.1153005019</v>
      </c>
      <c r="N24" s="77">
        <f>'Tabel 1.1'!C24</f>
        <v>1223827.0734030721</v>
      </c>
      <c r="O24" s="74"/>
    </row>
    <row r="25" spans="1:15" x14ac:dyDescent="0.3">
      <c r="A25" s="74"/>
      <c r="B25" s="74"/>
      <c r="C25" s="74"/>
      <c r="D25" s="74"/>
      <c r="E25" s="74"/>
      <c r="F25" s="74"/>
      <c r="G25" s="74"/>
      <c r="H25" s="74"/>
      <c r="I25" s="74"/>
      <c r="J25" s="74"/>
      <c r="K25" s="74"/>
      <c r="L25" s="74" t="s">
        <v>70</v>
      </c>
      <c r="M25" s="77">
        <f>'Tabel 1.1'!B25</f>
        <v>3152879</v>
      </c>
      <c r="N25" s="77">
        <f>'Tabel 1.1'!C25</f>
        <v>4003368.5150000001</v>
      </c>
      <c r="O25" s="74"/>
    </row>
    <row r="26" spans="1:15" s="141" customFormat="1" x14ac:dyDescent="0.3">
      <c r="A26" s="74"/>
      <c r="B26" s="74"/>
      <c r="C26" s="74"/>
      <c r="D26" s="74"/>
      <c r="E26" s="74"/>
      <c r="F26" s="74"/>
      <c r="G26" s="74"/>
      <c r="H26" s="74"/>
      <c r="I26" s="74"/>
      <c r="J26" s="74"/>
      <c r="K26" s="74"/>
      <c r="L26" s="74" t="s">
        <v>407</v>
      </c>
      <c r="M26" s="77">
        <f>'Tabel 1.1'!B26</f>
        <v>0</v>
      </c>
      <c r="N26" s="77">
        <f>'Tabel 1.1'!C26</f>
        <v>299297.71739252901</v>
      </c>
      <c r="O26" s="74"/>
    </row>
    <row r="27" spans="1:15" x14ac:dyDescent="0.3">
      <c r="A27" s="74"/>
      <c r="B27" s="74"/>
      <c r="C27" s="74"/>
      <c r="D27" s="74"/>
      <c r="E27" s="74"/>
      <c r="F27" s="74"/>
      <c r="G27" s="74"/>
      <c r="H27" s="74"/>
      <c r="I27" s="74"/>
      <c r="J27" s="74"/>
      <c r="K27" s="74"/>
      <c r="L27" s="74" t="s">
        <v>71</v>
      </c>
      <c r="M27" s="77">
        <f>'Tabel 1.1'!B27</f>
        <v>2146555.9024900002</v>
      </c>
      <c r="N27" s="77">
        <f>'Tabel 1.1'!C27</f>
        <v>2103059.9592800001</v>
      </c>
      <c r="O27" s="74"/>
    </row>
    <row r="28" spans="1:15" x14ac:dyDescent="0.3">
      <c r="A28" s="74"/>
      <c r="B28" s="74"/>
      <c r="C28" s="74"/>
      <c r="D28" s="74"/>
      <c r="E28" s="74"/>
      <c r="F28" s="74"/>
      <c r="G28" s="74"/>
      <c r="H28" s="74"/>
      <c r="I28" s="74"/>
      <c r="J28" s="74"/>
      <c r="K28" s="74"/>
      <c r="L28" s="74" t="s">
        <v>72</v>
      </c>
      <c r="M28" s="77">
        <f>'Tabel 1.1'!B28</f>
        <v>4796050.1289999997</v>
      </c>
      <c r="N28" s="77">
        <f>'Tabel 1.1'!C28</f>
        <v>4517436.4090000009</v>
      </c>
    </row>
    <row r="29" spans="1:15" x14ac:dyDescent="0.3">
      <c r="A29" s="74"/>
      <c r="B29" s="74"/>
      <c r="C29" s="74"/>
      <c r="D29" s="74"/>
      <c r="E29" s="74"/>
      <c r="F29" s="74"/>
      <c r="G29" s="74"/>
      <c r="H29" s="74"/>
      <c r="I29" s="74"/>
      <c r="J29" s="74"/>
      <c r="K29" s="74"/>
      <c r="L29" s="74" t="s">
        <v>73</v>
      </c>
      <c r="M29" s="77">
        <f>'Tabel 1.1'!B29</f>
        <v>23751</v>
      </c>
      <c r="N29" s="77">
        <f>'Tabel 1.1'!C29</f>
        <v>20446</v>
      </c>
    </row>
    <row r="30" spans="1:15" x14ac:dyDescent="0.3">
      <c r="A30" s="74"/>
      <c r="B30" s="74"/>
      <c r="C30" s="74"/>
      <c r="D30" s="74"/>
      <c r="E30" s="74"/>
      <c r="F30" s="74"/>
      <c r="G30" s="74"/>
      <c r="H30" s="74"/>
      <c r="I30" s="74"/>
      <c r="J30" s="74"/>
      <c r="K30" s="74"/>
      <c r="L30" s="74" t="s">
        <v>74</v>
      </c>
      <c r="M30" s="77">
        <f>'Tabel 1.1'!B30</f>
        <v>487718.42099999997</v>
      </c>
      <c r="N30" s="77">
        <f>'Tabel 1.1'!C30</f>
        <v>494563</v>
      </c>
    </row>
    <row r="31" spans="1:15" x14ac:dyDescent="0.3">
      <c r="A31" s="75" t="s">
        <v>416</v>
      </c>
      <c r="B31" s="74"/>
      <c r="C31" s="74"/>
      <c r="D31" s="74"/>
      <c r="E31" s="74"/>
      <c r="F31" s="74"/>
      <c r="G31" s="74"/>
      <c r="H31" s="74"/>
      <c r="I31" s="79"/>
      <c r="J31" s="74"/>
      <c r="K31" s="74"/>
    </row>
    <row r="32" spans="1:15" x14ac:dyDescent="0.3">
      <c r="B32" s="74"/>
      <c r="C32" s="74"/>
      <c r="D32" s="74"/>
      <c r="E32" s="74"/>
      <c r="F32" s="74"/>
      <c r="G32" s="74"/>
      <c r="H32" s="74"/>
      <c r="I32" s="74"/>
      <c r="J32" s="74"/>
      <c r="K32" s="74"/>
    </row>
    <row r="33" spans="1:15" x14ac:dyDescent="0.3">
      <c r="B33" s="74"/>
      <c r="C33" s="74"/>
      <c r="D33" s="74"/>
      <c r="E33" s="74"/>
      <c r="F33" s="74"/>
      <c r="G33" s="74"/>
      <c r="H33" s="74"/>
      <c r="I33" s="74"/>
      <c r="J33" s="74"/>
      <c r="K33" s="74"/>
    </row>
    <row r="34" spans="1:15" x14ac:dyDescent="0.3">
      <c r="A34" s="74"/>
      <c r="B34" s="74"/>
      <c r="C34" s="74"/>
      <c r="D34" s="74"/>
      <c r="E34" s="74"/>
      <c r="F34" s="74"/>
      <c r="G34" s="74"/>
      <c r="H34" s="74"/>
      <c r="I34" s="74"/>
      <c r="J34" s="74"/>
      <c r="K34" s="74"/>
      <c r="L34" s="74" t="s">
        <v>53</v>
      </c>
    </row>
    <row r="35" spans="1:15" x14ac:dyDescent="0.3">
      <c r="A35" s="74"/>
      <c r="B35" s="74"/>
      <c r="C35" s="74"/>
      <c r="D35" s="74"/>
      <c r="E35" s="74"/>
      <c r="F35" s="74"/>
      <c r="G35" s="74"/>
      <c r="H35" s="74"/>
      <c r="I35" s="74"/>
      <c r="J35" s="74"/>
      <c r="K35" s="74"/>
      <c r="L35" s="74" t="s">
        <v>1</v>
      </c>
    </row>
    <row r="36" spans="1:15" x14ac:dyDescent="0.3">
      <c r="A36" s="74"/>
      <c r="B36" s="74"/>
      <c r="C36" s="74"/>
      <c r="D36" s="74"/>
      <c r="E36" s="74"/>
      <c r="F36" s="74"/>
      <c r="G36" s="74"/>
      <c r="H36" s="74"/>
      <c r="I36" s="74"/>
      <c r="J36" s="74"/>
      <c r="K36" s="74"/>
      <c r="M36" s="74">
        <v>2017</v>
      </c>
      <c r="N36" s="74">
        <v>2018</v>
      </c>
    </row>
    <row r="37" spans="1:15" x14ac:dyDescent="0.3">
      <c r="A37" s="74"/>
      <c r="B37" s="74"/>
      <c r="C37" s="74"/>
      <c r="D37" s="74"/>
      <c r="E37" s="74"/>
      <c r="F37" s="74"/>
      <c r="G37" s="74"/>
      <c r="H37" s="74"/>
      <c r="I37" s="74"/>
      <c r="J37" s="74"/>
      <c r="K37" s="74"/>
      <c r="L37" s="79" t="s">
        <v>55</v>
      </c>
      <c r="M37" s="78">
        <f>'Tabel 1.1'!B34</f>
        <v>1286598.7120000001</v>
      </c>
      <c r="N37" s="78">
        <f>'Tabel 1.1'!C34</f>
        <v>1378607.102</v>
      </c>
    </row>
    <row r="38" spans="1:15" x14ac:dyDescent="0.3">
      <c r="A38" s="74"/>
      <c r="B38" s="74"/>
      <c r="C38" s="74"/>
      <c r="D38" s="74"/>
      <c r="E38" s="74"/>
      <c r="F38" s="74"/>
      <c r="G38" s="74"/>
      <c r="H38" s="74"/>
      <c r="I38" s="74"/>
      <c r="J38" s="74"/>
      <c r="K38" s="74"/>
      <c r="L38" s="74" t="s">
        <v>56</v>
      </c>
      <c r="M38" s="78">
        <f>'Tabel 1.1'!B35</f>
        <v>6258891</v>
      </c>
      <c r="N38" s="78">
        <f>'Tabel 1.1'!C35</f>
        <v>6459699</v>
      </c>
    </row>
    <row r="39" spans="1:15" x14ac:dyDescent="0.3">
      <c r="A39" s="74"/>
      <c r="B39" s="74"/>
      <c r="C39" s="74"/>
      <c r="D39" s="74"/>
      <c r="E39" s="74"/>
      <c r="F39" s="74"/>
      <c r="G39" s="74"/>
      <c r="H39" s="74"/>
      <c r="I39" s="74"/>
      <c r="J39" s="74"/>
      <c r="K39" s="74"/>
      <c r="L39" s="74" t="s">
        <v>58</v>
      </c>
      <c r="M39" s="78">
        <f>'Tabel 1.1'!B36</f>
        <v>255316</v>
      </c>
      <c r="N39" s="78">
        <f>'Tabel 1.1'!C36</f>
        <v>272300</v>
      </c>
    </row>
    <row r="40" spans="1:15" x14ac:dyDescent="0.3">
      <c r="A40" s="74"/>
      <c r="B40" s="74"/>
      <c r="C40" s="74"/>
      <c r="D40" s="74"/>
      <c r="E40" s="74"/>
      <c r="F40" s="74"/>
      <c r="G40" s="74"/>
      <c r="H40" s="74"/>
      <c r="I40" s="74"/>
      <c r="J40" s="74"/>
      <c r="K40" s="74"/>
      <c r="L40" s="79" t="s">
        <v>61</v>
      </c>
      <c r="M40" s="78">
        <f>'Tabel 1.1'!B37</f>
        <v>1851333.284</v>
      </c>
      <c r="N40" s="78">
        <f>'Tabel 1.1'!C37</f>
        <v>2075074</v>
      </c>
    </row>
    <row r="41" spans="1:15" x14ac:dyDescent="0.3">
      <c r="A41" s="74"/>
      <c r="B41" s="74"/>
      <c r="C41" s="74"/>
      <c r="D41" s="74"/>
      <c r="E41" s="74"/>
      <c r="F41" s="74"/>
      <c r="G41" s="74"/>
      <c r="H41" s="74"/>
      <c r="I41" s="74"/>
      <c r="J41" s="74"/>
      <c r="K41" s="74"/>
      <c r="L41" s="74" t="s">
        <v>64</v>
      </c>
      <c r="M41" s="78">
        <f>'Tabel 1.1'!B38</f>
        <v>84881.887000000002</v>
      </c>
      <c r="N41" s="78">
        <f>'Tabel 1.1'!C38</f>
        <v>116827.63</v>
      </c>
      <c r="O41" s="74"/>
    </row>
    <row r="42" spans="1:15" x14ac:dyDescent="0.3">
      <c r="A42" s="74"/>
      <c r="B42" s="74"/>
      <c r="C42" s="74"/>
      <c r="D42" s="74"/>
      <c r="E42" s="74"/>
      <c r="F42" s="74"/>
      <c r="G42" s="74"/>
      <c r="H42" s="74"/>
      <c r="I42" s="74"/>
      <c r="J42" s="74"/>
      <c r="K42" s="74"/>
      <c r="L42" s="79" t="s">
        <v>65</v>
      </c>
      <c r="M42" s="78">
        <f>'Tabel 1.1'!B39</f>
        <v>262322</v>
      </c>
      <c r="N42" s="78">
        <f>'Tabel 1.1'!C39</f>
        <v>315306</v>
      </c>
      <c r="O42" s="74"/>
    </row>
    <row r="43" spans="1:15" x14ac:dyDescent="0.3">
      <c r="A43" s="74"/>
      <c r="B43" s="74"/>
      <c r="C43" s="74"/>
      <c r="D43" s="74"/>
      <c r="E43" s="74"/>
      <c r="F43" s="74"/>
      <c r="G43" s="74"/>
      <c r="H43" s="74"/>
      <c r="I43" s="74"/>
      <c r="J43" s="74"/>
      <c r="K43" s="74"/>
      <c r="L43" s="79" t="s">
        <v>69</v>
      </c>
      <c r="M43" s="78">
        <f>'Tabel 1.1'!B40</f>
        <v>6592823.6751499996</v>
      </c>
      <c r="N43" s="78">
        <f>'Tabel 1.1'!C40</f>
        <v>6126379.0115300007</v>
      </c>
      <c r="O43" s="74"/>
    </row>
    <row r="44" spans="1:15" x14ac:dyDescent="0.3">
      <c r="A44" s="74"/>
      <c r="B44" s="74"/>
      <c r="C44" s="74"/>
      <c r="D44" s="74"/>
      <c r="E44" s="74"/>
      <c r="F44" s="74"/>
      <c r="G44" s="74"/>
      <c r="H44" s="74"/>
      <c r="I44" s="74"/>
      <c r="J44" s="74"/>
      <c r="K44" s="74"/>
      <c r="L44" s="79" t="s">
        <v>75</v>
      </c>
      <c r="M44" s="78">
        <f>'Tabel 1.1'!B41</f>
        <v>84302</v>
      </c>
      <c r="N44" s="78">
        <f>'Tabel 1.1'!C41</f>
        <v>108843</v>
      </c>
      <c r="O44" s="74"/>
    </row>
    <row r="45" spans="1:15" x14ac:dyDescent="0.3">
      <c r="A45" s="74"/>
      <c r="B45" s="74"/>
      <c r="C45" s="74"/>
      <c r="D45" s="74"/>
      <c r="E45" s="74"/>
      <c r="F45" s="74"/>
      <c r="G45" s="74"/>
      <c r="H45" s="74"/>
      <c r="I45" s="74"/>
      <c r="J45" s="74"/>
      <c r="K45" s="74"/>
      <c r="L45" s="79" t="s">
        <v>71</v>
      </c>
      <c r="M45" s="78">
        <f>'Tabel 1.1'!B42</f>
        <v>2157471.7934900001</v>
      </c>
      <c r="N45" s="78">
        <f>'Tabel 1.1'!C42</f>
        <v>2837915.8733999999</v>
      </c>
      <c r="O45" s="74"/>
    </row>
    <row r="46" spans="1:15" x14ac:dyDescent="0.3">
      <c r="A46" s="74"/>
      <c r="B46" s="74"/>
      <c r="C46" s="74"/>
      <c r="D46" s="74"/>
      <c r="E46" s="74"/>
      <c r="F46" s="74"/>
      <c r="G46" s="74"/>
      <c r="H46" s="74"/>
      <c r="I46" s="74"/>
      <c r="J46" s="74"/>
      <c r="K46" s="74"/>
      <c r="L46" s="79" t="s">
        <v>76</v>
      </c>
      <c r="M46" s="78">
        <f>'Tabel 1.1'!B43</f>
        <v>7537662.6210000012</v>
      </c>
      <c r="N46" s="78">
        <f>'Tabel 1.1'!C43</f>
        <v>8177309.6540000001</v>
      </c>
      <c r="O46" s="74"/>
    </row>
    <row r="47" spans="1:15" x14ac:dyDescent="0.3">
      <c r="A47" s="74"/>
      <c r="B47" s="74"/>
      <c r="C47" s="74"/>
      <c r="D47" s="74"/>
      <c r="E47" s="74"/>
      <c r="F47" s="74"/>
      <c r="G47" s="74"/>
      <c r="H47" s="74"/>
      <c r="I47" s="74"/>
      <c r="J47" s="74"/>
      <c r="K47" s="74"/>
      <c r="L47" s="79"/>
      <c r="M47" s="78"/>
      <c r="N47" s="78"/>
      <c r="O47" s="74"/>
    </row>
    <row r="48" spans="1:15" x14ac:dyDescent="0.3">
      <c r="A48" s="74"/>
      <c r="B48" s="74"/>
      <c r="C48" s="74"/>
      <c r="D48" s="74"/>
      <c r="E48" s="74"/>
      <c r="F48" s="74"/>
      <c r="G48" s="74"/>
      <c r="H48" s="74"/>
      <c r="I48" s="74"/>
      <c r="J48" s="74"/>
      <c r="K48" s="74"/>
      <c r="M48" s="77"/>
      <c r="N48" s="77"/>
      <c r="O48" s="74"/>
    </row>
    <row r="49" spans="1:15" x14ac:dyDescent="0.3">
      <c r="A49" s="74"/>
      <c r="B49" s="74"/>
      <c r="C49" s="74"/>
      <c r="D49" s="74"/>
      <c r="E49" s="74"/>
      <c r="F49" s="74"/>
      <c r="G49" s="74"/>
      <c r="H49" s="74"/>
      <c r="I49" s="74"/>
      <c r="J49" s="74"/>
      <c r="K49" s="74"/>
      <c r="M49" s="77"/>
      <c r="N49" s="77"/>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M51" s="77"/>
      <c r="N51" s="77"/>
      <c r="O51" s="74"/>
    </row>
    <row r="52" spans="1:15" x14ac:dyDescent="0.3">
      <c r="A52" s="74"/>
      <c r="B52" s="74"/>
      <c r="C52" s="74"/>
      <c r="D52" s="74"/>
      <c r="E52" s="74"/>
      <c r="F52" s="74"/>
      <c r="G52" s="74"/>
      <c r="H52" s="74"/>
      <c r="I52" s="74"/>
      <c r="J52" s="74"/>
      <c r="K52" s="74"/>
      <c r="O52" s="74"/>
    </row>
    <row r="53" spans="1:15" x14ac:dyDescent="0.3">
      <c r="A53" s="74"/>
      <c r="B53" s="74"/>
      <c r="C53" s="74"/>
      <c r="D53" s="74"/>
      <c r="E53" s="74"/>
      <c r="F53" s="74"/>
      <c r="G53" s="74"/>
      <c r="H53" s="74"/>
      <c r="I53" s="74"/>
      <c r="J53" s="74"/>
      <c r="K53" s="74"/>
      <c r="O53" s="74"/>
    </row>
    <row r="54" spans="1:15" x14ac:dyDescent="0.3">
      <c r="A54" s="74"/>
      <c r="B54" s="74"/>
      <c r="C54" s="74"/>
      <c r="D54" s="74"/>
      <c r="E54" s="74"/>
      <c r="F54" s="74"/>
      <c r="G54" s="74"/>
      <c r="H54" s="74"/>
      <c r="I54" s="74"/>
      <c r="J54" s="74"/>
      <c r="K54" s="74"/>
      <c r="O54" s="74"/>
    </row>
    <row r="55" spans="1:15" x14ac:dyDescent="0.3">
      <c r="A55" s="74"/>
      <c r="B55" s="74"/>
      <c r="C55" s="74"/>
      <c r="D55" s="74"/>
      <c r="E55" s="74"/>
      <c r="F55" s="74"/>
      <c r="G55" s="74"/>
      <c r="H55" s="74"/>
      <c r="I55" s="74"/>
      <c r="J55" s="74"/>
      <c r="K55" s="74"/>
      <c r="O55" s="74"/>
    </row>
    <row r="56" spans="1:15" x14ac:dyDescent="0.3">
      <c r="A56" s="75" t="s">
        <v>417</v>
      </c>
      <c r="B56" s="74"/>
      <c r="C56" s="74"/>
      <c r="D56" s="74"/>
      <c r="E56" s="74"/>
      <c r="F56" s="74"/>
      <c r="G56" s="74"/>
      <c r="H56" s="74"/>
      <c r="I56" s="79"/>
      <c r="J56" s="74"/>
      <c r="K56" s="74"/>
      <c r="O56" s="74"/>
    </row>
    <row r="57" spans="1:15" x14ac:dyDescent="0.3">
      <c r="A57" s="74"/>
      <c r="B57" s="74"/>
      <c r="C57" s="74"/>
      <c r="D57" s="74"/>
      <c r="E57" s="74"/>
      <c r="F57" s="74"/>
      <c r="G57" s="74"/>
      <c r="H57" s="74"/>
      <c r="I57" s="74"/>
      <c r="J57" s="74"/>
      <c r="K57" s="74"/>
      <c r="L57" s="74" t="s">
        <v>77</v>
      </c>
      <c r="O57" s="74"/>
    </row>
    <row r="58" spans="1:15" x14ac:dyDescent="0.3">
      <c r="A58" s="74"/>
      <c r="B58" s="74"/>
      <c r="C58" s="74"/>
      <c r="D58" s="74"/>
      <c r="E58" s="74"/>
      <c r="F58" s="74"/>
      <c r="G58" s="74"/>
      <c r="H58" s="74"/>
      <c r="I58" s="74"/>
      <c r="J58" s="74"/>
      <c r="K58" s="74"/>
      <c r="L58" s="74" t="s">
        <v>0</v>
      </c>
      <c r="O58" s="74"/>
    </row>
    <row r="59" spans="1:15" x14ac:dyDescent="0.3">
      <c r="A59" s="74"/>
      <c r="B59" s="74"/>
      <c r="C59" s="74"/>
      <c r="D59" s="74"/>
      <c r="E59" s="74"/>
      <c r="F59" s="74"/>
      <c r="G59" s="74"/>
      <c r="H59" s="74"/>
      <c r="I59" s="74"/>
      <c r="J59" s="74"/>
      <c r="K59" s="74"/>
      <c r="M59" s="74">
        <v>2017</v>
      </c>
      <c r="N59" s="74">
        <v>2018</v>
      </c>
      <c r="O59" s="74"/>
    </row>
    <row r="60" spans="1:15" x14ac:dyDescent="0.3">
      <c r="A60" s="74"/>
      <c r="B60" s="74"/>
      <c r="C60" s="74"/>
      <c r="D60" s="74"/>
      <c r="E60" s="74"/>
      <c r="F60" s="74"/>
      <c r="G60" s="74"/>
      <c r="H60" s="74"/>
      <c r="I60" s="74"/>
      <c r="J60" s="74"/>
      <c r="K60" s="74"/>
      <c r="L60" s="74" t="s">
        <v>55</v>
      </c>
      <c r="M60" s="77">
        <f>'Tabel 1.1'!G10</f>
        <v>1007145.416</v>
      </c>
      <c r="N60" s="77">
        <f>'Tabel 1.1'!H10</f>
        <v>1087595.622</v>
      </c>
      <c r="O60" s="74"/>
    </row>
    <row r="61" spans="1:15" x14ac:dyDescent="0.3">
      <c r="A61" s="74"/>
      <c r="B61" s="74"/>
      <c r="C61" s="74"/>
      <c r="D61" s="74"/>
      <c r="E61" s="74"/>
      <c r="F61" s="74"/>
      <c r="G61" s="74"/>
      <c r="H61" s="74"/>
      <c r="I61" s="74"/>
      <c r="J61" s="74"/>
      <c r="K61" s="74"/>
      <c r="L61" s="74" t="s">
        <v>56</v>
      </c>
      <c r="M61" s="77">
        <f>'Tabel 1.1'!G11</f>
        <v>203732853</v>
      </c>
      <c r="N61" s="77">
        <f>'Tabel 1.1'!H11</f>
        <v>201016641</v>
      </c>
      <c r="O61" s="74"/>
    </row>
    <row r="62" spans="1:15" x14ac:dyDescent="0.3">
      <c r="A62" s="74"/>
      <c r="B62" s="74"/>
      <c r="C62" s="74"/>
      <c r="D62" s="74"/>
      <c r="E62" s="74"/>
      <c r="F62" s="74"/>
      <c r="G62" s="74"/>
      <c r="H62" s="74"/>
      <c r="I62" s="74"/>
      <c r="J62" s="74"/>
      <c r="K62" s="74"/>
      <c r="L62" s="74" t="s">
        <v>57</v>
      </c>
      <c r="M62" s="77">
        <f>'Tabel 1.1'!G12</f>
        <v>0</v>
      </c>
      <c r="N62" s="77">
        <f>'Tabel 1.1'!H12</f>
        <v>0</v>
      </c>
      <c r="O62" s="74"/>
    </row>
    <row r="63" spans="1:15" x14ac:dyDescent="0.3">
      <c r="A63" s="74"/>
      <c r="B63" s="74"/>
      <c r="C63" s="74"/>
      <c r="D63" s="74"/>
      <c r="E63" s="74"/>
      <c r="F63" s="74"/>
      <c r="G63" s="74"/>
      <c r="H63" s="74"/>
      <c r="I63" s="74"/>
      <c r="J63" s="74"/>
      <c r="K63" s="74"/>
      <c r="L63" s="74" t="s">
        <v>58</v>
      </c>
      <c r="M63" s="77">
        <f>'Tabel 1.1'!G13</f>
        <v>771494</v>
      </c>
      <c r="N63" s="77">
        <f>'Tabel 1.1'!H13</f>
        <v>833959.8</v>
      </c>
      <c r="O63" s="74"/>
    </row>
    <row r="64" spans="1:15" x14ac:dyDescent="0.3">
      <c r="A64" s="74"/>
      <c r="B64" s="74"/>
      <c r="C64" s="74"/>
      <c r="D64" s="74"/>
      <c r="E64" s="74"/>
      <c r="F64" s="74"/>
      <c r="G64" s="74"/>
      <c r="H64" s="74"/>
      <c r="I64" s="74"/>
      <c r="J64" s="74"/>
      <c r="K64" s="74"/>
      <c r="L64" s="74" t="s">
        <v>60</v>
      </c>
      <c r="M64" s="77">
        <f>'Tabel 1.1'!G14</f>
        <v>0</v>
      </c>
      <c r="N64" s="77">
        <f>'Tabel 1.1'!H14</f>
        <v>0</v>
      </c>
      <c r="O64" s="74"/>
    </row>
    <row r="65" spans="1:15" x14ac:dyDescent="0.3">
      <c r="A65" s="74"/>
      <c r="B65" s="74"/>
      <c r="C65" s="74"/>
      <c r="D65" s="74"/>
      <c r="E65" s="74"/>
      <c r="F65" s="74"/>
      <c r="G65" s="74"/>
      <c r="H65" s="74"/>
      <c r="I65" s="74"/>
      <c r="J65" s="74"/>
      <c r="K65" s="74"/>
      <c r="L65" s="74" t="s">
        <v>61</v>
      </c>
      <c r="M65" s="77">
        <f>'Tabel 1.1'!G16</f>
        <v>5849818.0779999997</v>
      </c>
      <c r="N65" s="77">
        <f>'Tabel 1.1'!H16</f>
        <v>6474253</v>
      </c>
      <c r="O65" s="74"/>
    </row>
    <row r="66" spans="1:15" x14ac:dyDescent="0.3">
      <c r="A66" s="74"/>
      <c r="B66" s="74"/>
      <c r="C66" s="74"/>
      <c r="D66" s="74"/>
      <c r="E66" s="74"/>
      <c r="F66" s="74"/>
      <c r="G66" s="74"/>
      <c r="H66" s="74"/>
      <c r="I66" s="74"/>
      <c r="J66" s="74"/>
      <c r="K66" s="74"/>
      <c r="L66" s="74" t="s">
        <v>62</v>
      </c>
      <c r="M66" s="77">
        <f>'Tabel 1.1'!G17</f>
        <v>24751</v>
      </c>
      <c r="N66" s="77">
        <f>'Tabel 1.1'!H17</f>
        <v>22959</v>
      </c>
      <c r="O66" s="74"/>
    </row>
    <row r="67" spans="1:15" x14ac:dyDescent="0.3">
      <c r="A67" s="74"/>
      <c r="B67" s="74"/>
      <c r="C67" s="74"/>
      <c r="D67" s="74"/>
      <c r="E67" s="74"/>
      <c r="F67" s="74"/>
      <c r="G67" s="74"/>
      <c r="H67" s="74"/>
      <c r="I67" s="74"/>
      <c r="J67" s="74"/>
      <c r="K67" s="74"/>
      <c r="L67" s="74" t="s">
        <v>63</v>
      </c>
      <c r="M67" s="77">
        <f>'Tabel 1.1'!G18</f>
        <v>0</v>
      </c>
      <c r="N67" s="77">
        <f>'Tabel 1.1'!H18</f>
        <v>0</v>
      </c>
      <c r="O67" s="74"/>
    </row>
    <row r="68" spans="1:15" x14ac:dyDescent="0.3">
      <c r="A68" s="74"/>
      <c r="B68" s="74"/>
      <c r="C68" s="74"/>
      <c r="D68" s="74"/>
      <c r="E68" s="74"/>
      <c r="F68" s="74"/>
      <c r="G68" s="74"/>
      <c r="H68" s="74"/>
      <c r="I68" s="74"/>
      <c r="J68" s="74"/>
      <c r="K68" s="74"/>
      <c r="L68" s="74" t="s">
        <v>64</v>
      </c>
      <c r="M68" s="77">
        <f>'Tabel 1.1'!G19</f>
        <v>439040297.38777</v>
      </c>
      <c r="N68" s="77">
        <f>'Tabel 1.1'!H19</f>
        <v>469261417.09344</v>
      </c>
      <c r="O68" s="74"/>
    </row>
    <row r="69" spans="1:15" x14ac:dyDescent="0.3">
      <c r="A69" s="74"/>
      <c r="B69" s="74"/>
      <c r="C69" s="74"/>
      <c r="D69" s="74"/>
      <c r="E69" s="74"/>
      <c r="F69" s="74"/>
      <c r="G69" s="74"/>
      <c r="H69" s="74"/>
      <c r="I69" s="74"/>
      <c r="J69" s="74"/>
      <c r="K69" s="74"/>
      <c r="L69" s="74" t="s">
        <v>65</v>
      </c>
      <c r="M69" s="77">
        <f>'Tabel 1.1'!G20</f>
        <v>1539670</v>
      </c>
      <c r="N69" s="77">
        <f>'Tabel 1.1'!H20</f>
        <v>1682836</v>
      </c>
      <c r="O69" s="74"/>
    </row>
    <row r="70" spans="1:15" x14ac:dyDescent="0.3">
      <c r="A70" s="74"/>
      <c r="B70" s="74"/>
      <c r="C70" s="74"/>
      <c r="D70" s="74"/>
      <c r="E70" s="74"/>
      <c r="F70" s="74"/>
      <c r="G70" s="74"/>
      <c r="H70" s="74"/>
      <c r="I70" s="74"/>
      <c r="J70" s="74"/>
      <c r="K70" s="74"/>
      <c r="L70" s="74" t="s">
        <v>69</v>
      </c>
      <c r="M70" s="77">
        <f>'Tabel 1.1'!G24</f>
        <v>49518955.082999974</v>
      </c>
      <c r="N70" s="77">
        <f>'Tabel 1.1'!H24</f>
        <v>50214570.000432804</v>
      </c>
      <c r="O70" s="74"/>
    </row>
    <row r="71" spans="1:15" x14ac:dyDescent="0.3">
      <c r="A71" s="74"/>
      <c r="B71" s="74"/>
      <c r="C71" s="74"/>
      <c r="D71" s="74"/>
      <c r="E71" s="74"/>
      <c r="F71" s="74"/>
      <c r="G71" s="74"/>
      <c r="H71" s="74"/>
      <c r="I71" s="74"/>
      <c r="J71" s="74"/>
      <c r="K71" s="74"/>
      <c r="L71" s="74" t="s">
        <v>70</v>
      </c>
      <c r="M71" s="77">
        <f>'Tabel 1.1'!G25</f>
        <v>69246198</v>
      </c>
      <c r="N71" s="77">
        <f>'Tabel 1.1'!H25</f>
        <v>74741399.903610006</v>
      </c>
      <c r="O71" s="74"/>
    </row>
    <row r="72" spans="1:15" x14ac:dyDescent="0.3">
      <c r="A72" s="74"/>
      <c r="B72" s="74"/>
      <c r="C72" s="74"/>
      <c r="D72" s="74"/>
      <c r="E72" s="74"/>
      <c r="F72" s="74"/>
      <c r="G72" s="74"/>
      <c r="H72" s="74"/>
      <c r="I72" s="74"/>
      <c r="J72" s="74"/>
      <c r="K72" s="74"/>
      <c r="L72" s="74" t="s">
        <v>71</v>
      </c>
      <c r="M72" s="77">
        <f>'Tabel 1.1'!G27</f>
        <v>18169216.95149</v>
      </c>
      <c r="N72" s="77">
        <f>'Tabel 1.1'!H27</f>
        <v>19235566.757199999</v>
      </c>
      <c r="O72" s="74"/>
    </row>
    <row r="73" spans="1:15" x14ac:dyDescent="0.3">
      <c r="A73" s="74"/>
      <c r="B73" s="74"/>
      <c r="C73" s="74"/>
      <c r="D73" s="74"/>
      <c r="E73" s="74"/>
      <c r="F73" s="74"/>
      <c r="G73" s="74"/>
      <c r="H73" s="74"/>
      <c r="I73" s="74"/>
      <c r="J73" s="74"/>
      <c r="K73" s="74"/>
      <c r="L73" s="74" t="s">
        <v>72</v>
      </c>
      <c r="M73" s="77">
        <f>'Tabel 1.1'!G28</f>
        <v>179943354.95199999</v>
      </c>
      <c r="N73" s="77">
        <f>'Tabel 1.1'!H28</f>
        <v>181362430.31399998</v>
      </c>
      <c r="O73" s="74"/>
    </row>
    <row r="74" spans="1:15" x14ac:dyDescent="0.3">
      <c r="A74" s="74"/>
      <c r="B74" s="74"/>
      <c r="C74" s="74"/>
      <c r="D74" s="74"/>
      <c r="E74" s="74"/>
      <c r="F74" s="74"/>
      <c r="G74" s="74"/>
      <c r="H74" s="74"/>
      <c r="I74" s="74"/>
      <c r="J74" s="74"/>
      <c r="K74" s="74"/>
      <c r="O74" s="74"/>
    </row>
    <row r="75" spans="1:15" x14ac:dyDescent="0.3">
      <c r="A75" s="74"/>
      <c r="B75" s="74"/>
      <c r="C75" s="74"/>
      <c r="D75" s="74"/>
      <c r="E75" s="74"/>
      <c r="F75" s="74"/>
      <c r="G75" s="74"/>
      <c r="H75" s="74"/>
      <c r="I75" s="74"/>
      <c r="J75" s="74"/>
      <c r="K75" s="74"/>
      <c r="O75" s="74"/>
    </row>
    <row r="76" spans="1:15" x14ac:dyDescent="0.3">
      <c r="A76" s="74"/>
      <c r="B76" s="74"/>
      <c r="C76" s="74"/>
      <c r="D76" s="74"/>
      <c r="E76" s="74"/>
      <c r="F76" s="74"/>
      <c r="G76" s="74"/>
      <c r="H76" s="74"/>
      <c r="I76" s="74"/>
      <c r="J76" s="74"/>
      <c r="K76" s="74"/>
      <c r="O76" s="74"/>
    </row>
    <row r="77" spans="1:15" x14ac:dyDescent="0.3">
      <c r="A77" s="74"/>
      <c r="B77" s="74"/>
      <c r="C77" s="74"/>
      <c r="D77" s="74"/>
      <c r="E77" s="74"/>
      <c r="F77" s="74"/>
      <c r="G77" s="74"/>
      <c r="H77" s="74"/>
      <c r="I77" s="74"/>
      <c r="J77" s="74"/>
      <c r="K77" s="74"/>
      <c r="O77" s="74"/>
    </row>
    <row r="78" spans="1:15" x14ac:dyDescent="0.3">
      <c r="A78" s="74"/>
      <c r="B78" s="74"/>
      <c r="C78" s="74"/>
      <c r="D78" s="74"/>
      <c r="E78" s="74"/>
      <c r="F78" s="74"/>
      <c r="G78" s="74"/>
      <c r="H78" s="74"/>
      <c r="I78" s="74"/>
      <c r="J78" s="74"/>
      <c r="K78" s="74"/>
      <c r="O78" s="74"/>
    </row>
    <row r="79" spans="1:15" x14ac:dyDescent="0.3">
      <c r="A79" s="74"/>
      <c r="B79" s="74"/>
      <c r="C79" s="74"/>
      <c r="D79" s="74"/>
      <c r="E79" s="74"/>
      <c r="F79" s="74"/>
      <c r="G79" s="74"/>
      <c r="H79" s="74"/>
      <c r="I79" s="74"/>
      <c r="J79" s="74"/>
      <c r="K79" s="74"/>
      <c r="O79" s="74"/>
    </row>
    <row r="80" spans="1:15" x14ac:dyDescent="0.3">
      <c r="A80" s="75" t="s">
        <v>418</v>
      </c>
      <c r="B80" s="74"/>
      <c r="C80" s="74"/>
      <c r="D80" s="74"/>
      <c r="E80" s="74"/>
      <c r="F80" s="74"/>
      <c r="G80" s="74"/>
      <c r="H80" s="74"/>
      <c r="I80" s="79"/>
      <c r="J80" s="74"/>
      <c r="K80" s="74"/>
      <c r="O80" s="74"/>
    </row>
    <row r="81" spans="1:15" x14ac:dyDescent="0.3">
      <c r="B81" s="74"/>
      <c r="C81" s="74"/>
      <c r="D81" s="74"/>
      <c r="E81" s="74"/>
      <c r="F81" s="74"/>
      <c r="G81" s="74"/>
      <c r="H81" s="74"/>
      <c r="I81" s="74"/>
      <c r="J81" s="74"/>
      <c r="K81" s="74"/>
      <c r="L81" s="74" t="s">
        <v>77</v>
      </c>
      <c r="O81" s="74"/>
    </row>
    <row r="82" spans="1:15" x14ac:dyDescent="0.3">
      <c r="A82" s="74"/>
      <c r="B82" s="74"/>
      <c r="C82" s="74"/>
      <c r="D82" s="74"/>
      <c r="E82" s="74"/>
      <c r="F82" s="74"/>
      <c r="G82" s="74"/>
      <c r="H82" s="74"/>
      <c r="I82" s="74"/>
      <c r="J82" s="74"/>
      <c r="K82" s="74"/>
      <c r="L82" s="74" t="s">
        <v>1</v>
      </c>
      <c r="O82" s="74"/>
    </row>
    <row r="83" spans="1:15" x14ac:dyDescent="0.3">
      <c r="A83" s="74"/>
      <c r="B83" s="74"/>
      <c r="C83" s="74"/>
      <c r="D83" s="74"/>
      <c r="E83" s="74"/>
      <c r="F83" s="74"/>
      <c r="G83" s="74"/>
      <c r="H83" s="74"/>
      <c r="I83" s="74"/>
      <c r="J83" s="74"/>
      <c r="K83" s="74"/>
      <c r="M83" s="74">
        <v>2017</v>
      </c>
      <c r="N83" s="74">
        <v>2018</v>
      </c>
      <c r="O83" s="74"/>
    </row>
    <row r="84" spans="1:15" x14ac:dyDescent="0.3">
      <c r="A84" s="74"/>
      <c r="B84" s="74"/>
      <c r="C84" s="74"/>
      <c r="D84" s="74"/>
      <c r="E84" s="74"/>
      <c r="F84" s="74"/>
      <c r="G84" s="74"/>
      <c r="H84" s="74"/>
      <c r="I84" s="74"/>
      <c r="J84" s="74"/>
      <c r="K84" s="74"/>
      <c r="L84" s="74" t="s">
        <v>55</v>
      </c>
      <c r="M84" s="77">
        <f>'Tabel 1.1'!G34</f>
        <v>16087298.015000001</v>
      </c>
      <c r="N84" s="77">
        <f>'Tabel 1.1'!H34</f>
        <v>17958434.743000001</v>
      </c>
      <c r="O84" s="74"/>
    </row>
    <row r="85" spans="1:15" x14ac:dyDescent="0.3">
      <c r="B85" s="74"/>
      <c r="C85" s="74"/>
      <c r="D85" s="74"/>
      <c r="E85" s="74"/>
      <c r="F85" s="74"/>
      <c r="G85" s="74"/>
      <c r="H85" s="74"/>
      <c r="I85" s="74"/>
      <c r="J85" s="74"/>
      <c r="K85" s="74"/>
      <c r="L85" s="74" t="s">
        <v>56</v>
      </c>
      <c r="M85" s="77">
        <f>'Tabel 1.1'!G35</f>
        <v>70689761</v>
      </c>
      <c r="N85" s="77">
        <f>'Tabel 1.1'!H35</f>
        <v>82380384</v>
      </c>
      <c r="O85" s="74"/>
    </row>
    <row r="86" spans="1:15" x14ac:dyDescent="0.3">
      <c r="B86" s="74"/>
      <c r="C86" s="74"/>
      <c r="D86" s="74"/>
      <c r="E86" s="74"/>
      <c r="F86" s="74"/>
      <c r="G86" s="74"/>
      <c r="H86" s="74"/>
      <c r="I86" s="74"/>
      <c r="J86" s="74"/>
      <c r="K86" s="74"/>
      <c r="L86" s="74" t="s">
        <v>58</v>
      </c>
      <c r="M86" s="77">
        <f>'Tabel 1.1'!G36</f>
        <v>3022527.8</v>
      </c>
      <c r="N86" s="77">
        <f>'Tabel 1.1'!H36</f>
        <v>3471864</v>
      </c>
      <c r="O86" s="74"/>
    </row>
    <row r="87" spans="1:15" x14ac:dyDescent="0.3">
      <c r="B87" s="74"/>
      <c r="C87" s="74"/>
      <c r="D87" s="74"/>
      <c r="E87" s="74"/>
      <c r="F87" s="74"/>
      <c r="G87" s="74"/>
      <c r="H87" s="74"/>
      <c r="I87" s="74"/>
      <c r="J87" s="74"/>
      <c r="K87" s="74"/>
      <c r="L87" s="79" t="s">
        <v>61</v>
      </c>
      <c r="M87" s="77">
        <f>'Tabel 1.1'!G37</f>
        <v>21451220.490000002</v>
      </c>
      <c r="N87" s="77">
        <f>'Tabel 1.1'!H37</f>
        <v>25237226</v>
      </c>
      <c r="O87" s="74"/>
    </row>
    <row r="88" spans="1:15" x14ac:dyDescent="0.3">
      <c r="B88" s="74"/>
      <c r="C88" s="74"/>
      <c r="D88" s="74"/>
      <c r="E88" s="74"/>
      <c r="F88" s="74"/>
      <c r="G88" s="74"/>
      <c r="H88" s="74"/>
      <c r="I88" s="74"/>
      <c r="J88" s="74"/>
      <c r="K88" s="74"/>
      <c r="L88" s="74" t="s">
        <v>64</v>
      </c>
      <c r="M88" s="77">
        <f>'Tabel 1.1'!G38</f>
        <v>2330198.9161499999</v>
      </c>
      <c r="N88" s="77">
        <f>'Tabel 1.1'!H38</f>
        <v>2478827.29715</v>
      </c>
      <c r="O88" s="74"/>
    </row>
    <row r="89" spans="1:15" x14ac:dyDescent="0.3">
      <c r="B89" s="74"/>
      <c r="C89" s="74"/>
      <c r="D89" s="74"/>
      <c r="E89" s="74"/>
      <c r="F89" s="74"/>
      <c r="G89" s="74"/>
      <c r="H89" s="74"/>
      <c r="I89" s="74"/>
      <c r="J89" s="74"/>
      <c r="K89" s="74"/>
      <c r="L89" s="74" t="s">
        <v>65</v>
      </c>
      <c r="M89" s="77">
        <f>'Tabel 1.1'!G39</f>
        <v>2432471</v>
      </c>
      <c r="N89" s="77">
        <f>'Tabel 1.1'!H39</f>
        <v>3400155</v>
      </c>
      <c r="O89" s="74"/>
    </row>
    <row r="90" spans="1:15" x14ac:dyDescent="0.3">
      <c r="B90" s="74"/>
      <c r="C90" s="74"/>
      <c r="D90" s="74"/>
      <c r="E90" s="74"/>
      <c r="F90" s="74"/>
      <c r="G90" s="74"/>
      <c r="H90" s="74"/>
      <c r="I90" s="74"/>
      <c r="J90" s="74"/>
      <c r="K90" s="74"/>
      <c r="L90" s="74" t="s">
        <v>69</v>
      </c>
      <c r="M90" s="77">
        <f>'Tabel 1.1'!G40</f>
        <v>54647570</v>
      </c>
      <c r="N90" s="77">
        <f>'Tabel 1.1'!H40</f>
        <v>62133840</v>
      </c>
      <c r="O90" s="74"/>
    </row>
    <row r="91" spans="1:15" x14ac:dyDescent="0.3">
      <c r="A91" s="74"/>
      <c r="B91" s="74"/>
      <c r="C91" s="74"/>
      <c r="D91" s="74"/>
      <c r="E91" s="74"/>
      <c r="F91" s="74"/>
      <c r="G91" s="74"/>
      <c r="H91" s="74"/>
      <c r="I91" s="74"/>
      <c r="J91" s="74"/>
      <c r="K91" s="74"/>
      <c r="L91" s="74" t="s">
        <v>75</v>
      </c>
      <c r="M91" s="77">
        <f>'Tabel 1.1'!G41</f>
        <v>1949500</v>
      </c>
      <c r="N91" s="77">
        <f>'Tabel 1.1'!H41</f>
        <v>2249653.4116099998</v>
      </c>
      <c r="O91" s="74"/>
    </row>
    <row r="92" spans="1:15" ht="18.75" customHeight="1" x14ac:dyDescent="0.3">
      <c r="A92" s="74"/>
      <c r="B92" s="74"/>
      <c r="C92" s="74"/>
      <c r="D92" s="74"/>
      <c r="E92" s="74"/>
      <c r="F92" s="74"/>
      <c r="G92" s="74"/>
      <c r="H92" s="74"/>
      <c r="I92" s="74"/>
      <c r="J92" s="74"/>
      <c r="K92" s="74"/>
      <c r="L92" s="74" t="s">
        <v>71</v>
      </c>
      <c r="M92" s="77">
        <f>'Tabel 1.1'!G42</f>
        <v>23504999.904489998</v>
      </c>
      <c r="N92" s="77">
        <f>'Tabel 1.1'!H42</f>
        <v>29524731.95205</v>
      </c>
      <c r="O92" s="74"/>
    </row>
    <row r="93" spans="1:15" ht="18.75" customHeight="1" x14ac:dyDescent="0.3">
      <c r="A93" s="74"/>
      <c r="B93" s="74"/>
      <c r="C93" s="74"/>
      <c r="D93" s="74"/>
      <c r="E93" s="74"/>
      <c r="F93" s="74"/>
      <c r="G93" s="74"/>
      <c r="H93" s="74"/>
      <c r="I93" s="74"/>
      <c r="J93" s="74"/>
      <c r="K93" s="74"/>
      <c r="L93" s="74" t="s">
        <v>76</v>
      </c>
      <c r="M93" s="77">
        <f>'Tabel 1.1'!G43</f>
        <v>75354538.838</v>
      </c>
      <c r="N93" s="77">
        <f>'Tabel 1.1'!H43</f>
        <v>98437461.060000002</v>
      </c>
      <c r="O93" s="74"/>
    </row>
    <row r="94" spans="1:15" ht="18.75" customHeight="1" x14ac:dyDescent="0.3">
      <c r="A94" s="74"/>
      <c r="B94" s="74"/>
      <c r="C94" s="74"/>
      <c r="D94" s="74"/>
      <c r="E94" s="74"/>
      <c r="F94" s="74"/>
      <c r="G94" s="74"/>
      <c r="H94" s="74"/>
      <c r="I94" s="74"/>
      <c r="J94" s="74"/>
      <c r="K94" s="74"/>
      <c r="M94" s="77"/>
      <c r="O94" s="74"/>
    </row>
    <row r="95" spans="1:15" ht="18.75" customHeight="1" x14ac:dyDescent="0.3">
      <c r="A95" s="74"/>
      <c r="B95" s="74"/>
      <c r="C95" s="74"/>
      <c r="D95" s="74"/>
      <c r="E95" s="74"/>
      <c r="F95" s="74"/>
      <c r="G95" s="74"/>
      <c r="H95" s="74"/>
      <c r="I95" s="74"/>
      <c r="J95" s="74"/>
      <c r="K95" s="74"/>
      <c r="O95" s="74"/>
    </row>
    <row r="96" spans="1:15" ht="18.75" customHeight="1" x14ac:dyDescent="0.3">
      <c r="A96" s="74"/>
      <c r="B96" s="74"/>
      <c r="C96" s="74"/>
      <c r="D96" s="74"/>
      <c r="E96" s="74"/>
      <c r="F96" s="74"/>
      <c r="G96" s="74"/>
      <c r="H96" s="74"/>
      <c r="I96" s="74"/>
      <c r="J96" s="74"/>
      <c r="K96" s="74"/>
      <c r="O96" s="74"/>
    </row>
    <row r="97" spans="1:17" ht="18.75" customHeight="1" x14ac:dyDescent="0.3">
      <c r="A97" s="74"/>
      <c r="B97" s="74"/>
      <c r="C97" s="74"/>
      <c r="D97" s="74"/>
      <c r="E97" s="74"/>
      <c r="F97" s="74"/>
      <c r="G97" s="74"/>
      <c r="H97" s="74"/>
      <c r="I97" s="74"/>
      <c r="J97" s="74"/>
      <c r="K97" s="74"/>
      <c r="O97" s="74"/>
      <c r="Q97" s="74"/>
    </row>
    <row r="98" spans="1:17" ht="18.75" customHeight="1" x14ac:dyDescent="0.3">
      <c r="A98" s="74"/>
      <c r="B98" s="74"/>
      <c r="C98" s="74"/>
      <c r="D98" s="74"/>
      <c r="E98" s="74"/>
      <c r="F98" s="74"/>
      <c r="G98" s="74"/>
      <c r="H98" s="74"/>
      <c r="I98" s="74"/>
      <c r="J98" s="74"/>
      <c r="K98" s="74"/>
      <c r="O98" s="74"/>
      <c r="Q98" s="74"/>
    </row>
    <row r="99" spans="1:17" ht="18.75" customHeight="1" x14ac:dyDescent="0.3">
      <c r="A99" s="74"/>
      <c r="B99" s="74"/>
      <c r="C99" s="74"/>
      <c r="D99" s="74"/>
      <c r="E99" s="74"/>
      <c r="F99" s="74"/>
      <c r="G99" s="74"/>
      <c r="H99" s="74"/>
      <c r="I99" s="74"/>
      <c r="J99" s="74"/>
      <c r="K99" s="74"/>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5" t="s">
        <v>419</v>
      </c>
      <c r="B106" s="74"/>
      <c r="C106" s="74"/>
      <c r="D106" s="74"/>
      <c r="E106" s="74"/>
      <c r="F106" s="74"/>
      <c r="G106" s="74"/>
      <c r="H106" s="79"/>
      <c r="I106" s="74"/>
      <c r="J106" s="74"/>
      <c r="K106" s="74"/>
      <c r="O106" s="74"/>
      <c r="Q106" s="74"/>
    </row>
    <row r="107" spans="1:17" ht="18.75" customHeight="1" x14ac:dyDescent="0.3">
      <c r="A107" s="74"/>
      <c r="B107" s="74"/>
      <c r="C107" s="74"/>
      <c r="D107" s="74"/>
      <c r="E107" s="74"/>
      <c r="F107" s="74"/>
      <c r="G107" s="74"/>
      <c r="H107" s="74"/>
      <c r="I107" s="74"/>
      <c r="J107" s="74"/>
      <c r="K107" s="74"/>
      <c r="L107" s="74" t="s">
        <v>78</v>
      </c>
      <c r="O107" s="74"/>
      <c r="Q107" s="74"/>
    </row>
    <row r="108" spans="1:17" ht="18.75" customHeight="1" x14ac:dyDescent="0.3">
      <c r="A108" s="74"/>
      <c r="B108" s="74"/>
      <c r="C108" s="74"/>
      <c r="D108" s="74"/>
      <c r="E108" s="74"/>
      <c r="F108" s="74"/>
      <c r="G108" s="74"/>
      <c r="H108" s="74"/>
      <c r="I108" s="74"/>
      <c r="J108" s="74"/>
      <c r="K108" s="74"/>
      <c r="L108" s="74" t="s">
        <v>0</v>
      </c>
      <c r="O108" s="74"/>
      <c r="Q108" s="74"/>
    </row>
    <row r="109" spans="1:17" ht="18.75" customHeight="1" x14ac:dyDescent="0.3">
      <c r="A109" s="74"/>
      <c r="B109" s="74"/>
      <c r="C109" s="74"/>
      <c r="D109" s="74"/>
      <c r="E109" s="74"/>
      <c r="F109" s="74"/>
      <c r="G109" s="74"/>
      <c r="H109" s="74"/>
      <c r="I109" s="74"/>
      <c r="J109" s="74"/>
      <c r="K109" s="74"/>
      <c r="M109" s="74">
        <v>2017</v>
      </c>
      <c r="N109" s="74">
        <v>2018</v>
      </c>
      <c r="O109" s="74"/>
      <c r="Q109" s="74"/>
    </row>
    <row r="110" spans="1:17" ht="18.75" customHeight="1" x14ac:dyDescent="0.3">
      <c r="A110" s="74"/>
      <c r="B110" s="74"/>
      <c r="C110" s="74"/>
      <c r="D110" s="74"/>
      <c r="E110" s="74"/>
      <c r="F110" s="74"/>
      <c r="G110" s="74"/>
      <c r="H110" s="74"/>
      <c r="I110" s="74"/>
      <c r="J110" s="74"/>
      <c r="K110" s="74"/>
      <c r="L110" s="74" t="s">
        <v>55</v>
      </c>
      <c r="M110" s="77">
        <f>'Danica Pensjonsforsikring'!B11-'Danica Pensjonsforsikring'!B12+'Danica Pensjonsforsikring'!B34-'Danica Pensjonsforsikring'!B35+'Danica Pensjonsforsikring'!B38-'Danica Pensjonsforsikring'!B39+'Danica Pensjonsforsikring'!B111-'Danica Pensjonsforsikring'!B119+'Danica Pensjonsforsikring'!B136-'Danica Pensjonsforsikring'!B137</f>
        <v>8925.6419999999998</v>
      </c>
      <c r="N110" s="77">
        <f>'Danica Pensjonsforsikring'!C11-'Danica Pensjonsforsikring'!C12+'Danica Pensjonsforsikring'!C34-'Danica Pensjonsforsikring'!C35+'Danica Pensjonsforsikring'!C38-'Danica Pensjonsforsikring'!C39+'Danica Pensjonsforsikring'!C111-'Danica Pensjonsforsikring'!C119+'Danica Pensjonsforsikring'!C136-'Danica Pensjonsforsikring'!C137</f>
        <v>4929.8120000000017</v>
      </c>
      <c r="O110" s="74"/>
      <c r="Q110" s="74"/>
    </row>
    <row r="111" spans="1:17" ht="18.75" customHeight="1" x14ac:dyDescent="0.3">
      <c r="A111" s="74"/>
      <c r="B111" s="74"/>
      <c r="C111" s="74"/>
      <c r="D111" s="74"/>
      <c r="E111" s="74"/>
      <c r="F111" s="74"/>
      <c r="G111" s="74"/>
      <c r="H111" s="74"/>
      <c r="I111" s="74"/>
      <c r="J111" s="74"/>
      <c r="K111" s="74"/>
      <c r="L111" s="74" t="s">
        <v>56</v>
      </c>
      <c r="M111" s="77">
        <f>'DNB Livsforsikring'!B11-'DNB Livsforsikring'!B12+'DNB Livsforsikring'!B34-'DNB Livsforsikring'!B35+'DNB Livsforsikring'!B38-'DNB Livsforsikring'!B39+'DNB Livsforsikring'!B111-'DNB Livsforsikring'!B119+'DNB Livsforsikring'!B136-'DNB Livsforsikring'!B137</f>
        <v>384120</v>
      </c>
      <c r="N111" s="77">
        <f>'DNB Livsforsikring'!C11-'DNB Livsforsikring'!C12+'DNB Livsforsikring'!C34-'DNB Livsforsikring'!C35+'DNB Livsforsikring'!C38-'DNB Livsforsikring'!C39+'DNB Livsforsikring'!C111-'DNB Livsforsikring'!C119+'DNB Livsforsikring'!C136-'DNB Livsforsikring'!C137</f>
        <v>107071</v>
      </c>
      <c r="O111" s="74"/>
      <c r="Q111" s="74"/>
    </row>
    <row r="112" spans="1:17" ht="18.75" customHeight="1" x14ac:dyDescent="0.3">
      <c r="A112" s="74"/>
      <c r="B112" s="74"/>
      <c r="C112" s="74"/>
      <c r="D112" s="74"/>
      <c r="E112" s="74"/>
      <c r="F112" s="74"/>
      <c r="G112" s="74"/>
      <c r="H112" s="74"/>
      <c r="I112" s="74"/>
      <c r="J112" s="74"/>
      <c r="K112" s="74"/>
      <c r="L112" s="79" t="s">
        <v>61</v>
      </c>
      <c r="M112" s="77">
        <f>'Gjensidige Pensjon'!B11-'Gjensidige Pensjon'!B12+'Gjensidige Pensjon'!B34-'Gjensidige Pensjon'!B35+'Gjensidige Pensjon'!B38-'Gjensidige Pensjon'!B39+'Gjensidige Pensjon'!B111-'Gjensidige Pensjon'!B119+'Gjensidige Pensjon'!B136-'Gjensidige Pensjon'!B137</f>
        <v>30047.581000000006</v>
      </c>
      <c r="N112" s="77">
        <f>'Gjensidige Pensjon'!C11-'Gjensidige Pensjon'!C12+'Gjensidige Pensjon'!C34-'Gjensidige Pensjon'!C35+'Gjensidige Pensjon'!C38-'Gjensidige Pensjon'!C39+'Gjensidige Pensjon'!C111-'Gjensidige Pensjon'!C119+'Gjensidige Pensjon'!C136-'Gjensidige Pensjon'!C137</f>
        <v>31387</v>
      </c>
      <c r="O112" s="74"/>
      <c r="Q112" s="74"/>
    </row>
    <row r="113" spans="1:17" ht="18.75" customHeight="1" x14ac:dyDescent="0.3">
      <c r="A113" s="74"/>
      <c r="B113" s="74"/>
      <c r="C113" s="74"/>
      <c r="D113" s="74"/>
      <c r="E113" s="74"/>
      <c r="F113" s="74"/>
      <c r="G113" s="74"/>
      <c r="H113" s="74"/>
      <c r="I113" s="74"/>
      <c r="J113" s="74"/>
      <c r="K113" s="74"/>
      <c r="L113" s="79" t="s">
        <v>64</v>
      </c>
      <c r="M113" s="77">
        <f>KLP!B11-KLP!B12+KLP!B34-KLP!B35+KLP!B38-KLP!B39+KLP!B111-KLP!B119+KLP!B136-KLP!B137</f>
        <v>-27827.16399999999</v>
      </c>
      <c r="N113" s="77">
        <f>KLP!C11-KLP!C12+KLP!C34-KLP!C35+KLP!C38-KLP!C39+KLP!C111-KLP!C119+KLP!C136-KLP!C137</f>
        <v>-491426.71799999999</v>
      </c>
      <c r="O113" s="74"/>
      <c r="Q113" s="74"/>
    </row>
    <row r="114" spans="1:17" ht="18.75" customHeight="1" x14ac:dyDescent="0.3">
      <c r="A114" s="74"/>
      <c r="B114" s="74"/>
      <c r="C114" s="74"/>
      <c r="D114" s="74"/>
      <c r="E114" s="74"/>
      <c r="F114" s="74"/>
      <c r="G114" s="74"/>
      <c r="H114" s="74"/>
      <c r="I114" s="74"/>
      <c r="J114" s="74"/>
      <c r="K114" s="74"/>
      <c r="L114" s="79" t="s">
        <v>65</v>
      </c>
      <c r="M114" s="77">
        <f>'KLP Bedriftspensjon AS'!B11-'KLP Bedriftspensjon AS'!B12+'KLP Bedriftspensjon AS'!B34-'KLP Bedriftspensjon AS'!B35+'KLP Bedriftspensjon AS'!B38-'KLP Bedriftspensjon AS'!B39+'KLP Bedriftspensjon AS'!B111-'KLP Bedriftspensjon AS'!B119+'KLP Bedriftspensjon AS'!B136-'KLP Bedriftspensjon AS'!B137</f>
        <v>-13752</v>
      </c>
      <c r="N114" s="77">
        <f>'KLP Bedriftspensjon AS'!C11-'KLP Bedriftspensjon AS'!C12+'KLP Bedriftspensjon AS'!C34-'KLP Bedriftspensjon AS'!C35+'KLP Bedriftspensjon AS'!C38-'KLP Bedriftspensjon AS'!C39+'KLP Bedriftspensjon AS'!C111-'KLP Bedriftspensjon AS'!C119+'KLP Bedriftspensjon AS'!C136-'KLP Bedriftspensjon AS'!C137</f>
        <v>2189</v>
      </c>
      <c r="O114" s="74"/>
      <c r="Q114" s="74"/>
    </row>
    <row r="115" spans="1:17" ht="18.75" customHeight="1" x14ac:dyDescent="0.3">
      <c r="A115" s="74"/>
      <c r="B115" s="74"/>
      <c r="C115" s="74"/>
      <c r="D115" s="74"/>
      <c r="E115" s="74"/>
      <c r="F115" s="74"/>
      <c r="G115" s="74"/>
      <c r="H115" s="74"/>
      <c r="I115" s="74"/>
      <c r="J115" s="74"/>
      <c r="K115" s="74"/>
      <c r="L115" s="74" t="s">
        <v>69</v>
      </c>
      <c r="M115" s="77">
        <f>'Nordea Liv '!B11-'Nordea Liv '!B12+'Nordea Liv '!B34-'Nordea Liv '!B35+'Nordea Liv '!B38-'Nordea Liv '!B39+'Nordea Liv '!B111-'Nordea Liv '!B119+'Nordea Liv '!B136-'Nordea Liv '!B137</f>
        <v>-64871.0142000001</v>
      </c>
      <c r="N115" s="77">
        <f>'Nordea Liv '!C11-'Nordea Liv '!C12+'Nordea Liv '!C34-'Nordea Liv '!C35+'Nordea Liv '!C38-'Nordea Liv '!C39+'Nordea Liv '!C111-'Nordea Liv '!C119+'Nordea Liv '!C136-'Nordea Liv '!C137</f>
        <v>-146808.55927</v>
      </c>
      <c r="O115" s="74"/>
      <c r="Q115" s="74"/>
    </row>
    <row r="116" spans="1:17" ht="18.75" customHeight="1" x14ac:dyDescent="0.3">
      <c r="A116" s="74"/>
      <c r="B116" s="74"/>
      <c r="C116" s="74"/>
      <c r="D116" s="74"/>
      <c r="E116" s="74"/>
      <c r="F116" s="74"/>
      <c r="G116" s="74"/>
      <c r="H116" s="74"/>
      <c r="I116" s="74"/>
      <c r="J116" s="74"/>
      <c r="K116" s="74"/>
      <c r="L116" s="74" t="s">
        <v>71</v>
      </c>
      <c r="M116" s="77">
        <f>'Sparebank 1'!B11-'Sparebank 1'!B12+'Sparebank 1'!B34-'Sparebank 1'!B35+'Sparebank 1'!B38-'Sparebank 1'!B39+'Sparebank 1'!B111-'Sparebank 1'!B119+'Sparebank 1'!B136-'Sparebank 1'!B137</f>
        <v>7266.8838999999971</v>
      </c>
      <c r="N116" s="77">
        <f>'Sparebank 1'!C11-'Sparebank 1'!C12+'Sparebank 1'!C34-'Sparebank 1'!C35+'Sparebank 1'!C38-'Sparebank 1'!C39+'Sparebank 1'!C111-'Sparebank 1'!C119+'Sparebank 1'!C136-'Sparebank 1'!C137</f>
        <v>-34677.96688</v>
      </c>
      <c r="O116" s="74"/>
      <c r="Q116" s="74"/>
    </row>
    <row r="117" spans="1:17" ht="18.75" customHeight="1" x14ac:dyDescent="0.3">
      <c r="A117" s="74"/>
      <c r="B117" s="74"/>
      <c r="C117" s="74"/>
      <c r="D117" s="74"/>
      <c r="E117" s="74"/>
      <c r="F117" s="74"/>
      <c r="G117" s="74"/>
      <c r="H117" s="74"/>
      <c r="I117" s="74"/>
      <c r="J117" s="74"/>
      <c r="K117" s="74"/>
      <c r="L117" s="74" t="s">
        <v>72</v>
      </c>
      <c r="M117" s="77">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-259239.61099999998</v>
      </c>
      <c r="N117" s="77">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-330309.92999999993</v>
      </c>
      <c r="O117" s="74"/>
    </row>
    <row r="118" spans="1:17" ht="18.75" customHeight="1" x14ac:dyDescent="0.3">
      <c r="A118" s="74"/>
      <c r="B118" s="74"/>
      <c r="C118" s="74"/>
      <c r="D118" s="74"/>
      <c r="E118" s="74"/>
      <c r="F118" s="74"/>
      <c r="G118" s="74"/>
      <c r="H118" s="74"/>
      <c r="I118" s="74"/>
      <c r="J118" s="74"/>
      <c r="K118" s="74"/>
      <c r="M118" s="77"/>
      <c r="N118" s="77"/>
      <c r="O118" s="74"/>
    </row>
    <row r="119" spans="1:17" ht="18.75" customHeight="1" x14ac:dyDescent="0.3">
      <c r="A119" s="74"/>
      <c r="B119" s="74"/>
      <c r="C119" s="74"/>
      <c r="D119" s="74"/>
      <c r="E119" s="74"/>
      <c r="F119" s="74"/>
      <c r="G119" s="74"/>
      <c r="H119" s="74"/>
      <c r="I119" s="74"/>
      <c r="J119" s="74"/>
      <c r="K119" s="74"/>
      <c r="M119" s="77"/>
      <c r="N119" s="77"/>
      <c r="O119" s="74"/>
    </row>
    <row r="120" spans="1:17" ht="18.75" customHeight="1" x14ac:dyDescent="0.3">
      <c r="A120" s="74"/>
      <c r="B120" s="74"/>
      <c r="C120" s="74"/>
      <c r="D120" s="74"/>
      <c r="E120" s="74"/>
      <c r="F120" s="74"/>
      <c r="G120" s="74"/>
      <c r="H120" s="74"/>
      <c r="I120" s="74"/>
      <c r="J120" s="74"/>
      <c r="K120" s="74"/>
      <c r="M120" s="77"/>
      <c r="N120" s="77"/>
      <c r="O120" s="74"/>
    </row>
    <row r="121" spans="1:17" ht="18.75" customHeight="1" x14ac:dyDescent="0.3">
      <c r="A121" s="74"/>
      <c r="B121" s="74"/>
      <c r="C121" s="74"/>
      <c r="D121" s="74"/>
      <c r="E121" s="74"/>
      <c r="F121" s="74"/>
      <c r="G121" s="74"/>
      <c r="H121" s="74"/>
      <c r="I121" s="74"/>
      <c r="J121" s="74"/>
      <c r="K121" s="74"/>
      <c r="M121" s="77"/>
      <c r="N121" s="77"/>
      <c r="O121" s="74"/>
    </row>
    <row r="122" spans="1:17" ht="18.75" customHeight="1" x14ac:dyDescent="0.3">
      <c r="A122" s="74"/>
      <c r="B122" s="74"/>
      <c r="C122" s="74"/>
      <c r="D122" s="74"/>
      <c r="E122" s="74"/>
      <c r="F122" s="74"/>
      <c r="G122" s="74"/>
      <c r="H122" s="74"/>
      <c r="I122" s="74"/>
      <c r="J122" s="74"/>
      <c r="K122" s="74"/>
      <c r="M122" s="77"/>
      <c r="N122" s="77"/>
      <c r="O122" s="74"/>
    </row>
    <row r="123" spans="1:17" x14ac:dyDescent="0.3">
      <c r="A123" s="74"/>
      <c r="B123" s="74"/>
      <c r="C123" s="74"/>
      <c r="D123" s="74"/>
      <c r="E123" s="74"/>
      <c r="F123" s="74"/>
      <c r="G123" s="74"/>
      <c r="H123" s="74"/>
      <c r="I123" s="74"/>
      <c r="J123" s="74"/>
      <c r="K123" s="74"/>
      <c r="M123" s="77"/>
      <c r="N123" s="77"/>
      <c r="O123" s="74"/>
    </row>
    <row r="124" spans="1:17" x14ac:dyDescent="0.3">
      <c r="A124" s="74"/>
      <c r="B124" s="74"/>
      <c r="C124" s="74"/>
      <c r="D124" s="74"/>
      <c r="E124" s="74"/>
      <c r="F124" s="74"/>
      <c r="G124" s="74"/>
      <c r="H124" s="74"/>
      <c r="I124" s="74"/>
      <c r="J124" s="74"/>
      <c r="K124" s="74"/>
      <c r="M124" s="77"/>
      <c r="N124" s="77"/>
      <c r="O124" s="74"/>
    </row>
    <row r="125" spans="1:17" x14ac:dyDescent="0.3">
      <c r="A125" s="74"/>
      <c r="B125" s="74"/>
      <c r="C125" s="74"/>
      <c r="D125" s="74"/>
      <c r="E125" s="74"/>
      <c r="F125" s="74"/>
      <c r="G125" s="74"/>
      <c r="H125" s="74"/>
      <c r="I125" s="74"/>
      <c r="J125" s="74"/>
      <c r="K125" s="74"/>
      <c r="M125" s="77"/>
      <c r="N125" s="77"/>
      <c r="O125" s="74"/>
    </row>
    <row r="126" spans="1:17" x14ac:dyDescent="0.3">
      <c r="A126" s="74"/>
      <c r="B126" s="74"/>
      <c r="C126" s="74"/>
      <c r="D126" s="74"/>
      <c r="E126" s="74"/>
      <c r="F126" s="74"/>
      <c r="G126" s="74"/>
      <c r="H126" s="74"/>
      <c r="I126" s="74"/>
      <c r="J126" s="74"/>
      <c r="K126" s="74"/>
      <c r="O126" s="74"/>
    </row>
    <row r="127" spans="1:17" x14ac:dyDescent="0.3">
      <c r="A127" s="74"/>
      <c r="B127" s="74"/>
      <c r="C127" s="74"/>
      <c r="D127" s="74"/>
      <c r="E127" s="74"/>
      <c r="F127" s="74"/>
      <c r="G127" s="74"/>
      <c r="H127" s="74"/>
      <c r="I127" s="74"/>
      <c r="J127" s="74"/>
      <c r="K127" s="74"/>
      <c r="O127" s="74"/>
    </row>
    <row r="128" spans="1:17" x14ac:dyDescent="0.3">
      <c r="A128" s="74"/>
      <c r="B128" s="74"/>
      <c r="C128" s="74"/>
      <c r="D128" s="74"/>
      <c r="E128" s="74"/>
      <c r="F128" s="74"/>
      <c r="G128" s="74"/>
      <c r="H128" s="74"/>
      <c r="I128" s="74"/>
      <c r="J128" s="74"/>
      <c r="K128" s="74"/>
      <c r="O128" s="74"/>
    </row>
    <row r="129" spans="1:15" x14ac:dyDescent="0.3">
      <c r="A129" s="74"/>
      <c r="B129" s="74"/>
      <c r="C129" s="74"/>
      <c r="D129" s="74"/>
      <c r="E129" s="74"/>
      <c r="F129" s="74"/>
      <c r="G129" s="74"/>
      <c r="H129" s="74"/>
      <c r="I129" s="74"/>
      <c r="J129" s="74"/>
      <c r="K129" s="74"/>
      <c r="O129" s="74"/>
    </row>
    <row r="130" spans="1:15" x14ac:dyDescent="0.3">
      <c r="A130" s="75" t="s">
        <v>420</v>
      </c>
      <c r="B130" s="74"/>
      <c r="C130" s="74"/>
      <c r="D130" s="74"/>
      <c r="E130" s="74"/>
      <c r="F130" s="74"/>
      <c r="G130" s="74"/>
      <c r="H130" s="79"/>
      <c r="I130" s="74"/>
      <c r="J130" s="74"/>
      <c r="K130" s="74"/>
      <c r="O130" s="74"/>
    </row>
    <row r="131" spans="1:15" x14ac:dyDescent="0.3">
      <c r="B131" s="74"/>
      <c r="C131" s="74"/>
      <c r="D131" s="74"/>
      <c r="E131" s="74"/>
      <c r="F131" s="74"/>
      <c r="G131" s="74"/>
      <c r="H131" s="74"/>
      <c r="I131" s="74"/>
      <c r="J131" s="74"/>
      <c r="K131" s="74"/>
      <c r="O131" s="74"/>
    </row>
    <row r="132" spans="1:15" x14ac:dyDescent="0.3">
      <c r="A132" s="74"/>
      <c r="B132" s="74"/>
      <c r="C132" s="74"/>
      <c r="D132" s="74"/>
      <c r="E132" s="74"/>
      <c r="F132" s="74"/>
      <c r="G132" s="74"/>
      <c r="H132" s="74"/>
      <c r="I132" s="74"/>
      <c r="J132" s="74"/>
      <c r="K132" s="74"/>
      <c r="L132" s="74" t="s">
        <v>79</v>
      </c>
      <c r="O132" s="74"/>
    </row>
    <row r="133" spans="1:15" x14ac:dyDescent="0.3">
      <c r="A133" s="74"/>
      <c r="B133" s="74"/>
      <c r="C133" s="74"/>
      <c r="D133" s="74"/>
      <c r="E133" s="74"/>
      <c r="F133" s="74"/>
      <c r="G133" s="74"/>
      <c r="H133" s="74"/>
      <c r="I133" s="74"/>
      <c r="J133" s="74"/>
      <c r="K133" s="74"/>
      <c r="L133" s="74" t="s">
        <v>1</v>
      </c>
      <c r="O133" s="74"/>
    </row>
    <row r="134" spans="1:15" x14ac:dyDescent="0.3">
      <c r="A134" s="74"/>
      <c r="B134" s="74"/>
      <c r="C134" s="74"/>
      <c r="D134" s="74"/>
      <c r="E134" s="74"/>
      <c r="F134" s="74"/>
      <c r="G134" s="74"/>
      <c r="H134" s="74"/>
      <c r="I134" s="74"/>
      <c r="J134" s="74"/>
      <c r="K134" s="74"/>
      <c r="M134" s="74">
        <v>2017</v>
      </c>
      <c r="N134" s="74">
        <v>2018</v>
      </c>
      <c r="O134" s="74"/>
    </row>
    <row r="135" spans="1:15" x14ac:dyDescent="0.3">
      <c r="A135" s="74"/>
      <c r="B135" s="74"/>
      <c r="C135" s="74"/>
      <c r="D135" s="74"/>
      <c r="E135" s="74"/>
      <c r="F135" s="74"/>
      <c r="G135" s="74"/>
      <c r="H135" s="74"/>
      <c r="I135" s="74"/>
      <c r="J135" s="74"/>
      <c r="K135" s="74"/>
      <c r="L135" s="74" t="s">
        <v>55</v>
      </c>
      <c r="M135" s="77">
        <f>'Danica Pensjonsforsikring'!F11-'Danica Pensjonsforsikring'!F12+'Danica Pensjonsforsikring'!F34-'Danica Pensjonsforsikring'!F35+'Danica Pensjonsforsikring'!F38-'Danica Pensjonsforsikring'!F39+'Danica Pensjonsforsikring'!F111-'Danica Pensjonsforsikring'!F119+'Danica Pensjonsforsikring'!F136-'Danica Pensjonsforsikring'!F137</f>
        <v>206271.34200000006</v>
      </c>
      <c r="N135" s="77">
        <f>'Danica Pensjonsforsikring'!G11-'Danica Pensjonsforsikring'!G12+'Danica Pensjonsforsikring'!G34-'Danica Pensjonsforsikring'!G35+'Danica Pensjonsforsikring'!G38-'Danica Pensjonsforsikring'!G39+'Danica Pensjonsforsikring'!G111-'Danica Pensjonsforsikring'!G119+'Danica Pensjonsforsikring'!G136-'Danica Pensjonsforsikring'!G137</f>
        <v>-127938.38399999996</v>
      </c>
      <c r="O135" s="74"/>
    </row>
    <row r="136" spans="1:15" x14ac:dyDescent="0.3">
      <c r="A136" s="74"/>
      <c r="B136" s="74"/>
      <c r="C136" s="74"/>
      <c r="D136" s="74"/>
      <c r="E136" s="74"/>
      <c r="F136" s="74"/>
      <c r="G136" s="74"/>
      <c r="H136" s="74"/>
      <c r="I136" s="74"/>
      <c r="J136" s="74"/>
      <c r="K136" s="74"/>
      <c r="L136" s="74" t="s">
        <v>56</v>
      </c>
      <c r="M136" s="77">
        <f>'DNB Livsforsikring'!F11-'DNB Livsforsikring'!F12+'DNB Livsforsikring'!F34-'DNB Livsforsikring'!F35+'DNB Livsforsikring'!F38-'DNB Livsforsikring'!F39+'DNB Livsforsikring'!F111-'DNB Livsforsikring'!F119+'DNB Livsforsikring'!F136-'DNB Livsforsikring'!F137</f>
        <v>1374998</v>
      </c>
      <c r="N136" s="77">
        <f>'DNB Livsforsikring'!G11-'DNB Livsforsikring'!G12+'DNB Livsforsikring'!G34-'DNB Livsforsikring'!G35+'DNB Livsforsikring'!G38-'DNB Livsforsikring'!G39+'DNB Livsforsikring'!G111-'DNB Livsforsikring'!G119+'DNB Livsforsikring'!G136-'DNB Livsforsikring'!G137</f>
        <v>-351863</v>
      </c>
      <c r="O136" s="74"/>
    </row>
    <row r="137" spans="1:15" x14ac:dyDescent="0.3">
      <c r="A137" s="74"/>
      <c r="B137" s="74"/>
      <c r="C137" s="74"/>
      <c r="D137" s="74"/>
      <c r="E137" s="74"/>
      <c r="F137" s="74"/>
      <c r="G137" s="74"/>
      <c r="H137" s="74"/>
      <c r="I137" s="74"/>
      <c r="J137" s="74"/>
      <c r="K137" s="74"/>
      <c r="L137" s="74" t="s">
        <v>58</v>
      </c>
      <c r="M137" s="77">
        <f>'Frende Livsforsikring'!F11-'Frende Livsforsikring'!F12+'Frende Livsforsikring'!F34-'Frende Livsforsikring'!F35+'Frende Livsforsikring'!F38-'Frende Livsforsikring'!F39+'Frende Livsforsikring'!F111-'Frende Livsforsikring'!F119+'Frende Livsforsikring'!F136-'Frende Livsforsikring'!F137</f>
        <v>-46922</v>
      </c>
      <c r="N137" s="77">
        <f>'Frende Livsforsikring'!G11-'Frende Livsforsikring'!G12+'Frende Livsforsikring'!G34-'Frende Livsforsikring'!G35+'Frende Livsforsikring'!G38-'Frende Livsforsikring'!G39+'Frende Livsforsikring'!G111-'Frende Livsforsikring'!G119+'Frende Livsforsikring'!G136-'Frende Livsforsikring'!G137</f>
        <v>-57824.499999999993</v>
      </c>
      <c r="O137" s="74"/>
    </row>
    <row r="138" spans="1:15" x14ac:dyDescent="0.3">
      <c r="A138" s="74"/>
      <c r="B138" s="74"/>
      <c r="C138" s="74"/>
      <c r="D138" s="74"/>
      <c r="E138" s="74"/>
      <c r="F138" s="74"/>
      <c r="G138" s="74"/>
      <c r="H138" s="74"/>
      <c r="I138" s="74"/>
      <c r="J138" s="74"/>
      <c r="K138" s="74"/>
      <c r="L138" s="79" t="s">
        <v>61</v>
      </c>
      <c r="M138" s="77">
        <f>'Gjensidige Pensjon'!F11-'Gjensidige Pensjon'!F12+'Gjensidige Pensjon'!F34-'Gjensidige Pensjon'!F35+'Gjensidige Pensjon'!F38-'Gjensidige Pensjon'!F39+'Gjensidige Pensjon'!F111-'Gjensidige Pensjon'!F119+'Gjensidige Pensjon'!F136-'Gjensidige Pensjon'!F137</f>
        <v>764744.39299999992</v>
      </c>
      <c r="N138" s="77">
        <f>'Gjensidige Pensjon'!G11-'Gjensidige Pensjon'!G12+'Gjensidige Pensjon'!G34-'Gjensidige Pensjon'!G35+'Gjensidige Pensjon'!G38-'Gjensidige Pensjon'!G39+'Gjensidige Pensjon'!G111-'Gjensidige Pensjon'!G119+'Gjensidige Pensjon'!G136-'Gjensidige Pensjon'!G137</f>
        <v>234150</v>
      </c>
      <c r="O138" s="74"/>
    </row>
    <row r="139" spans="1:15" x14ac:dyDescent="0.3">
      <c r="A139" s="74"/>
      <c r="B139" s="74"/>
      <c r="C139" s="74"/>
      <c r="D139" s="74"/>
      <c r="E139" s="74"/>
      <c r="F139" s="74"/>
      <c r="G139" s="74"/>
      <c r="H139" s="74"/>
      <c r="I139" s="74"/>
      <c r="J139" s="74"/>
      <c r="K139" s="74"/>
      <c r="L139" s="74" t="s">
        <v>65</v>
      </c>
      <c r="M139" s="77">
        <f>'KLP Bedriftspensjon AS'!F11-'KLP Bedriftspensjon AS'!F12+'KLP Bedriftspensjon AS'!F34-'KLP Bedriftspensjon AS'!F35+'KLP Bedriftspensjon AS'!F38-'KLP Bedriftspensjon AS'!F39+'KLP Bedriftspensjon AS'!F111-'KLP Bedriftspensjon AS'!F119+'KLP Bedriftspensjon AS'!F136-'KLP Bedriftspensjon AS'!F137</f>
        <v>349100</v>
      </c>
      <c r="N139" s="77">
        <f>'KLP Bedriftspensjon AS'!G11-'KLP Bedriftspensjon AS'!G12+'KLP Bedriftspensjon AS'!G34-'KLP Bedriftspensjon AS'!G35+'KLP Bedriftspensjon AS'!G38-'KLP Bedriftspensjon AS'!G39+'KLP Bedriftspensjon AS'!G111-'KLP Bedriftspensjon AS'!G119+'KLP Bedriftspensjon AS'!G136-'KLP Bedriftspensjon AS'!G137</f>
        <v>284074</v>
      </c>
      <c r="O139" s="74"/>
    </row>
    <row r="140" spans="1:15" x14ac:dyDescent="0.3">
      <c r="A140" s="74"/>
      <c r="B140" s="74"/>
      <c r="C140" s="74"/>
      <c r="D140" s="74"/>
      <c r="E140" s="74"/>
      <c r="F140" s="74"/>
      <c r="G140" s="74"/>
      <c r="H140" s="74"/>
      <c r="I140" s="74"/>
      <c r="J140" s="74"/>
      <c r="K140" s="74"/>
      <c r="L140" s="74" t="s">
        <v>69</v>
      </c>
      <c r="M140" s="77">
        <f>'Nordea Liv '!F11-'Nordea Liv '!F12+'Nordea Liv '!F34-'Nordea Liv '!F35+'Nordea Liv '!F38-'Nordea Liv '!F39+'Nordea Liv '!F111-'Nordea Liv '!F119+'Nordea Liv '!F136-'Nordea Liv '!F137</f>
        <v>-993310.38032999984</v>
      </c>
      <c r="N140" s="77">
        <f>'Nordea Liv '!G11-'Nordea Liv '!G12+'Nordea Liv '!G34-'Nordea Liv '!G35+'Nordea Liv '!G38-'Nordea Liv '!G39+'Nordea Liv '!G111-'Nordea Liv '!G119+'Nordea Liv '!G136-'Nordea Liv '!G137</f>
        <v>-1085791.4407300001</v>
      </c>
      <c r="O140" s="74"/>
    </row>
    <row r="141" spans="1:15" x14ac:dyDescent="0.3">
      <c r="A141" s="74"/>
      <c r="B141" s="74"/>
      <c r="C141" s="74"/>
      <c r="D141" s="74"/>
      <c r="E141" s="74"/>
      <c r="F141" s="74"/>
      <c r="G141" s="74"/>
      <c r="H141" s="74"/>
      <c r="I141" s="74"/>
      <c r="J141" s="74"/>
      <c r="K141" s="74"/>
      <c r="L141" s="74" t="s">
        <v>75</v>
      </c>
      <c r="M141" s="77">
        <f>'SHB Liv'!F11-'SHB Liv'!F12+'SHB Liv'!F34-'SHB Liv'!F35+'SHB Liv'!F38-'SHB Liv'!F39+'SHB Liv'!F111-'SHB Liv'!F119+'SHB Liv'!F136-'SHB Liv'!F137</f>
        <v>63074</v>
      </c>
      <c r="N141" s="77">
        <f>'SHB Liv'!G11-'SHB Liv'!G12+'SHB Liv'!G34-'SHB Liv'!G35+'SHB Liv'!G38-'SHB Liv'!G39+'SHB Liv'!G111-'SHB Liv'!G119+'SHB Liv'!G136-'SHB Liv'!G137</f>
        <v>120585</v>
      </c>
      <c r="O141" s="74"/>
    </row>
    <row r="142" spans="1:15" x14ac:dyDescent="0.3">
      <c r="A142" s="74"/>
      <c r="B142" s="74"/>
      <c r="C142" s="74"/>
      <c r="D142" s="74"/>
      <c r="E142" s="74"/>
      <c r="F142" s="74"/>
      <c r="G142" s="74"/>
      <c r="H142" s="74"/>
      <c r="I142" s="74"/>
      <c r="J142" s="74"/>
      <c r="K142" s="74"/>
      <c r="L142" s="74" t="s">
        <v>71</v>
      </c>
      <c r="M142" s="77">
        <f>'Sparebank 1'!F11-'Sparebank 1'!F12+'Sparebank 1'!F34-'Sparebank 1'!F35+'Sparebank 1'!F38-'Sparebank 1'!F39+'Sparebank 1'!F111-'Sparebank 1'!F119+'Sparebank 1'!F136-'Sparebank 1'!F137</f>
        <v>802761.49941999989</v>
      </c>
      <c r="N142" s="77">
        <f>'Sparebank 1'!G11-'Sparebank 1'!G12+'Sparebank 1'!G34-'Sparebank 1'!G35+'Sparebank 1'!G38-'Sparebank 1'!G39+'Sparebank 1'!G111-'Sparebank 1'!G119+'Sparebank 1'!G136-'Sparebank 1'!G137</f>
        <v>1410787.0637000001</v>
      </c>
      <c r="O142" s="74"/>
    </row>
    <row r="143" spans="1:15" x14ac:dyDescent="0.3">
      <c r="A143" s="74"/>
      <c r="B143" s="74"/>
      <c r="C143" s="74"/>
      <c r="D143" s="74"/>
      <c r="E143" s="74"/>
      <c r="F143" s="74"/>
      <c r="G143" s="74"/>
      <c r="H143" s="74"/>
      <c r="I143" s="74"/>
      <c r="J143" s="74"/>
      <c r="K143" s="74"/>
      <c r="L143" s="74" t="s">
        <v>76</v>
      </c>
      <c r="M143" s="77">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-2471418.9609999997</v>
      </c>
      <c r="N143" s="77">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-503303.25299999979</v>
      </c>
      <c r="O143" s="74"/>
    </row>
    <row r="144" spans="1:15" x14ac:dyDescent="0.3">
      <c r="A144" s="74"/>
      <c r="B144" s="74"/>
      <c r="C144" s="74"/>
      <c r="D144" s="74"/>
      <c r="E144" s="74"/>
      <c r="F144" s="74"/>
      <c r="G144" s="74"/>
      <c r="H144" s="74"/>
      <c r="I144" s="74"/>
      <c r="J144" s="74"/>
      <c r="K144" s="74"/>
      <c r="O144" s="74"/>
    </row>
    <row r="145" spans="1:15" x14ac:dyDescent="0.3">
      <c r="A145" s="74"/>
      <c r="B145" s="74"/>
      <c r="C145" s="74"/>
      <c r="D145" s="74"/>
      <c r="E145" s="74"/>
      <c r="F145" s="74"/>
      <c r="G145" s="74"/>
      <c r="H145" s="74"/>
      <c r="I145" s="74"/>
      <c r="J145" s="74"/>
      <c r="K145" s="74"/>
      <c r="O145" s="74"/>
    </row>
    <row r="146" spans="1:15" x14ac:dyDescent="0.3">
      <c r="A146" s="74"/>
      <c r="B146" s="74"/>
      <c r="C146" s="74"/>
      <c r="D146" s="74"/>
      <c r="E146" s="74"/>
      <c r="F146" s="74"/>
      <c r="G146" s="74"/>
      <c r="H146" s="74"/>
      <c r="I146" s="74"/>
      <c r="J146" s="74"/>
      <c r="K146" s="74"/>
      <c r="O146" s="74"/>
    </row>
    <row r="147" spans="1:15" x14ac:dyDescent="0.3">
      <c r="A147" s="74"/>
      <c r="B147" s="74"/>
      <c r="C147" s="74"/>
      <c r="D147" s="74"/>
      <c r="E147" s="74"/>
      <c r="F147" s="74"/>
      <c r="G147" s="74"/>
      <c r="H147" s="74"/>
      <c r="I147" s="74"/>
      <c r="J147" s="74"/>
      <c r="K147" s="74"/>
      <c r="O147" s="74"/>
    </row>
    <row r="148" spans="1:15" x14ac:dyDescent="0.3">
      <c r="A148" s="74"/>
      <c r="B148" s="74"/>
      <c r="C148" s="74"/>
      <c r="D148" s="74"/>
      <c r="E148" s="74"/>
      <c r="F148" s="74"/>
      <c r="G148" s="74"/>
      <c r="H148" s="74"/>
      <c r="I148" s="74"/>
      <c r="J148" s="74"/>
      <c r="K148" s="74"/>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O154" s="74"/>
    </row>
    <row r="155" spans="1:15" x14ac:dyDescent="0.3">
      <c r="O155" s="74"/>
    </row>
    <row r="156" spans="1:15" x14ac:dyDescent="0.3">
      <c r="O156" s="74"/>
    </row>
    <row r="157" spans="1:15" x14ac:dyDescent="0.3">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A170" s="74"/>
      <c r="B170" s="74"/>
      <c r="C170" s="74"/>
      <c r="D170" s="74"/>
      <c r="E170" s="74"/>
      <c r="F170" s="74"/>
      <c r="G170" s="74"/>
      <c r="H170" s="74"/>
      <c r="I170" s="74"/>
      <c r="J170" s="74"/>
      <c r="K170" s="74"/>
      <c r="O170" s="74"/>
    </row>
    <row r="171" spans="1:15" x14ac:dyDescent="0.3">
      <c r="A171" s="74"/>
      <c r="B171" s="74"/>
      <c r="C171" s="74"/>
      <c r="D171" s="74"/>
      <c r="E171" s="74"/>
      <c r="F171" s="74"/>
      <c r="G171" s="74"/>
      <c r="H171" s="74"/>
      <c r="I171" s="74"/>
      <c r="J171" s="74"/>
      <c r="K171" s="74"/>
      <c r="O171" s="74"/>
    </row>
    <row r="172" spans="1:15" x14ac:dyDescent="0.3">
      <c r="A172" s="74"/>
      <c r="B172" s="74"/>
      <c r="C172" s="74"/>
      <c r="D172" s="74"/>
      <c r="E172" s="74"/>
      <c r="F172" s="74"/>
      <c r="G172" s="74"/>
      <c r="H172" s="74"/>
      <c r="I172" s="74"/>
      <c r="J172" s="74"/>
      <c r="K172" s="74"/>
      <c r="O172" s="74"/>
    </row>
    <row r="173" spans="1:15" x14ac:dyDescent="0.3">
      <c r="A173" s="74"/>
      <c r="B173" s="74"/>
      <c r="C173" s="74"/>
      <c r="D173" s="74"/>
      <c r="E173" s="74"/>
      <c r="F173" s="74"/>
      <c r="G173" s="74"/>
      <c r="H173" s="74"/>
      <c r="I173" s="74"/>
      <c r="J173" s="74"/>
      <c r="K173" s="74"/>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O144"/>
  <sheetViews>
    <sheetView showGridLines="0" zoomScale="90" zoomScaleNormal="90" workbookViewId="0">
      <selection activeCell="A3" sqref="A3"/>
    </sheetView>
  </sheetViews>
  <sheetFormatPr baseColWidth="10" defaultColWidth="11.42578125" defaultRowHeight="12.75" x14ac:dyDescent="0.2"/>
  <cols>
    <col min="1" max="1" width="43"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105</v>
      </c>
      <c r="D1" s="26"/>
      <c r="E1" s="26"/>
      <c r="F1" s="26"/>
      <c r="G1" s="26"/>
      <c r="H1" s="26"/>
      <c r="I1" s="26"/>
      <c r="J1" s="26"/>
      <c r="K1" s="26"/>
      <c r="L1" s="26"/>
      <c r="M1" s="26"/>
      <c r="O1" s="430"/>
    </row>
    <row r="2" spans="1:15" ht="15.75" x14ac:dyDescent="0.25">
      <c r="A2" s="165" t="s">
        <v>28</v>
      </c>
      <c r="B2" s="731"/>
      <c r="C2" s="731"/>
      <c r="D2" s="731"/>
      <c r="E2" s="302"/>
      <c r="F2" s="731"/>
      <c r="G2" s="731"/>
      <c r="H2" s="731"/>
      <c r="I2" s="302"/>
      <c r="J2" s="731"/>
      <c r="K2" s="731"/>
      <c r="L2" s="731"/>
      <c r="M2" s="302"/>
      <c r="O2" s="148"/>
    </row>
    <row r="3" spans="1:15" ht="15.75" x14ac:dyDescent="0.25">
      <c r="A3" s="163"/>
      <c r="B3" s="302"/>
      <c r="C3" s="302"/>
      <c r="D3" s="302"/>
      <c r="E3" s="302"/>
      <c r="F3" s="302"/>
      <c r="G3" s="302"/>
      <c r="H3" s="302"/>
      <c r="I3" s="302"/>
      <c r="J3" s="302"/>
      <c r="K3" s="302"/>
      <c r="L3" s="302"/>
      <c r="M3" s="302"/>
      <c r="O3" s="148"/>
    </row>
    <row r="4" spans="1:15" x14ac:dyDescent="0.2">
      <c r="A4" s="144"/>
      <c r="B4" s="726" t="s">
        <v>0</v>
      </c>
      <c r="C4" s="727"/>
      <c r="D4" s="727"/>
      <c r="E4" s="304"/>
      <c r="F4" s="726" t="s">
        <v>1</v>
      </c>
      <c r="G4" s="727"/>
      <c r="H4" s="727"/>
      <c r="I4" s="307"/>
      <c r="J4" s="726" t="s">
        <v>2</v>
      </c>
      <c r="K4" s="727"/>
      <c r="L4" s="727"/>
      <c r="M4" s="307"/>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c r="C7" s="310"/>
      <c r="D7" s="354"/>
      <c r="E7" s="11"/>
      <c r="F7" s="309"/>
      <c r="G7" s="310"/>
      <c r="H7" s="354"/>
      <c r="I7" s="160"/>
      <c r="J7" s="311"/>
      <c r="K7" s="312"/>
      <c r="L7" s="431"/>
      <c r="M7" s="11"/>
      <c r="O7" s="148"/>
    </row>
    <row r="8" spans="1:15" ht="15.75" x14ac:dyDescent="0.2">
      <c r="A8" s="21" t="s">
        <v>25</v>
      </c>
      <c r="B8" s="284"/>
      <c r="C8" s="285"/>
      <c r="D8" s="166"/>
      <c r="E8" s="27"/>
      <c r="F8" s="288"/>
      <c r="G8" s="289"/>
      <c r="H8" s="166"/>
      <c r="I8" s="176"/>
      <c r="J8" s="235"/>
      <c r="K8" s="290"/>
      <c r="L8" s="257"/>
      <c r="M8" s="27"/>
      <c r="O8" s="148"/>
    </row>
    <row r="9" spans="1:15" ht="15.75" x14ac:dyDescent="0.2">
      <c r="A9" s="21" t="s">
        <v>24</v>
      </c>
      <c r="B9" s="284"/>
      <c r="C9" s="285"/>
      <c r="D9" s="166"/>
      <c r="E9" s="27"/>
      <c r="F9" s="288"/>
      <c r="G9" s="289"/>
      <c r="H9" s="166"/>
      <c r="I9" s="176"/>
      <c r="J9" s="235"/>
      <c r="K9" s="290"/>
      <c r="L9" s="257"/>
      <c r="M9" s="27"/>
      <c r="O9" s="148"/>
    </row>
    <row r="10" spans="1:15" ht="15.75" x14ac:dyDescent="0.2">
      <c r="A10" s="13" t="s">
        <v>376</v>
      </c>
      <c r="B10" s="313"/>
      <c r="C10" s="314"/>
      <c r="D10" s="171"/>
      <c r="E10" s="11"/>
      <c r="F10" s="313"/>
      <c r="G10" s="314"/>
      <c r="H10" s="171"/>
      <c r="I10" s="160"/>
      <c r="J10" s="311"/>
      <c r="K10" s="312"/>
      <c r="L10" s="432"/>
      <c r="M10" s="11"/>
      <c r="O10" s="148"/>
    </row>
    <row r="11" spans="1:15" s="43" customFormat="1" ht="15.75" x14ac:dyDescent="0.2">
      <c r="A11" s="13" t="s">
        <v>377</v>
      </c>
      <c r="B11" s="313"/>
      <c r="C11" s="314"/>
      <c r="D11" s="171"/>
      <c r="E11" s="11"/>
      <c r="F11" s="313"/>
      <c r="G11" s="314"/>
      <c r="H11" s="171"/>
      <c r="I11" s="160"/>
      <c r="J11" s="311"/>
      <c r="K11" s="312"/>
      <c r="L11" s="432"/>
      <c r="M11" s="11"/>
      <c r="N11" s="143"/>
      <c r="O11" s="148"/>
    </row>
    <row r="12" spans="1:15" s="43" customFormat="1" ht="15.75" x14ac:dyDescent="0.2">
      <c r="A12" s="41" t="s">
        <v>378</v>
      </c>
      <c r="B12" s="315"/>
      <c r="C12" s="316"/>
      <c r="D12" s="169"/>
      <c r="E12" s="36"/>
      <c r="F12" s="315"/>
      <c r="G12" s="316"/>
      <c r="H12" s="169"/>
      <c r="I12" s="169"/>
      <c r="J12" s="317"/>
      <c r="K12" s="318"/>
      <c r="L12" s="433"/>
      <c r="M12" s="36"/>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302"/>
      <c r="F18" s="729"/>
      <c r="G18" s="729"/>
      <c r="H18" s="729"/>
      <c r="I18" s="302"/>
      <c r="J18" s="729"/>
      <c r="K18" s="729"/>
      <c r="L18" s="729"/>
      <c r="M18" s="302"/>
      <c r="O18" s="148"/>
    </row>
    <row r="19" spans="1:15" x14ac:dyDescent="0.2">
      <c r="A19" s="144"/>
      <c r="B19" s="726" t="s">
        <v>0</v>
      </c>
      <c r="C19" s="727"/>
      <c r="D19" s="727"/>
      <c r="E19" s="304"/>
      <c r="F19" s="726" t="s">
        <v>1</v>
      </c>
      <c r="G19" s="727"/>
      <c r="H19" s="727"/>
      <c r="I19" s="307"/>
      <c r="J19" s="726" t="s">
        <v>2</v>
      </c>
      <c r="K19" s="727"/>
      <c r="L19" s="727"/>
      <c r="M19" s="307"/>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20"/>
      <c r="C22" s="320"/>
      <c r="D22" s="354"/>
      <c r="E22" s="11"/>
      <c r="F22" s="321"/>
      <c r="G22" s="321"/>
      <c r="H22" s="354"/>
      <c r="I22" s="11"/>
      <c r="J22" s="319"/>
      <c r="K22" s="319"/>
      <c r="L22" s="431"/>
      <c r="M22" s="24"/>
      <c r="O22" s="148"/>
    </row>
    <row r="23" spans="1:15" ht="15.75" x14ac:dyDescent="0.2">
      <c r="A23" s="619" t="s">
        <v>379</v>
      </c>
      <c r="B23" s="284"/>
      <c r="C23" s="284"/>
      <c r="D23" s="166"/>
      <c r="E23" s="11"/>
      <c r="F23" s="293"/>
      <c r="G23" s="293"/>
      <c r="H23" s="166"/>
      <c r="I23" s="421"/>
      <c r="J23" s="293"/>
      <c r="K23" s="293"/>
      <c r="L23" s="166"/>
      <c r="M23" s="23"/>
      <c r="O23" s="148"/>
    </row>
    <row r="24" spans="1:15" ht="15.75" x14ac:dyDescent="0.2">
      <c r="A24" s="619" t="s">
        <v>380</v>
      </c>
      <c r="B24" s="284"/>
      <c r="C24" s="284"/>
      <c r="D24" s="166"/>
      <c r="E24" s="11"/>
      <c r="F24" s="293"/>
      <c r="G24" s="293"/>
      <c r="H24" s="166"/>
      <c r="I24" s="421"/>
      <c r="J24" s="293"/>
      <c r="K24" s="293"/>
      <c r="L24" s="166"/>
      <c r="M24" s="23"/>
      <c r="O24" s="148"/>
    </row>
    <row r="25" spans="1:15" ht="15.75" x14ac:dyDescent="0.2">
      <c r="A25" s="619" t="s">
        <v>381</v>
      </c>
      <c r="B25" s="284"/>
      <c r="C25" s="284"/>
      <c r="D25" s="166"/>
      <c r="E25" s="11"/>
      <c r="F25" s="293"/>
      <c r="G25" s="293"/>
      <c r="H25" s="166"/>
      <c r="I25" s="421"/>
      <c r="J25" s="293"/>
      <c r="K25" s="293"/>
      <c r="L25" s="166"/>
      <c r="M25" s="23"/>
      <c r="O25" s="148"/>
    </row>
    <row r="26" spans="1:15" ht="15.75" x14ac:dyDescent="0.2">
      <c r="A26" s="619" t="s">
        <v>382</v>
      </c>
      <c r="B26" s="284"/>
      <c r="C26" s="284"/>
      <c r="D26" s="166"/>
      <c r="E26" s="11"/>
      <c r="F26" s="293"/>
      <c r="G26" s="293"/>
      <c r="H26" s="166"/>
      <c r="I26" s="421"/>
      <c r="J26" s="293"/>
      <c r="K26" s="293"/>
      <c r="L26" s="166"/>
      <c r="M26" s="23"/>
      <c r="O26" s="148"/>
    </row>
    <row r="27" spans="1:15" x14ac:dyDescent="0.2">
      <c r="A27" s="619" t="s">
        <v>11</v>
      </c>
      <c r="B27" s="284"/>
      <c r="C27" s="284"/>
      <c r="D27" s="166"/>
      <c r="E27" s="11"/>
      <c r="F27" s="293"/>
      <c r="G27" s="293"/>
      <c r="H27" s="166"/>
      <c r="I27" s="421"/>
      <c r="J27" s="293"/>
      <c r="K27" s="293"/>
      <c r="L27" s="166"/>
      <c r="M27" s="23"/>
      <c r="O27" s="148"/>
    </row>
    <row r="28" spans="1:15" ht="15.75" x14ac:dyDescent="0.2">
      <c r="A28" s="49" t="s">
        <v>287</v>
      </c>
      <c r="B28" s="44"/>
      <c r="C28" s="290"/>
      <c r="D28" s="166"/>
      <c r="E28" s="11"/>
      <c r="F28" s="235"/>
      <c r="G28" s="290"/>
      <c r="H28" s="166"/>
      <c r="I28" s="27"/>
      <c r="J28" s="44"/>
      <c r="K28" s="44"/>
      <c r="L28" s="257"/>
      <c r="M28" s="23"/>
      <c r="O28" s="148"/>
    </row>
    <row r="29" spans="1:15" s="3" customFormat="1" ht="15.75" x14ac:dyDescent="0.2">
      <c r="A29" s="13" t="s">
        <v>376</v>
      </c>
      <c r="B29" s="237"/>
      <c r="C29" s="237"/>
      <c r="D29" s="171"/>
      <c r="E29" s="11"/>
      <c r="F29" s="311"/>
      <c r="G29" s="311"/>
      <c r="H29" s="171"/>
      <c r="I29" s="11"/>
      <c r="J29" s="237"/>
      <c r="K29" s="237"/>
      <c r="L29" s="432"/>
      <c r="M29" s="24"/>
      <c r="N29" s="148"/>
      <c r="O29" s="148"/>
    </row>
    <row r="30" spans="1:15" s="3" customFormat="1" ht="15.75" x14ac:dyDescent="0.2">
      <c r="A30" s="619" t="s">
        <v>379</v>
      </c>
      <c r="B30" s="284"/>
      <c r="C30" s="284"/>
      <c r="D30" s="166"/>
      <c r="E30" s="11"/>
      <c r="F30" s="293"/>
      <c r="G30" s="293"/>
      <c r="H30" s="166"/>
      <c r="I30" s="421"/>
      <c r="J30" s="293"/>
      <c r="K30" s="293"/>
      <c r="L30" s="166"/>
      <c r="M30" s="23"/>
      <c r="N30" s="148"/>
      <c r="O30" s="148"/>
    </row>
    <row r="31" spans="1:15" s="3" customFormat="1" ht="15.75" x14ac:dyDescent="0.2">
      <c r="A31" s="619" t="s">
        <v>380</v>
      </c>
      <c r="B31" s="284"/>
      <c r="C31" s="284"/>
      <c r="D31" s="166"/>
      <c r="E31" s="11"/>
      <c r="F31" s="293"/>
      <c r="G31" s="293"/>
      <c r="H31" s="166"/>
      <c r="I31" s="421"/>
      <c r="J31" s="293"/>
      <c r="K31" s="293"/>
      <c r="L31" s="166"/>
      <c r="M31" s="23"/>
      <c r="N31" s="148"/>
      <c r="O31" s="148"/>
    </row>
    <row r="32" spans="1:15" ht="15.75" x14ac:dyDescent="0.2">
      <c r="A32" s="619" t="s">
        <v>381</v>
      </c>
      <c r="B32" s="284"/>
      <c r="C32" s="284"/>
      <c r="D32" s="166"/>
      <c r="E32" s="11"/>
      <c r="F32" s="293"/>
      <c r="G32" s="293"/>
      <c r="H32" s="166"/>
      <c r="I32" s="421"/>
      <c r="J32" s="293"/>
      <c r="K32" s="293"/>
      <c r="L32" s="166"/>
      <c r="M32" s="23"/>
      <c r="O32" s="148"/>
    </row>
    <row r="33" spans="1:15" ht="15.75" x14ac:dyDescent="0.2">
      <c r="A33" s="619" t="s">
        <v>382</v>
      </c>
      <c r="B33" s="284"/>
      <c r="C33" s="284"/>
      <c r="D33" s="166"/>
      <c r="E33" s="11"/>
      <c r="F33" s="293"/>
      <c r="G33" s="293"/>
      <c r="H33" s="166"/>
      <c r="I33" s="421"/>
      <c r="J33" s="293"/>
      <c r="K33" s="293"/>
      <c r="L33" s="166"/>
      <c r="M33" s="23"/>
      <c r="O33" s="148"/>
    </row>
    <row r="34" spans="1:15" ht="15.75" x14ac:dyDescent="0.2">
      <c r="A34" s="13" t="s">
        <v>377</v>
      </c>
      <c r="B34" s="237"/>
      <c r="C34" s="312"/>
      <c r="D34" s="171"/>
      <c r="E34" s="11"/>
      <c r="F34" s="311"/>
      <c r="G34" s="312"/>
      <c r="H34" s="171"/>
      <c r="I34" s="11"/>
      <c r="J34" s="237"/>
      <c r="K34" s="237"/>
      <c r="L34" s="432"/>
      <c r="M34" s="24"/>
      <c r="O34" s="148"/>
    </row>
    <row r="35" spans="1:15" ht="15.75" x14ac:dyDescent="0.2">
      <c r="A35" s="13" t="s">
        <v>378</v>
      </c>
      <c r="B35" s="237"/>
      <c r="C35" s="312"/>
      <c r="D35" s="171"/>
      <c r="E35" s="11"/>
      <c r="F35" s="311"/>
      <c r="G35" s="312"/>
      <c r="H35" s="171"/>
      <c r="I35" s="11"/>
      <c r="J35" s="237"/>
      <c r="K35" s="237"/>
      <c r="L35" s="432"/>
      <c r="M35" s="24"/>
      <c r="O35" s="148"/>
    </row>
    <row r="36" spans="1:15" ht="15.75" x14ac:dyDescent="0.2">
      <c r="A36" s="12" t="s">
        <v>295</v>
      </c>
      <c r="B36" s="237"/>
      <c r="C36" s="312"/>
      <c r="D36" s="171"/>
      <c r="E36" s="11"/>
      <c r="F36" s="322"/>
      <c r="G36" s="323"/>
      <c r="H36" s="171"/>
      <c r="I36" s="438"/>
      <c r="J36" s="237"/>
      <c r="K36" s="237"/>
      <c r="L36" s="432"/>
      <c r="M36" s="24"/>
      <c r="O36" s="148"/>
    </row>
    <row r="37" spans="1:15" ht="15.75" x14ac:dyDescent="0.2">
      <c r="A37" s="12" t="s">
        <v>384</v>
      </c>
      <c r="B37" s="237"/>
      <c r="C37" s="312"/>
      <c r="D37" s="171"/>
      <c r="E37" s="11"/>
      <c r="F37" s="322"/>
      <c r="G37" s="324"/>
      <c r="H37" s="171"/>
      <c r="I37" s="438"/>
      <c r="J37" s="237"/>
      <c r="K37" s="237"/>
      <c r="L37" s="432"/>
      <c r="M37" s="24"/>
      <c r="O37" s="148"/>
    </row>
    <row r="38" spans="1:15" ht="15.75" x14ac:dyDescent="0.2">
      <c r="A38" s="12" t="s">
        <v>385</v>
      </c>
      <c r="B38" s="237"/>
      <c r="C38" s="312"/>
      <c r="D38" s="436"/>
      <c r="E38" s="24"/>
      <c r="F38" s="322"/>
      <c r="G38" s="323"/>
      <c r="H38" s="171"/>
      <c r="I38" s="438"/>
      <c r="J38" s="237"/>
      <c r="K38" s="237"/>
      <c r="L38" s="432"/>
      <c r="M38" s="24"/>
      <c r="O38" s="148"/>
    </row>
    <row r="39" spans="1:15" ht="15.75" x14ac:dyDescent="0.2">
      <c r="A39" s="18" t="s">
        <v>386</v>
      </c>
      <c r="B39" s="279"/>
      <c r="C39" s="318"/>
      <c r="D39" s="437"/>
      <c r="E39" s="36"/>
      <c r="F39" s="325"/>
      <c r="G39" s="326"/>
      <c r="H39" s="169"/>
      <c r="I39" s="36"/>
      <c r="J39" s="237"/>
      <c r="K39" s="237"/>
      <c r="L39" s="433"/>
      <c r="M39" s="36"/>
      <c r="O39" s="148"/>
    </row>
    <row r="40" spans="1:15" ht="15.75" x14ac:dyDescent="0.25">
      <c r="A40" s="47"/>
      <c r="B40" s="256"/>
      <c r="C40" s="256"/>
      <c r="D40" s="730"/>
      <c r="E40" s="732"/>
      <c r="F40" s="730"/>
      <c r="G40" s="730"/>
      <c r="H40" s="730"/>
      <c r="I40" s="730"/>
      <c r="J40" s="730"/>
      <c r="K40" s="730"/>
      <c r="L40" s="730"/>
      <c r="M40" s="305"/>
      <c r="O40" s="148"/>
    </row>
    <row r="41" spans="1:15" x14ac:dyDescent="0.2">
      <c r="A41" s="155"/>
      <c r="O41" s="148"/>
    </row>
    <row r="42" spans="1:15" ht="15.75" x14ac:dyDescent="0.25">
      <c r="A42" s="147" t="s">
        <v>284</v>
      </c>
      <c r="B42" s="731"/>
      <c r="C42" s="731"/>
      <c r="D42" s="731"/>
      <c r="E42" s="302"/>
      <c r="F42" s="732"/>
      <c r="G42" s="732"/>
      <c r="H42" s="732"/>
      <c r="I42" s="305"/>
      <c r="J42" s="732"/>
      <c r="K42" s="732"/>
      <c r="L42" s="732"/>
      <c r="M42" s="305"/>
      <c r="O42" s="148"/>
    </row>
    <row r="43" spans="1:15" ht="15.75" x14ac:dyDescent="0.25">
      <c r="A43" s="163"/>
      <c r="B43" s="306"/>
      <c r="C43" s="306"/>
      <c r="D43" s="306"/>
      <c r="E43" s="306"/>
      <c r="F43" s="305"/>
      <c r="G43" s="305"/>
      <c r="H43" s="305"/>
      <c r="I43" s="305"/>
      <c r="J43" s="305"/>
      <c r="K43" s="305"/>
      <c r="L43" s="305"/>
      <c r="M43" s="305"/>
      <c r="O43" s="148"/>
    </row>
    <row r="44" spans="1:15" ht="15.75" x14ac:dyDescent="0.25">
      <c r="A44" s="250"/>
      <c r="B44" s="726" t="s">
        <v>0</v>
      </c>
      <c r="C44" s="727"/>
      <c r="D44" s="727"/>
      <c r="E44" s="245"/>
      <c r="F44" s="305"/>
      <c r="G44" s="305"/>
      <c r="H44" s="305"/>
      <c r="I44" s="305"/>
      <c r="J44" s="305"/>
      <c r="K44" s="305"/>
      <c r="L44" s="305"/>
      <c r="M44" s="305"/>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v>487718.42099999997</v>
      </c>
      <c r="C47" s="314">
        <v>494563</v>
      </c>
      <c r="D47" s="431">
        <f t="shared" ref="D47:D58" si="0">IF(B47=0, "    ---- ", IF(ABS(ROUND(100/B47*C47-100,1))&lt;999,ROUND(100/B47*C47-100,1),IF(ROUND(100/B47*C47-100,1)&gt;999,999,-999)))</f>
        <v>1.4</v>
      </c>
      <c r="E47" s="11">
        <f>IFERROR(100/'Skjema total MA'!C47*C47,0)</f>
        <v>13.403250843757357</v>
      </c>
      <c r="F47" s="145"/>
      <c r="G47" s="33"/>
      <c r="H47" s="159"/>
      <c r="I47" s="159"/>
      <c r="J47" s="37"/>
      <c r="K47" s="37"/>
      <c r="L47" s="159"/>
      <c r="M47" s="159"/>
      <c r="N47" s="148"/>
      <c r="O47" s="148"/>
    </row>
    <row r="48" spans="1:15" s="3" customFormat="1" ht="15.75" x14ac:dyDescent="0.2">
      <c r="A48" s="38" t="s">
        <v>387</v>
      </c>
      <c r="B48" s="284">
        <v>210843.405</v>
      </c>
      <c r="C48" s="285">
        <v>209675</v>
      </c>
      <c r="D48" s="257">
        <f t="shared" si="0"/>
        <v>-0.6</v>
      </c>
      <c r="E48" s="27">
        <f>IFERROR(100/'Skjema total MA'!C48*C48,0)</f>
        <v>10.035191851425921</v>
      </c>
      <c r="F48" s="145"/>
      <c r="G48" s="33"/>
      <c r="H48" s="145"/>
      <c r="I48" s="145"/>
      <c r="J48" s="33"/>
      <c r="K48" s="33"/>
      <c r="L48" s="159"/>
      <c r="M48" s="159"/>
      <c r="N48" s="148"/>
      <c r="O48" s="148"/>
    </row>
    <row r="49" spans="1:15" s="3" customFormat="1" ht="15.75" x14ac:dyDescent="0.2">
      <c r="A49" s="38" t="s">
        <v>388</v>
      </c>
      <c r="B49" s="44">
        <v>276875.016</v>
      </c>
      <c r="C49" s="290">
        <v>284888</v>
      </c>
      <c r="D49" s="257">
        <f>IF(B49=0, "    ---- ", IF(ABS(ROUND(100/B49*C49-100,1))&lt;999,ROUND(100/B49*C49-100,1),IF(ROUND(100/B49*C49-100,1)&gt;999,999,-999)))</f>
        <v>2.9</v>
      </c>
      <c r="E49" s="27">
        <f>IFERROR(100/'Skjema total MA'!C49*C49,0)</f>
        <v>17.800199241509954</v>
      </c>
      <c r="F49" s="145"/>
      <c r="G49" s="33"/>
      <c r="H49" s="145"/>
      <c r="I49" s="145"/>
      <c r="J49" s="37"/>
      <c r="K49" s="37"/>
      <c r="L49" s="159"/>
      <c r="M49" s="159"/>
      <c r="N49" s="148"/>
      <c r="O49" s="148"/>
    </row>
    <row r="50" spans="1:15" s="3" customFormat="1" x14ac:dyDescent="0.2">
      <c r="A50" s="299" t="s">
        <v>6</v>
      </c>
      <c r="B50" s="293"/>
      <c r="C50" s="294"/>
      <c r="D50" s="257"/>
      <c r="E50" s="23"/>
      <c r="F50" s="145"/>
      <c r="G50" s="33"/>
      <c r="H50" s="145"/>
      <c r="I50" s="145"/>
      <c r="J50" s="33"/>
      <c r="K50" s="33"/>
      <c r="L50" s="159"/>
      <c r="M50" s="159"/>
      <c r="N50" s="148"/>
      <c r="O50" s="148"/>
    </row>
    <row r="51" spans="1:15" s="3" customFormat="1" x14ac:dyDescent="0.2">
      <c r="A51" s="299" t="s">
        <v>7</v>
      </c>
      <c r="B51" s="293"/>
      <c r="C51" s="294"/>
      <c r="D51" s="257"/>
      <c r="E51" s="23"/>
      <c r="F51" s="145"/>
      <c r="G51" s="33"/>
      <c r="H51" s="145"/>
      <c r="I51" s="145"/>
      <c r="J51" s="33"/>
      <c r="K51" s="33"/>
      <c r="L51" s="159"/>
      <c r="M51" s="159"/>
      <c r="N51" s="148"/>
      <c r="O51" s="148"/>
    </row>
    <row r="52" spans="1:15" s="3" customFormat="1" x14ac:dyDescent="0.2">
      <c r="A52" s="299" t="s">
        <v>8</v>
      </c>
      <c r="B52" s="293"/>
      <c r="C52" s="294"/>
      <c r="D52" s="257"/>
      <c r="E52" s="23"/>
      <c r="F52" s="145"/>
      <c r="G52" s="33"/>
      <c r="H52" s="145"/>
      <c r="I52" s="145"/>
      <c r="J52" s="33"/>
      <c r="K52" s="33"/>
      <c r="L52" s="159"/>
      <c r="M52" s="159"/>
      <c r="N52" s="148"/>
      <c r="O52" s="148"/>
    </row>
    <row r="53" spans="1:15" s="3" customFormat="1" ht="15.75" x14ac:dyDescent="0.2">
      <c r="A53" s="39" t="s">
        <v>389</v>
      </c>
      <c r="B53" s="313">
        <v>14981.212</v>
      </c>
      <c r="C53" s="314">
        <v>14979.73</v>
      </c>
      <c r="D53" s="432">
        <f t="shared" si="0"/>
        <v>0</v>
      </c>
      <c r="E53" s="11">
        <f>IFERROR(100/'Skjema total MA'!C53*C53,0)</f>
        <v>15.337838466018132</v>
      </c>
      <c r="F53" s="145"/>
      <c r="G53" s="33"/>
      <c r="H53" s="145"/>
      <c r="I53" s="145"/>
      <c r="J53" s="33"/>
      <c r="K53" s="33"/>
      <c r="L53" s="159"/>
      <c r="M53" s="159"/>
      <c r="N53" s="148"/>
      <c r="O53" s="148"/>
    </row>
    <row r="54" spans="1:15" s="3" customFormat="1" ht="15.75" x14ac:dyDescent="0.2">
      <c r="A54" s="38" t="s">
        <v>387</v>
      </c>
      <c r="B54" s="284">
        <v>12798.312</v>
      </c>
      <c r="C54" s="285">
        <v>14979.73</v>
      </c>
      <c r="D54" s="257">
        <f t="shared" si="0"/>
        <v>17</v>
      </c>
      <c r="E54" s="27">
        <f>IFERROR(100/'Skjema total MA'!C54*C54,0)</f>
        <v>15.337838466018132</v>
      </c>
      <c r="F54" s="145"/>
      <c r="G54" s="33"/>
      <c r="H54" s="145"/>
      <c r="I54" s="145"/>
      <c r="J54" s="33"/>
      <c r="K54" s="33"/>
      <c r="L54" s="159"/>
      <c r="M54" s="159"/>
      <c r="N54" s="148"/>
      <c r="O54" s="148"/>
    </row>
    <row r="55" spans="1:15" s="3" customFormat="1" ht="15.75" x14ac:dyDescent="0.2">
      <c r="A55" s="38" t="s">
        <v>388</v>
      </c>
      <c r="B55" s="284">
        <v>2182.9</v>
      </c>
      <c r="C55" s="285">
        <v>0</v>
      </c>
      <c r="D55" s="257">
        <f t="shared" si="0"/>
        <v>-100</v>
      </c>
      <c r="E55" s="27">
        <f>IFERROR(100/'Skjema total MA'!C55*C55,0)</f>
        <v>0</v>
      </c>
      <c r="F55" s="145"/>
      <c r="G55" s="33"/>
      <c r="H55" s="145"/>
      <c r="I55" s="145"/>
      <c r="J55" s="33"/>
      <c r="K55" s="33"/>
      <c r="L55" s="159"/>
      <c r="M55" s="159"/>
      <c r="N55" s="148"/>
      <c r="O55" s="148"/>
    </row>
    <row r="56" spans="1:15" s="3" customFormat="1" ht="15.75" x14ac:dyDescent="0.2">
      <c r="A56" s="39" t="s">
        <v>390</v>
      </c>
      <c r="B56" s="313">
        <v>15932.654</v>
      </c>
      <c r="C56" s="314">
        <v>28084.541000000001</v>
      </c>
      <c r="D56" s="432">
        <f t="shared" si="0"/>
        <v>76.3</v>
      </c>
      <c r="E56" s="11">
        <f>IFERROR(100/'Skjema total MA'!C56*C56,0)</f>
        <v>26.370294144805133</v>
      </c>
      <c r="F56" s="145"/>
      <c r="G56" s="33"/>
      <c r="H56" s="145"/>
      <c r="I56" s="145"/>
      <c r="J56" s="33"/>
      <c r="K56" s="33"/>
      <c r="L56" s="159"/>
      <c r="M56" s="159"/>
      <c r="N56" s="148"/>
      <c r="O56" s="148"/>
    </row>
    <row r="57" spans="1:15" s="3" customFormat="1" ht="15.75" x14ac:dyDescent="0.2">
      <c r="A57" s="38" t="s">
        <v>387</v>
      </c>
      <c r="B57" s="284">
        <v>15932.654</v>
      </c>
      <c r="C57" s="285">
        <v>28081.268</v>
      </c>
      <c r="D57" s="257">
        <f t="shared" si="0"/>
        <v>76.2</v>
      </c>
      <c r="E57" s="27">
        <f>IFERROR(100/'Skjema total MA'!C57*C57,0)</f>
        <v>26.368031272425139</v>
      </c>
      <c r="F57" s="145"/>
      <c r="G57" s="33"/>
      <c r="H57" s="145"/>
      <c r="I57" s="145"/>
      <c r="J57" s="33"/>
      <c r="K57" s="33"/>
      <c r="L57" s="159"/>
      <c r="M57" s="159"/>
      <c r="N57" s="148"/>
      <c r="O57" s="148"/>
    </row>
    <row r="58" spans="1:15" s="3" customFormat="1" ht="15.75" x14ac:dyDescent="0.2">
      <c r="A58" s="46" t="s">
        <v>388</v>
      </c>
      <c r="B58" s="286">
        <v>0</v>
      </c>
      <c r="C58" s="287">
        <v>3.2730000000000001</v>
      </c>
      <c r="D58" s="258" t="str">
        <f t="shared" si="0"/>
        <v xml:space="preserve">    ---- </v>
      </c>
      <c r="E58" s="22">
        <f>IFERROR(100/'Skjema total MA'!C58*C58,0)</f>
        <v>100</v>
      </c>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302"/>
      <c r="F62" s="729"/>
      <c r="G62" s="729"/>
      <c r="H62" s="729"/>
      <c r="I62" s="302"/>
      <c r="J62" s="729"/>
      <c r="K62" s="729"/>
      <c r="L62" s="729"/>
      <c r="M62" s="302"/>
      <c r="O62" s="148"/>
    </row>
    <row r="63" spans="1:15" x14ac:dyDescent="0.2">
      <c r="A63" s="144"/>
      <c r="B63" s="726" t="s">
        <v>0</v>
      </c>
      <c r="C63" s="727"/>
      <c r="D63" s="728"/>
      <c r="E63" s="303"/>
      <c r="F63" s="727" t="s">
        <v>1</v>
      </c>
      <c r="G63" s="727"/>
      <c r="H63" s="727"/>
      <c r="I63" s="307"/>
      <c r="J63" s="726" t="s">
        <v>2</v>
      </c>
      <c r="K63" s="727"/>
      <c r="L63" s="727"/>
      <c r="M63" s="307"/>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c r="C66" s="357"/>
      <c r="D66" s="354"/>
      <c r="E66" s="11"/>
      <c r="F66" s="356"/>
      <c r="G66" s="356"/>
      <c r="H66" s="354"/>
      <c r="I66" s="11"/>
      <c r="J66" s="312"/>
      <c r="K66" s="319"/>
      <c r="L66" s="432"/>
      <c r="M66" s="11"/>
      <c r="O66" s="148"/>
    </row>
    <row r="67" spans="1:15" x14ac:dyDescent="0.2">
      <c r="A67" s="423" t="s">
        <v>9</v>
      </c>
      <c r="B67" s="44"/>
      <c r="C67" s="145"/>
      <c r="D67" s="166"/>
      <c r="E67" s="27"/>
      <c r="F67" s="235"/>
      <c r="G67" s="145"/>
      <c r="H67" s="166"/>
      <c r="I67" s="27"/>
      <c r="J67" s="290"/>
      <c r="K67" s="44"/>
      <c r="L67" s="257"/>
      <c r="M67" s="27"/>
      <c r="O67" s="148"/>
    </row>
    <row r="68" spans="1:15" x14ac:dyDescent="0.2">
      <c r="A68" s="21" t="s">
        <v>10</v>
      </c>
      <c r="B68" s="295"/>
      <c r="C68" s="296"/>
      <c r="D68" s="166"/>
      <c r="E68" s="27"/>
      <c r="F68" s="295"/>
      <c r="G68" s="296"/>
      <c r="H68" s="166"/>
      <c r="I68" s="27"/>
      <c r="J68" s="290"/>
      <c r="K68" s="44"/>
      <c r="L68" s="257"/>
      <c r="M68" s="27"/>
      <c r="O68" s="148"/>
    </row>
    <row r="69" spans="1:15" ht="15.75" x14ac:dyDescent="0.2">
      <c r="A69" s="299" t="s">
        <v>391</v>
      </c>
      <c r="B69" s="284"/>
      <c r="C69" s="284"/>
      <c r="D69" s="166"/>
      <c r="E69" s="421"/>
      <c r="F69" s="284"/>
      <c r="G69" s="284"/>
      <c r="H69" s="166"/>
      <c r="I69" s="421"/>
      <c r="J69" s="293"/>
      <c r="K69" s="293"/>
      <c r="L69" s="166"/>
      <c r="M69" s="23"/>
      <c r="O69" s="148"/>
    </row>
    <row r="70" spans="1:15" x14ac:dyDescent="0.2">
      <c r="A70" s="299" t="s">
        <v>12</v>
      </c>
      <c r="B70" s="297"/>
      <c r="C70" s="298"/>
      <c r="D70" s="166"/>
      <c r="E70" s="421"/>
      <c r="F70" s="284"/>
      <c r="G70" s="284"/>
      <c r="H70" s="166"/>
      <c r="I70" s="421"/>
      <c r="J70" s="293"/>
      <c r="K70" s="293"/>
      <c r="L70" s="166"/>
      <c r="M70" s="23"/>
      <c r="O70" s="148"/>
    </row>
    <row r="71" spans="1:15" x14ac:dyDescent="0.2">
      <c r="A71" s="299" t="s">
        <v>13</v>
      </c>
      <c r="B71" s="236"/>
      <c r="C71" s="292"/>
      <c r="D71" s="166"/>
      <c r="E71" s="421"/>
      <c r="F71" s="284"/>
      <c r="G71" s="284"/>
      <c r="H71" s="166"/>
      <c r="I71" s="421"/>
      <c r="J71" s="293"/>
      <c r="K71" s="293"/>
      <c r="L71" s="166"/>
      <c r="M71" s="23"/>
      <c r="O71" s="148"/>
    </row>
    <row r="72" spans="1:15" ht="15.75" x14ac:dyDescent="0.2">
      <c r="A72" s="299" t="s">
        <v>392</v>
      </c>
      <c r="B72" s="284"/>
      <c r="C72" s="284"/>
      <c r="D72" s="166"/>
      <c r="E72" s="421"/>
      <c r="F72" s="284"/>
      <c r="G72" s="284"/>
      <c r="H72" s="166"/>
      <c r="I72" s="421"/>
      <c r="J72" s="293"/>
      <c r="K72" s="293"/>
      <c r="L72" s="166"/>
      <c r="M72" s="23"/>
      <c r="O72" s="148"/>
    </row>
    <row r="73" spans="1:15" x14ac:dyDescent="0.2">
      <c r="A73" s="299" t="s">
        <v>12</v>
      </c>
      <c r="B73" s="236"/>
      <c r="C73" s="292"/>
      <c r="D73" s="166"/>
      <c r="E73" s="421"/>
      <c r="F73" s="284"/>
      <c r="G73" s="284"/>
      <c r="H73" s="166"/>
      <c r="I73" s="421"/>
      <c r="J73" s="293"/>
      <c r="K73" s="293"/>
      <c r="L73" s="166"/>
      <c r="M73" s="23"/>
      <c r="O73" s="148"/>
    </row>
    <row r="74" spans="1:15" s="3" customFormat="1" x14ac:dyDescent="0.2">
      <c r="A74" s="299" t="s">
        <v>13</v>
      </c>
      <c r="B74" s="236"/>
      <c r="C74" s="292"/>
      <c r="D74" s="166"/>
      <c r="E74" s="421"/>
      <c r="F74" s="284"/>
      <c r="G74" s="284"/>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c r="C77" s="235"/>
      <c r="D77" s="166"/>
      <c r="E77" s="27"/>
      <c r="F77" s="235"/>
      <c r="G77" s="145"/>
      <c r="H77" s="166"/>
      <c r="I77" s="27"/>
      <c r="J77" s="290"/>
      <c r="K77" s="44"/>
      <c r="L77" s="257"/>
      <c r="M77" s="27"/>
      <c r="O77" s="148"/>
    </row>
    <row r="78" spans="1:15" x14ac:dyDescent="0.2">
      <c r="A78" s="21" t="s">
        <v>9</v>
      </c>
      <c r="B78" s="235"/>
      <c r="C78" s="145"/>
      <c r="D78" s="166"/>
      <c r="E78" s="27"/>
      <c r="F78" s="235"/>
      <c r="G78" s="145"/>
      <c r="H78" s="166"/>
      <c r="I78" s="27"/>
      <c r="J78" s="290"/>
      <c r="K78" s="44"/>
      <c r="L78" s="257"/>
      <c r="M78" s="27"/>
      <c r="O78" s="148"/>
    </row>
    <row r="79" spans="1:15" x14ac:dyDescent="0.2">
      <c r="A79" s="21" t="s">
        <v>10</v>
      </c>
      <c r="B79" s="295"/>
      <c r="C79" s="296"/>
      <c r="D79" s="166"/>
      <c r="E79" s="27"/>
      <c r="F79" s="295"/>
      <c r="G79" s="296"/>
      <c r="H79" s="166"/>
      <c r="I79" s="27"/>
      <c r="J79" s="290"/>
      <c r="K79" s="44"/>
      <c r="L79" s="257"/>
      <c r="M79" s="27"/>
      <c r="O79" s="148"/>
    </row>
    <row r="80" spans="1:15" ht="15.75" x14ac:dyDescent="0.2">
      <c r="A80" s="299" t="s">
        <v>391</v>
      </c>
      <c r="B80" s="284"/>
      <c r="C80" s="284"/>
      <c r="D80" s="166"/>
      <c r="E80" s="421"/>
      <c r="F80" s="284"/>
      <c r="G80" s="284"/>
      <c r="H80" s="166"/>
      <c r="I80" s="421"/>
      <c r="J80" s="293"/>
      <c r="K80" s="293"/>
      <c r="L80" s="166"/>
      <c r="M80" s="23"/>
      <c r="O80" s="148"/>
    </row>
    <row r="81" spans="1:15" x14ac:dyDescent="0.2">
      <c r="A81" s="299" t="s">
        <v>12</v>
      </c>
      <c r="B81" s="236"/>
      <c r="C81" s="292"/>
      <c r="D81" s="166"/>
      <c r="E81" s="421"/>
      <c r="F81" s="284"/>
      <c r="G81" s="284"/>
      <c r="H81" s="166"/>
      <c r="I81" s="421"/>
      <c r="J81" s="293"/>
      <c r="K81" s="293"/>
      <c r="L81" s="166"/>
      <c r="M81" s="23"/>
      <c r="O81" s="148"/>
    </row>
    <row r="82" spans="1:15" x14ac:dyDescent="0.2">
      <c r="A82" s="299" t="s">
        <v>13</v>
      </c>
      <c r="B82" s="236"/>
      <c r="C82" s="292"/>
      <c r="D82" s="166"/>
      <c r="E82" s="421"/>
      <c r="F82" s="284"/>
      <c r="G82" s="284"/>
      <c r="H82" s="166"/>
      <c r="I82" s="421"/>
      <c r="J82" s="293"/>
      <c r="K82" s="293"/>
      <c r="L82" s="166"/>
      <c r="M82" s="23"/>
      <c r="O82" s="148"/>
    </row>
    <row r="83" spans="1:15" ht="15.75" x14ac:dyDescent="0.2">
      <c r="A83" s="299" t="s">
        <v>392</v>
      </c>
      <c r="B83" s="284"/>
      <c r="C83" s="284"/>
      <c r="D83" s="166"/>
      <c r="E83" s="421"/>
      <c r="F83" s="284"/>
      <c r="G83" s="284"/>
      <c r="H83" s="166"/>
      <c r="I83" s="421"/>
      <c r="J83" s="293"/>
      <c r="K83" s="293"/>
      <c r="L83" s="166"/>
      <c r="M83" s="23"/>
      <c r="O83" s="148"/>
    </row>
    <row r="84" spans="1:15" x14ac:dyDescent="0.2">
      <c r="A84" s="299" t="s">
        <v>12</v>
      </c>
      <c r="B84" s="236"/>
      <c r="C84" s="292"/>
      <c r="D84" s="166"/>
      <c r="E84" s="421"/>
      <c r="F84" s="284"/>
      <c r="G84" s="284"/>
      <c r="H84" s="166"/>
      <c r="I84" s="421"/>
      <c r="J84" s="293"/>
      <c r="K84" s="293"/>
      <c r="L84" s="166"/>
      <c r="M84" s="23"/>
      <c r="O84" s="148"/>
    </row>
    <row r="85" spans="1:15" x14ac:dyDescent="0.2">
      <c r="A85" s="299" t="s">
        <v>13</v>
      </c>
      <c r="B85" s="236"/>
      <c r="C85" s="292"/>
      <c r="D85" s="166"/>
      <c r="E85" s="421"/>
      <c r="F85" s="284"/>
      <c r="G85" s="284"/>
      <c r="H85" s="166"/>
      <c r="I85" s="421"/>
      <c r="J85" s="293"/>
      <c r="K85" s="293"/>
      <c r="L85" s="166"/>
      <c r="M85" s="23"/>
      <c r="O85" s="148"/>
    </row>
    <row r="86" spans="1:15" ht="15.75" x14ac:dyDescent="0.2">
      <c r="A86" s="21" t="s">
        <v>394</v>
      </c>
      <c r="B86" s="235"/>
      <c r="C86" s="145"/>
      <c r="D86" s="166"/>
      <c r="E86" s="27"/>
      <c r="F86" s="235"/>
      <c r="G86" s="145"/>
      <c r="H86" s="166"/>
      <c r="I86" s="27"/>
      <c r="J86" s="290"/>
      <c r="K86" s="44"/>
      <c r="L86" s="257"/>
      <c r="M86" s="27"/>
      <c r="O86" s="148"/>
    </row>
    <row r="87" spans="1:15" ht="15.75" x14ac:dyDescent="0.2">
      <c r="A87" s="13" t="s">
        <v>376</v>
      </c>
      <c r="B87" s="357"/>
      <c r="C87" s="357"/>
      <c r="D87" s="171"/>
      <c r="E87" s="11"/>
      <c r="F87" s="356"/>
      <c r="G87" s="356"/>
      <c r="H87" s="171"/>
      <c r="I87" s="11"/>
      <c r="J87" s="312"/>
      <c r="K87" s="237"/>
      <c r="L87" s="432"/>
      <c r="M87" s="11"/>
      <c r="O87" s="148"/>
    </row>
    <row r="88" spans="1:15" x14ac:dyDescent="0.2">
      <c r="A88" s="21" t="s">
        <v>9</v>
      </c>
      <c r="B88" s="235"/>
      <c r="C88" s="145"/>
      <c r="D88" s="166"/>
      <c r="E88" s="27"/>
      <c r="F88" s="235"/>
      <c r="G88" s="145"/>
      <c r="H88" s="166"/>
      <c r="I88" s="27"/>
      <c r="J88" s="290"/>
      <c r="K88" s="44"/>
      <c r="L88" s="257"/>
      <c r="M88" s="27"/>
      <c r="O88" s="148"/>
    </row>
    <row r="89" spans="1:15" x14ac:dyDescent="0.2">
      <c r="A89" s="21" t="s">
        <v>10</v>
      </c>
      <c r="B89" s="235"/>
      <c r="C89" s="145"/>
      <c r="D89" s="166"/>
      <c r="E89" s="27"/>
      <c r="F89" s="235"/>
      <c r="G89" s="145"/>
      <c r="H89" s="166"/>
      <c r="I89" s="27"/>
      <c r="J89" s="290"/>
      <c r="K89" s="44"/>
      <c r="L89" s="257"/>
      <c r="M89" s="27"/>
      <c r="O89" s="148"/>
    </row>
    <row r="90" spans="1:15" ht="15.75" x14ac:dyDescent="0.2">
      <c r="A90" s="299" t="s">
        <v>391</v>
      </c>
      <c r="B90" s="284"/>
      <c r="C90" s="284"/>
      <c r="D90" s="166"/>
      <c r="E90" s="421"/>
      <c r="F90" s="284"/>
      <c r="G90" s="284"/>
      <c r="H90" s="166"/>
      <c r="I90" s="421"/>
      <c r="J90" s="293"/>
      <c r="K90" s="293"/>
      <c r="L90" s="166"/>
      <c r="M90" s="23"/>
      <c r="O90" s="148"/>
    </row>
    <row r="91" spans="1:15" x14ac:dyDescent="0.2">
      <c r="A91" s="299" t="s">
        <v>12</v>
      </c>
      <c r="B91" s="236"/>
      <c r="C91" s="292"/>
      <c r="D91" s="166"/>
      <c r="E91" s="421"/>
      <c r="F91" s="284"/>
      <c r="G91" s="284"/>
      <c r="H91" s="166"/>
      <c r="I91" s="421"/>
      <c r="J91" s="293"/>
      <c r="K91" s="293"/>
      <c r="L91" s="166"/>
      <c r="M91" s="23"/>
      <c r="O91" s="148"/>
    </row>
    <row r="92" spans="1:15" x14ac:dyDescent="0.2">
      <c r="A92" s="299" t="s">
        <v>13</v>
      </c>
      <c r="B92" s="236"/>
      <c r="C92" s="292"/>
      <c r="D92" s="166"/>
      <c r="E92" s="421"/>
      <c r="F92" s="284"/>
      <c r="G92" s="284"/>
      <c r="H92" s="166"/>
      <c r="I92" s="421"/>
      <c r="J92" s="293"/>
      <c r="K92" s="293"/>
      <c r="L92" s="166"/>
      <c r="M92" s="23"/>
      <c r="O92" s="148"/>
    </row>
    <row r="93" spans="1:15" ht="15.75" x14ac:dyDescent="0.2">
      <c r="A93" s="299" t="s">
        <v>392</v>
      </c>
      <c r="B93" s="284"/>
      <c r="C93" s="284"/>
      <c r="D93" s="166"/>
      <c r="E93" s="421"/>
      <c r="F93" s="284"/>
      <c r="G93" s="284"/>
      <c r="H93" s="166"/>
      <c r="I93" s="421"/>
      <c r="J93" s="293"/>
      <c r="K93" s="293"/>
      <c r="L93" s="166"/>
      <c r="M93" s="23"/>
      <c r="O93" s="148"/>
    </row>
    <row r="94" spans="1:15" x14ac:dyDescent="0.2">
      <c r="A94" s="299" t="s">
        <v>12</v>
      </c>
      <c r="B94" s="236"/>
      <c r="C94" s="292"/>
      <c r="D94" s="166"/>
      <c r="E94" s="421"/>
      <c r="F94" s="284"/>
      <c r="G94" s="284"/>
      <c r="H94" s="166"/>
      <c r="I94" s="421"/>
      <c r="J94" s="293"/>
      <c r="K94" s="293"/>
      <c r="L94" s="166"/>
      <c r="M94" s="23"/>
      <c r="O94" s="148"/>
    </row>
    <row r="95" spans="1:15" x14ac:dyDescent="0.2">
      <c r="A95" s="299" t="s">
        <v>13</v>
      </c>
      <c r="B95" s="236"/>
      <c r="C95" s="292"/>
      <c r="D95" s="166"/>
      <c r="E95" s="421"/>
      <c r="F95" s="284"/>
      <c r="G95" s="284"/>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c r="C98" s="235"/>
      <c r="D98" s="166"/>
      <c r="E98" s="27"/>
      <c r="F98" s="295"/>
      <c r="G98" s="295"/>
      <c r="H98" s="166"/>
      <c r="I98" s="27"/>
      <c r="J98" s="290"/>
      <c r="K98" s="44"/>
      <c r="L98" s="257"/>
      <c r="M98" s="27"/>
      <c r="O98" s="148"/>
    </row>
    <row r="99" spans="1:15" x14ac:dyDescent="0.2">
      <c r="A99" s="21" t="s">
        <v>9</v>
      </c>
      <c r="B99" s="295"/>
      <c r="C99" s="296"/>
      <c r="D99" s="166"/>
      <c r="E99" s="27"/>
      <c r="F99" s="235"/>
      <c r="G99" s="145"/>
      <c r="H99" s="166"/>
      <c r="I99" s="27"/>
      <c r="J99" s="290"/>
      <c r="K99" s="44"/>
      <c r="L99" s="257"/>
      <c r="M99" s="27"/>
      <c r="O99" s="148"/>
    </row>
    <row r="100" spans="1:15" x14ac:dyDescent="0.2">
      <c r="A100" s="21" t="s">
        <v>10</v>
      </c>
      <c r="B100" s="295"/>
      <c r="C100" s="296"/>
      <c r="D100" s="166"/>
      <c r="E100" s="27"/>
      <c r="F100" s="235"/>
      <c r="G100" s="235"/>
      <c r="H100" s="166"/>
      <c r="I100" s="27"/>
      <c r="J100" s="290"/>
      <c r="K100" s="44"/>
      <c r="L100" s="257"/>
      <c r="M100" s="27"/>
      <c r="O100" s="148"/>
    </row>
    <row r="101" spans="1:15" ht="15.75" x14ac:dyDescent="0.2">
      <c r="A101" s="299" t="s">
        <v>391</v>
      </c>
      <c r="B101" s="284"/>
      <c r="C101" s="284"/>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c r="C104" s="284"/>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c r="G107" s="145"/>
      <c r="H107" s="166"/>
      <c r="I107" s="27"/>
      <c r="J107" s="290"/>
      <c r="K107" s="44"/>
      <c r="L107" s="257"/>
      <c r="M107" s="27"/>
      <c r="O107" s="148"/>
    </row>
    <row r="108" spans="1:15" ht="15.75" x14ac:dyDescent="0.2">
      <c r="A108" s="21" t="s">
        <v>395</v>
      </c>
      <c r="B108" s="235"/>
      <c r="C108" s="235"/>
      <c r="D108" s="166"/>
      <c r="E108" s="27"/>
      <c r="F108" s="235"/>
      <c r="G108" s="235"/>
      <c r="H108" s="166"/>
      <c r="I108" s="27"/>
      <c r="J108" s="290"/>
      <c r="K108" s="44"/>
      <c r="L108" s="257"/>
      <c r="M108" s="27"/>
      <c r="O108" s="148"/>
    </row>
    <row r="109" spans="1:15" ht="15.75" x14ac:dyDescent="0.2">
      <c r="A109" s="21" t="s">
        <v>396</v>
      </c>
      <c r="B109" s="235"/>
      <c r="C109" s="235"/>
      <c r="D109" s="166"/>
      <c r="E109" s="27"/>
      <c r="F109" s="235"/>
      <c r="G109" s="235"/>
      <c r="H109" s="166"/>
      <c r="I109" s="27"/>
      <c r="J109" s="290"/>
      <c r="K109" s="44"/>
      <c r="L109" s="257"/>
      <c r="M109" s="27"/>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c r="C111" s="159"/>
      <c r="D111" s="171"/>
      <c r="E111" s="11"/>
      <c r="F111" s="311"/>
      <c r="G111" s="159"/>
      <c r="H111" s="171"/>
      <c r="I111" s="11"/>
      <c r="J111" s="312"/>
      <c r="K111" s="237"/>
      <c r="L111" s="432"/>
      <c r="M111" s="11"/>
      <c r="O111" s="148"/>
    </row>
    <row r="112" spans="1:15" x14ac:dyDescent="0.2">
      <c r="A112" s="21" t="s">
        <v>9</v>
      </c>
      <c r="B112" s="235"/>
      <c r="C112" s="145"/>
      <c r="D112" s="166"/>
      <c r="E112" s="27"/>
      <c r="F112" s="235"/>
      <c r="G112" s="145"/>
      <c r="H112" s="166"/>
      <c r="I112" s="27"/>
      <c r="J112" s="290"/>
      <c r="K112" s="44"/>
      <c r="L112" s="257"/>
      <c r="M112" s="27"/>
      <c r="O112" s="148"/>
    </row>
    <row r="113" spans="1:15" x14ac:dyDescent="0.2">
      <c r="A113" s="21" t="s">
        <v>10</v>
      </c>
      <c r="B113" s="235"/>
      <c r="C113" s="145"/>
      <c r="D113" s="166"/>
      <c r="E113" s="27"/>
      <c r="F113" s="235"/>
      <c r="G113" s="145"/>
      <c r="H113" s="166"/>
      <c r="I113" s="27"/>
      <c r="J113" s="290"/>
      <c r="K113" s="44"/>
      <c r="L113" s="257"/>
      <c r="M113" s="27"/>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c r="C115" s="284"/>
      <c r="D115" s="166"/>
      <c r="E115" s="421"/>
      <c r="F115" s="284"/>
      <c r="G115" s="284"/>
      <c r="H115" s="166"/>
      <c r="I115" s="421"/>
      <c r="J115" s="293"/>
      <c r="K115" s="293"/>
      <c r="L115" s="166"/>
      <c r="M115" s="23"/>
      <c r="O115" s="148"/>
    </row>
    <row r="116" spans="1:15" ht="15.75" x14ac:dyDescent="0.2">
      <c r="A116" s="21" t="s">
        <v>398</v>
      </c>
      <c r="B116" s="235"/>
      <c r="C116" s="235"/>
      <c r="D116" s="166"/>
      <c r="E116" s="27"/>
      <c r="F116" s="235"/>
      <c r="G116" s="235"/>
      <c r="H116" s="166"/>
      <c r="I116" s="27"/>
      <c r="J116" s="290"/>
      <c r="K116" s="44"/>
      <c r="L116" s="257"/>
      <c r="M116" s="27"/>
      <c r="O116" s="148"/>
    </row>
    <row r="117" spans="1:15" ht="15.75" x14ac:dyDescent="0.2">
      <c r="A117" s="21" t="s">
        <v>399</v>
      </c>
      <c r="B117" s="235"/>
      <c r="C117" s="235"/>
      <c r="D117" s="166"/>
      <c r="E117" s="27"/>
      <c r="F117" s="235"/>
      <c r="G117" s="235"/>
      <c r="H117" s="166"/>
      <c r="I117" s="27"/>
      <c r="J117" s="290"/>
      <c r="K117" s="44"/>
      <c r="L117" s="257"/>
      <c r="M117" s="27"/>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c r="C119" s="159"/>
      <c r="D119" s="171"/>
      <c r="E119" s="11"/>
      <c r="F119" s="311"/>
      <c r="G119" s="159"/>
      <c r="H119" s="171"/>
      <c r="I119" s="11"/>
      <c r="J119" s="312"/>
      <c r="K119" s="237"/>
      <c r="L119" s="432"/>
      <c r="M119" s="11"/>
      <c r="O119" s="148"/>
    </row>
    <row r="120" spans="1:15" x14ac:dyDescent="0.2">
      <c r="A120" s="21" t="s">
        <v>9</v>
      </c>
      <c r="B120" s="235"/>
      <c r="C120" s="145"/>
      <c r="D120" s="166"/>
      <c r="E120" s="27"/>
      <c r="F120" s="235"/>
      <c r="G120" s="145"/>
      <c r="H120" s="166"/>
      <c r="I120" s="27"/>
      <c r="J120" s="290"/>
      <c r="K120" s="44"/>
      <c r="L120" s="257"/>
      <c r="M120" s="27"/>
      <c r="O120" s="148"/>
    </row>
    <row r="121" spans="1:15" x14ac:dyDescent="0.2">
      <c r="A121" s="21" t="s">
        <v>10</v>
      </c>
      <c r="B121" s="235"/>
      <c r="C121" s="145"/>
      <c r="D121" s="166"/>
      <c r="E121" s="27"/>
      <c r="F121" s="235"/>
      <c r="G121" s="145"/>
      <c r="H121" s="166"/>
      <c r="I121" s="27"/>
      <c r="J121" s="290"/>
      <c r="K121" s="44"/>
      <c r="L121" s="257"/>
      <c r="M121" s="27"/>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c r="C123" s="284"/>
      <c r="D123" s="166"/>
      <c r="E123" s="421"/>
      <c r="F123" s="284"/>
      <c r="G123" s="284"/>
      <c r="H123" s="166"/>
      <c r="I123" s="421"/>
      <c r="J123" s="293"/>
      <c r="K123" s="293"/>
      <c r="L123" s="166"/>
      <c r="M123" s="23"/>
      <c r="O123" s="148"/>
    </row>
    <row r="124" spans="1:15" ht="15.75" x14ac:dyDescent="0.2">
      <c r="A124" s="21" t="s">
        <v>404</v>
      </c>
      <c r="B124" s="235"/>
      <c r="C124" s="235"/>
      <c r="D124" s="166"/>
      <c r="E124" s="27"/>
      <c r="F124" s="235"/>
      <c r="G124" s="235"/>
      <c r="H124" s="166"/>
      <c r="I124" s="27"/>
      <c r="J124" s="290"/>
      <c r="K124" s="44"/>
      <c r="L124" s="257"/>
      <c r="M124" s="27"/>
      <c r="O124" s="148"/>
    </row>
    <row r="125" spans="1:15" ht="15.75" x14ac:dyDescent="0.2">
      <c r="A125" s="21" t="s">
        <v>396</v>
      </c>
      <c r="B125" s="235"/>
      <c r="C125" s="235"/>
      <c r="D125" s="166"/>
      <c r="E125" s="27"/>
      <c r="F125" s="235"/>
      <c r="G125" s="235"/>
      <c r="H125" s="166"/>
      <c r="I125" s="27"/>
      <c r="J125" s="290"/>
      <c r="K125" s="44"/>
      <c r="L125" s="257"/>
      <c r="M125" s="27"/>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302"/>
      <c r="F130" s="729"/>
      <c r="G130" s="729"/>
      <c r="H130" s="729"/>
      <c r="I130" s="302"/>
      <c r="J130" s="729"/>
      <c r="K130" s="729"/>
      <c r="L130" s="729"/>
      <c r="M130" s="302"/>
      <c r="O130" s="148"/>
    </row>
    <row r="131" spans="1:15" s="3" customFormat="1" x14ac:dyDescent="0.2">
      <c r="A131" s="144"/>
      <c r="B131" s="726" t="s">
        <v>0</v>
      </c>
      <c r="C131" s="727"/>
      <c r="D131" s="727"/>
      <c r="E131" s="304"/>
      <c r="F131" s="726" t="s">
        <v>1</v>
      </c>
      <c r="G131" s="727"/>
      <c r="H131" s="727"/>
      <c r="I131" s="307"/>
      <c r="J131" s="726" t="s">
        <v>2</v>
      </c>
      <c r="K131" s="727"/>
      <c r="L131" s="727"/>
      <c r="M131" s="307"/>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280" priority="117">
      <formula>kvartal &lt; 4</formula>
    </cfRule>
  </conditionalFormatting>
  <conditionalFormatting sqref="B69">
    <cfRule type="expression" dxfId="279" priority="85">
      <formula>kvartal &lt; 4</formula>
    </cfRule>
  </conditionalFormatting>
  <conditionalFormatting sqref="C69">
    <cfRule type="expression" dxfId="278" priority="84">
      <formula>kvartal &lt; 4</formula>
    </cfRule>
  </conditionalFormatting>
  <conditionalFormatting sqref="B72">
    <cfRule type="expression" dxfId="277" priority="83">
      <formula>kvartal &lt; 4</formula>
    </cfRule>
  </conditionalFormatting>
  <conditionalFormatting sqref="C72">
    <cfRule type="expression" dxfId="276" priority="82">
      <formula>kvartal &lt; 4</formula>
    </cfRule>
  </conditionalFormatting>
  <conditionalFormatting sqref="B80">
    <cfRule type="expression" dxfId="275" priority="81">
      <formula>kvartal &lt; 4</formula>
    </cfRule>
  </conditionalFormatting>
  <conditionalFormatting sqref="C80">
    <cfRule type="expression" dxfId="274" priority="80">
      <formula>kvartal &lt; 4</formula>
    </cfRule>
  </conditionalFormatting>
  <conditionalFormatting sqref="B83">
    <cfRule type="expression" dxfId="273" priority="79">
      <formula>kvartal &lt; 4</formula>
    </cfRule>
  </conditionalFormatting>
  <conditionalFormatting sqref="C83">
    <cfRule type="expression" dxfId="272" priority="78">
      <formula>kvartal &lt; 4</formula>
    </cfRule>
  </conditionalFormatting>
  <conditionalFormatting sqref="B90">
    <cfRule type="expression" dxfId="271" priority="69">
      <formula>kvartal &lt; 4</formula>
    </cfRule>
  </conditionalFormatting>
  <conditionalFormatting sqref="C90">
    <cfRule type="expression" dxfId="270" priority="68">
      <formula>kvartal &lt; 4</formula>
    </cfRule>
  </conditionalFormatting>
  <conditionalFormatting sqref="B93">
    <cfRule type="expression" dxfId="269" priority="67">
      <formula>kvartal &lt; 4</formula>
    </cfRule>
  </conditionalFormatting>
  <conditionalFormatting sqref="C93">
    <cfRule type="expression" dxfId="268" priority="66">
      <formula>kvartal &lt; 4</formula>
    </cfRule>
  </conditionalFormatting>
  <conditionalFormatting sqref="B101">
    <cfRule type="expression" dxfId="267" priority="65">
      <formula>kvartal &lt; 4</formula>
    </cfRule>
  </conditionalFormatting>
  <conditionalFormatting sqref="C101">
    <cfRule type="expression" dxfId="266" priority="64">
      <formula>kvartal &lt; 4</formula>
    </cfRule>
  </conditionalFormatting>
  <conditionalFormatting sqref="B104">
    <cfRule type="expression" dxfId="265" priority="63">
      <formula>kvartal &lt; 4</formula>
    </cfRule>
  </conditionalFormatting>
  <conditionalFormatting sqref="C104">
    <cfRule type="expression" dxfId="264" priority="62">
      <formula>kvartal &lt; 4</formula>
    </cfRule>
  </conditionalFormatting>
  <conditionalFormatting sqref="B115">
    <cfRule type="expression" dxfId="263" priority="61">
      <formula>kvartal &lt; 4</formula>
    </cfRule>
  </conditionalFormatting>
  <conditionalFormatting sqref="C115">
    <cfRule type="expression" dxfId="262" priority="60">
      <formula>kvartal &lt; 4</formula>
    </cfRule>
  </conditionalFormatting>
  <conditionalFormatting sqref="B123">
    <cfRule type="expression" dxfId="261" priority="59">
      <formula>kvartal &lt; 4</formula>
    </cfRule>
  </conditionalFormatting>
  <conditionalFormatting sqref="C123">
    <cfRule type="expression" dxfId="260" priority="58">
      <formula>kvartal &lt; 4</formula>
    </cfRule>
  </conditionalFormatting>
  <conditionalFormatting sqref="F70">
    <cfRule type="expression" dxfId="259" priority="57">
      <formula>kvartal &lt; 4</formula>
    </cfRule>
  </conditionalFormatting>
  <conditionalFormatting sqref="G70">
    <cfRule type="expression" dxfId="258" priority="56">
      <formula>kvartal &lt; 4</formula>
    </cfRule>
  </conditionalFormatting>
  <conditionalFormatting sqref="F71:G71">
    <cfRule type="expression" dxfId="257" priority="55">
      <formula>kvartal &lt; 4</formula>
    </cfRule>
  </conditionalFormatting>
  <conditionalFormatting sqref="F73:G74">
    <cfRule type="expression" dxfId="256" priority="54">
      <formula>kvartal &lt; 4</formula>
    </cfRule>
  </conditionalFormatting>
  <conditionalFormatting sqref="F81:G82">
    <cfRule type="expression" dxfId="255" priority="53">
      <formula>kvartal &lt; 4</formula>
    </cfRule>
  </conditionalFormatting>
  <conditionalFormatting sqref="F84:G85">
    <cfRule type="expression" dxfId="254" priority="52">
      <formula>kvartal &lt; 4</formula>
    </cfRule>
  </conditionalFormatting>
  <conditionalFormatting sqref="F91:G92">
    <cfRule type="expression" dxfId="253" priority="47">
      <formula>kvartal &lt; 4</formula>
    </cfRule>
  </conditionalFormatting>
  <conditionalFormatting sqref="F94:G95">
    <cfRule type="expression" dxfId="252" priority="46">
      <formula>kvartal &lt; 4</formula>
    </cfRule>
  </conditionalFormatting>
  <conditionalFormatting sqref="F102:G103">
    <cfRule type="expression" dxfId="251" priority="45">
      <formula>kvartal &lt; 4</formula>
    </cfRule>
  </conditionalFormatting>
  <conditionalFormatting sqref="F105:G106">
    <cfRule type="expression" dxfId="250" priority="44">
      <formula>kvartal &lt; 4</formula>
    </cfRule>
  </conditionalFormatting>
  <conditionalFormatting sqref="F115">
    <cfRule type="expression" dxfId="249" priority="43">
      <formula>kvartal &lt; 4</formula>
    </cfRule>
  </conditionalFormatting>
  <conditionalFormatting sqref="G115">
    <cfRule type="expression" dxfId="248" priority="42">
      <formula>kvartal &lt; 4</formula>
    </cfRule>
  </conditionalFormatting>
  <conditionalFormatting sqref="F123:G123">
    <cfRule type="expression" dxfId="247" priority="41">
      <formula>kvartal &lt; 4</formula>
    </cfRule>
  </conditionalFormatting>
  <conditionalFormatting sqref="F69:G69">
    <cfRule type="expression" dxfId="246" priority="40">
      <formula>kvartal &lt; 4</formula>
    </cfRule>
  </conditionalFormatting>
  <conditionalFormatting sqref="F72:G72">
    <cfRule type="expression" dxfId="245" priority="39">
      <formula>kvartal &lt; 4</formula>
    </cfRule>
  </conditionalFormatting>
  <conditionalFormatting sqref="F80:G80">
    <cfRule type="expression" dxfId="244" priority="38">
      <formula>kvartal &lt; 4</formula>
    </cfRule>
  </conditionalFormatting>
  <conditionalFormatting sqref="F83:G83">
    <cfRule type="expression" dxfId="243" priority="37">
      <formula>kvartal &lt; 4</formula>
    </cfRule>
  </conditionalFormatting>
  <conditionalFormatting sqref="F90:G90">
    <cfRule type="expression" dxfId="242" priority="31">
      <formula>kvartal &lt; 4</formula>
    </cfRule>
  </conditionalFormatting>
  <conditionalFormatting sqref="F93">
    <cfRule type="expression" dxfId="241" priority="30">
      <formula>kvartal &lt; 4</formula>
    </cfRule>
  </conditionalFormatting>
  <conditionalFormatting sqref="G93">
    <cfRule type="expression" dxfId="240" priority="29">
      <formula>kvartal &lt; 4</formula>
    </cfRule>
  </conditionalFormatting>
  <conditionalFormatting sqref="F101">
    <cfRule type="expression" dxfId="239" priority="28">
      <formula>kvartal &lt; 4</formula>
    </cfRule>
  </conditionalFormatting>
  <conditionalFormatting sqref="G101">
    <cfRule type="expression" dxfId="238" priority="27">
      <formula>kvartal &lt; 4</formula>
    </cfRule>
  </conditionalFormatting>
  <conditionalFormatting sqref="G104">
    <cfRule type="expression" dxfId="237" priority="26">
      <formula>kvartal &lt; 4</formula>
    </cfRule>
  </conditionalFormatting>
  <conditionalFormatting sqref="F104">
    <cfRule type="expression" dxfId="236" priority="25">
      <formula>kvartal &lt; 4</formula>
    </cfRule>
  </conditionalFormatting>
  <conditionalFormatting sqref="J69:K73">
    <cfRule type="expression" dxfId="235" priority="24">
      <formula>kvartal &lt; 4</formula>
    </cfRule>
  </conditionalFormatting>
  <conditionalFormatting sqref="J74:K74">
    <cfRule type="expression" dxfId="234" priority="23">
      <formula>kvartal &lt; 4</formula>
    </cfRule>
  </conditionalFormatting>
  <conditionalFormatting sqref="J80:K85">
    <cfRule type="expression" dxfId="233" priority="22">
      <formula>kvartal &lt; 4</formula>
    </cfRule>
  </conditionalFormatting>
  <conditionalFormatting sqref="J90:K95">
    <cfRule type="expression" dxfId="232" priority="19">
      <formula>kvartal &lt; 4</formula>
    </cfRule>
  </conditionalFormatting>
  <conditionalFormatting sqref="J101:K106">
    <cfRule type="expression" dxfId="231" priority="18">
      <formula>kvartal &lt; 4</formula>
    </cfRule>
  </conditionalFormatting>
  <conditionalFormatting sqref="J115:K115">
    <cfRule type="expression" dxfId="230" priority="17">
      <formula>kvartal &lt; 4</formula>
    </cfRule>
  </conditionalFormatting>
  <conditionalFormatting sqref="J123:K123">
    <cfRule type="expression" dxfId="229" priority="16">
      <formula>kvartal &lt; 4</formula>
    </cfRule>
  </conditionalFormatting>
  <conditionalFormatting sqref="A50:A52">
    <cfRule type="expression" dxfId="228" priority="12">
      <formula>kvartal &lt; 4</formula>
    </cfRule>
  </conditionalFormatting>
  <conditionalFormatting sqref="A69:A74">
    <cfRule type="expression" dxfId="227" priority="10">
      <formula>kvartal &lt; 4</formula>
    </cfRule>
  </conditionalFormatting>
  <conditionalFormatting sqref="A80:A85">
    <cfRule type="expression" dxfId="226" priority="9">
      <formula>kvartal &lt; 4</formula>
    </cfRule>
  </conditionalFormatting>
  <conditionalFormatting sqref="A90:A95">
    <cfRule type="expression" dxfId="225" priority="6">
      <formula>kvartal &lt; 4</formula>
    </cfRule>
  </conditionalFormatting>
  <conditionalFormatting sqref="A101:A106">
    <cfRule type="expression" dxfId="224" priority="5">
      <formula>kvartal &lt; 4</formula>
    </cfRule>
  </conditionalFormatting>
  <conditionalFormatting sqref="A115">
    <cfRule type="expression" dxfId="223" priority="4">
      <formula>kvartal &lt; 4</formula>
    </cfRule>
  </conditionalFormatting>
  <conditionalFormatting sqref="A123">
    <cfRule type="expression" dxfId="222" priority="3">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Q62"/>
  <sheetViews>
    <sheetView showGridLines="0" zoomScale="60" zoomScaleNormal="60" workbookViewId="0">
      <pane xSplit="1" ySplit="8" topLeftCell="B9" activePane="bottomRight" state="frozen"/>
      <selection activeCell="J42" sqref="J42"/>
      <selection pane="topRight" activeCell="J42" sqref="J42"/>
      <selection pane="bottomLeft" activeCell="J42" sqref="J42"/>
      <selection pane="bottomRight" activeCell="L23" sqref="L23"/>
    </sheetView>
  </sheetViews>
  <sheetFormatPr baseColWidth="10" defaultColWidth="11.42578125" defaultRowHeight="12.75" x14ac:dyDescent="0.2"/>
  <cols>
    <col min="1" max="1" width="90" style="528" customWidth="1"/>
    <col min="2" max="43" width="11.7109375" style="528" customWidth="1"/>
    <col min="44" max="16384" width="11.42578125" style="528"/>
  </cols>
  <sheetData>
    <row r="1" spans="1:43" ht="20.25" x14ac:dyDescent="0.3">
      <c r="A1" s="526" t="s">
        <v>296</v>
      </c>
      <c r="B1" s="489" t="s">
        <v>52</v>
      </c>
      <c r="C1" s="527"/>
      <c r="D1" s="527"/>
      <c r="E1" s="527"/>
      <c r="F1" s="527"/>
      <c r="G1" s="527"/>
      <c r="H1" s="527"/>
      <c r="I1" s="527"/>
      <c r="J1" s="527"/>
    </row>
    <row r="2" spans="1:43" ht="20.25" x14ac:dyDescent="0.3">
      <c r="A2" s="526" t="s">
        <v>267</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row>
    <row r="3" spans="1:43" ht="18.75" x14ac:dyDescent="0.3">
      <c r="A3" s="530" t="s">
        <v>297</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row>
    <row r="4" spans="1:43" ht="18.75" customHeight="1" x14ac:dyDescent="0.25">
      <c r="A4" s="495" t="s">
        <v>421</v>
      </c>
      <c r="B4" s="532"/>
      <c r="C4" s="532"/>
      <c r="D4" s="533"/>
      <c r="E4" s="534"/>
      <c r="F4" s="532"/>
      <c r="G4" s="533"/>
      <c r="H4" s="534"/>
      <c r="I4" s="532"/>
      <c r="J4" s="533"/>
      <c r="K4" s="535"/>
      <c r="L4" s="535"/>
      <c r="M4" s="535"/>
      <c r="N4" s="536"/>
      <c r="O4" s="535"/>
      <c r="P4" s="537"/>
      <c r="Q4" s="536"/>
      <c r="R4" s="535"/>
      <c r="S4" s="537"/>
      <c r="T4" s="536"/>
      <c r="U4" s="535"/>
      <c r="V4" s="537"/>
      <c r="W4" s="536"/>
      <c r="X4" s="535"/>
      <c r="Y4" s="537"/>
      <c r="Z4" s="536"/>
      <c r="AA4" s="535"/>
      <c r="AB4" s="537"/>
      <c r="AC4" s="536"/>
      <c r="AD4" s="535"/>
      <c r="AE4" s="537"/>
      <c r="AF4" s="536"/>
      <c r="AG4" s="535"/>
      <c r="AH4" s="537"/>
      <c r="AI4" s="536"/>
      <c r="AJ4" s="535"/>
      <c r="AK4" s="537"/>
      <c r="AL4" s="538"/>
      <c r="AM4" s="539"/>
      <c r="AN4" s="540"/>
      <c r="AO4" s="536"/>
      <c r="AP4" s="535"/>
      <c r="AQ4" s="541"/>
    </row>
    <row r="5" spans="1:43" ht="18.75" customHeight="1" x14ac:dyDescent="0.3">
      <c r="A5" s="542" t="s">
        <v>108</v>
      </c>
      <c r="B5" s="739" t="s">
        <v>185</v>
      </c>
      <c r="C5" s="740"/>
      <c r="D5" s="741"/>
      <c r="E5" s="739" t="s">
        <v>186</v>
      </c>
      <c r="F5" s="740"/>
      <c r="G5" s="741"/>
      <c r="H5" s="739" t="s">
        <v>187</v>
      </c>
      <c r="I5" s="740"/>
      <c r="J5" s="741"/>
      <c r="K5" s="739" t="s">
        <v>188</v>
      </c>
      <c r="L5" s="740"/>
      <c r="M5" s="741"/>
      <c r="N5" s="739" t="s">
        <v>189</v>
      </c>
      <c r="O5" s="740"/>
      <c r="P5" s="741"/>
      <c r="Q5" s="739"/>
      <c r="R5" s="740"/>
      <c r="S5" s="741"/>
      <c r="T5" s="739" t="s">
        <v>64</v>
      </c>
      <c r="U5" s="740"/>
      <c r="V5" s="741"/>
      <c r="W5" s="543"/>
      <c r="X5" s="544"/>
      <c r="Y5" s="545"/>
      <c r="Z5" s="739" t="s">
        <v>190</v>
      </c>
      <c r="AA5" s="740"/>
      <c r="AB5" s="741"/>
      <c r="AC5" s="543"/>
      <c r="AD5" s="544"/>
      <c r="AE5" s="545"/>
      <c r="AF5" s="739"/>
      <c r="AG5" s="740"/>
      <c r="AH5" s="741"/>
      <c r="AI5" s="739" t="s">
        <v>76</v>
      </c>
      <c r="AJ5" s="740"/>
      <c r="AK5" s="741"/>
      <c r="AL5" s="742" t="s">
        <v>2</v>
      </c>
      <c r="AM5" s="743"/>
      <c r="AN5" s="744"/>
      <c r="AO5" s="739" t="s">
        <v>298</v>
      </c>
      <c r="AP5" s="740"/>
      <c r="AQ5" s="741"/>
    </row>
    <row r="6" spans="1:43" ht="21" customHeight="1" x14ac:dyDescent="0.3">
      <c r="A6" s="546"/>
      <c r="B6" s="733" t="s">
        <v>191</v>
      </c>
      <c r="C6" s="734"/>
      <c r="D6" s="735"/>
      <c r="E6" s="733" t="s">
        <v>192</v>
      </c>
      <c r="F6" s="734"/>
      <c r="G6" s="735"/>
      <c r="H6" s="733" t="s">
        <v>192</v>
      </c>
      <c r="I6" s="734"/>
      <c r="J6" s="735"/>
      <c r="K6" s="733" t="s">
        <v>193</v>
      </c>
      <c r="L6" s="734"/>
      <c r="M6" s="735"/>
      <c r="N6" s="733" t="s">
        <v>95</v>
      </c>
      <c r="O6" s="734"/>
      <c r="P6" s="735"/>
      <c r="Q6" s="733" t="s">
        <v>64</v>
      </c>
      <c r="R6" s="734"/>
      <c r="S6" s="735"/>
      <c r="T6" s="733" t="s">
        <v>194</v>
      </c>
      <c r="U6" s="734"/>
      <c r="V6" s="735"/>
      <c r="W6" s="733" t="s">
        <v>69</v>
      </c>
      <c r="X6" s="734"/>
      <c r="Y6" s="735"/>
      <c r="Z6" s="733" t="s">
        <v>191</v>
      </c>
      <c r="AA6" s="734"/>
      <c r="AB6" s="735"/>
      <c r="AC6" s="733" t="s">
        <v>75</v>
      </c>
      <c r="AD6" s="734"/>
      <c r="AE6" s="735"/>
      <c r="AF6" s="733" t="s">
        <v>71</v>
      </c>
      <c r="AG6" s="734"/>
      <c r="AH6" s="735"/>
      <c r="AI6" s="733" t="s">
        <v>192</v>
      </c>
      <c r="AJ6" s="734"/>
      <c r="AK6" s="735"/>
      <c r="AL6" s="736" t="s">
        <v>299</v>
      </c>
      <c r="AM6" s="737"/>
      <c r="AN6" s="738"/>
      <c r="AO6" s="733" t="s">
        <v>300</v>
      </c>
      <c r="AP6" s="734"/>
      <c r="AQ6" s="735"/>
    </row>
    <row r="7" spans="1:43" ht="18.75" customHeight="1" x14ac:dyDescent="0.3">
      <c r="A7" s="546"/>
      <c r="B7" s="542"/>
      <c r="C7" s="542"/>
      <c r="D7" s="547" t="s">
        <v>84</v>
      </c>
      <c r="E7" s="542"/>
      <c r="F7" s="542"/>
      <c r="G7" s="547" t="s">
        <v>84</v>
      </c>
      <c r="H7" s="542"/>
      <c r="I7" s="542"/>
      <c r="J7" s="547" t="s">
        <v>84</v>
      </c>
      <c r="K7" s="542"/>
      <c r="L7" s="542"/>
      <c r="M7" s="547" t="s">
        <v>84</v>
      </c>
      <c r="N7" s="542"/>
      <c r="O7" s="542"/>
      <c r="P7" s="547" t="s">
        <v>84</v>
      </c>
      <c r="Q7" s="542"/>
      <c r="R7" s="542"/>
      <c r="S7" s="547" t="s">
        <v>84</v>
      </c>
      <c r="T7" s="542"/>
      <c r="U7" s="542"/>
      <c r="V7" s="547" t="s">
        <v>84</v>
      </c>
      <c r="W7" s="542"/>
      <c r="X7" s="542"/>
      <c r="Y7" s="547" t="s">
        <v>84</v>
      </c>
      <c r="Z7" s="542"/>
      <c r="AA7" s="542"/>
      <c r="AB7" s="547" t="s">
        <v>84</v>
      </c>
      <c r="AC7" s="542"/>
      <c r="AD7" s="542"/>
      <c r="AE7" s="547" t="s">
        <v>84</v>
      </c>
      <c r="AF7" s="542"/>
      <c r="AG7" s="542"/>
      <c r="AH7" s="547" t="s">
        <v>84</v>
      </c>
      <c r="AI7" s="542"/>
      <c r="AJ7" s="542"/>
      <c r="AK7" s="547" t="s">
        <v>84</v>
      </c>
      <c r="AL7" s="542"/>
      <c r="AM7" s="542"/>
      <c r="AN7" s="547" t="s">
        <v>84</v>
      </c>
      <c r="AO7" s="542"/>
      <c r="AP7" s="542"/>
      <c r="AQ7" s="547" t="s">
        <v>84</v>
      </c>
    </row>
    <row r="8" spans="1:43" ht="18.75" customHeight="1" x14ac:dyDescent="0.25">
      <c r="A8" s="548" t="s">
        <v>301</v>
      </c>
      <c r="B8" s="630">
        <v>2017</v>
      </c>
      <c r="C8" s="630">
        <v>2018</v>
      </c>
      <c r="D8" s="549" t="s">
        <v>86</v>
      </c>
      <c r="E8" s="630">
        <v>2017</v>
      </c>
      <c r="F8" s="630">
        <v>2018</v>
      </c>
      <c r="G8" s="549" t="s">
        <v>86</v>
      </c>
      <c r="H8" s="630">
        <v>2017</v>
      </c>
      <c r="I8" s="630">
        <v>2018</v>
      </c>
      <c r="J8" s="549" t="s">
        <v>86</v>
      </c>
      <c r="K8" s="630">
        <v>2017</v>
      </c>
      <c r="L8" s="630">
        <v>2018</v>
      </c>
      <c r="M8" s="549" t="s">
        <v>86</v>
      </c>
      <c r="N8" s="630">
        <v>2017</v>
      </c>
      <c r="O8" s="630">
        <v>2018</v>
      </c>
      <c r="P8" s="549" t="s">
        <v>86</v>
      </c>
      <c r="Q8" s="630">
        <v>2017</v>
      </c>
      <c r="R8" s="630">
        <v>2018</v>
      </c>
      <c r="S8" s="549" t="s">
        <v>86</v>
      </c>
      <c r="T8" s="630">
        <v>2017</v>
      </c>
      <c r="U8" s="630">
        <v>2018</v>
      </c>
      <c r="V8" s="549" t="s">
        <v>86</v>
      </c>
      <c r="W8" s="630">
        <v>2017</v>
      </c>
      <c r="X8" s="630">
        <v>2018</v>
      </c>
      <c r="Y8" s="549" t="s">
        <v>86</v>
      </c>
      <c r="Z8" s="630">
        <v>2017</v>
      </c>
      <c r="AA8" s="630">
        <v>2018</v>
      </c>
      <c r="AB8" s="549" t="s">
        <v>86</v>
      </c>
      <c r="AC8" s="630">
        <v>2017</v>
      </c>
      <c r="AD8" s="630">
        <v>2018</v>
      </c>
      <c r="AE8" s="549" t="s">
        <v>86</v>
      </c>
      <c r="AF8" s="630">
        <v>2017</v>
      </c>
      <c r="AG8" s="630">
        <v>2018</v>
      </c>
      <c r="AH8" s="549" t="s">
        <v>86</v>
      </c>
      <c r="AI8" s="630" t="e">
        <f xml:space="preserve"> år-1</f>
        <v>#REF!</v>
      </c>
      <c r="AJ8" s="630" t="e">
        <f xml:space="preserve"> år</f>
        <v>#REF!</v>
      </c>
      <c r="AK8" s="549" t="s">
        <v>86</v>
      </c>
      <c r="AL8" s="630">
        <v>2017</v>
      </c>
      <c r="AM8" s="630">
        <v>2018</v>
      </c>
      <c r="AN8" s="549" t="s">
        <v>86</v>
      </c>
      <c r="AO8" s="630">
        <v>2017</v>
      </c>
      <c r="AP8" s="630">
        <v>2018</v>
      </c>
      <c r="AQ8" s="549" t="s">
        <v>86</v>
      </c>
    </row>
    <row r="9" spans="1:43" ht="18.75" customHeight="1" x14ac:dyDescent="0.3">
      <c r="A9" s="546" t="s">
        <v>302</v>
      </c>
      <c r="B9" s="626"/>
      <c r="C9" s="627"/>
      <c r="D9" s="551"/>
      <c r="E9" s="626"/>
      <c r="F9" s="627"/>
      <c r="G9" s="551"/>
      <c r="H9" s="626"/>
      <c r="I9" s="627"/>
      <c r="J9" s="551"/>
      <c r="K9" s="626"/>
      <c r="L9" s="627"/>
      <c r="M9" s="550"/>
      <c r="N9" s="552"/>
      <c r="O9" s="553"/>
      <c r="P9" s="551"/>
      <c r="Q9" s="633"/>
      <c r="R9" s="634"/>
      <c r="S9" s="551"/>
      <c r="T9" s="626"/>
      <c r="U9" s="627"/>
      <c r="V9" s="551"/>
      <c r="W9" s="626"/>
      <c r="X9" s="627"/>
      <c r="Y9" s="551"/>
      <c r="Z9" s="633"/>
      <c r="AA9" s="634"/>
      <c r="AB9" s="551"/>
      <c r="AC9" s="626"/>
      <c r="AD9" s="627"/>
      <c r="AE9" s="551"/>
      <c r="AF9" s="626"/>
      <c r="AG9" s="627"/>
      <c r="AH9" s="551"/>
      <c r="AI9" s="626"/>
      <c r="AJ9" s="627"/>
      <c r="AK9" s="551"/>
      <c r="AL9" s="551"/>
      <c r="AM9" s="551"/>
      <c r="AN9" s="551"/>
      <c r="AO9" s="554"/>
      <c r="AP9" s="554"/>
      <c r="AQ9" s="554"/>
    </row>
    <row r="10" spans="1:43" s="529" customFormat="1" ht="18.75" customHeight="1" x14ac:dyDescent="0.3">
      <c r="A10" s="555" t="s">
        <v>303</v>
      </c>
      <c r="B10" s="445"/>
      <c r="C10" s="442"/>
      <c r="D10" s="557"/>
      <c r="E10" s="445"/>
      <c r="F10" s="442"/>
      <c r="G10" s="557"/>
      <c r="H10" s="445"/>
      <c r="I10" s="442"/>
      <c r="J10" s="557"/>
      <c r="K10" s="445"/>
      <c r="L10" s="442"/>
      <c r="M10" s="556"/>
      <c r="N10" s="558"/>
      <c r="O10" s="559"/>
      <c r="P10" s="557"/>
      <c r="Q10" s="466"/>
      <c r="R10" s="342"/>
      <c r="S10" s="557"/>
      <c r="T10" s="445"/>
      <c r="U10" s="442"/>
      <c r="V10" s="557"/>
      <c r="W10" s="445"/>
      <c r="X10" s="442"/>
      <c r="Y10" s="557"/>
      <c r="Z10" s="466"/>
      <c r="AA10" s="342"/>
      <c r="AB10" s="557"/>
      <c r="AC10" s="445"/>
      <c r="AD10" s="442"/>
      <c r="AE10" s="557"/>
      <c r="AF10" s="445"/>
      <c r="AG10" s="442"/>
      <c r="AH10" s="557"/>
      <c r="AI10" s="445"/>
      <c r="AJ10" s="442"/>
      <c r="AK10" s="557"/>
      <c r="AL10" s="557"/>
      <c r="AM10" s="557"/>
      <c r="AN10" s="557"/>
      <c r="AO10" s="560"/>
      <c r="AP10" s="560"/>
      <c r="AQ10" s="560"/>
    </row>
    <row r="11" spans="1:43" s="529" customFormat="1" ht="18.75" customHeight="1" x14ac:dyDescent="0.3">
      <c r="A11" s="555" t="s">
        <v>304</v>
      </c>
      <c r="B11" s="466">
        <v>1583.5439999999999</v>
      </c>
      <c r="C11" s="342">
        <f>1687.625+2.886</f>
        <v>1690.511</v>
      </c>
      <c r="D11" s="557">
        <f t="shared" ref="D11:D16" si="0">IF(B11=0, "    ---- ", IF(ABS(ROUND(100/B11*C11-100,1))&lt;999,ROUND(100/B11*C11-100,1),IF(ROUND(100/B11*C11-100,1)&gt;999,999,-999)))</f>
        <v>6.8</v>
      </c>
      <c r="E11" s="466">
        <v>10647.111999999999</v>
      </c>
      <c r="F11" s="342">
        <v>10540.957</v>
      </c>
      <c r="G11" s="557">
        <f t="shared" ref="G11:G17" si="1">IF(E11=0, "    ---- ", IF(ABS(ROUND(100/E11*F11-100,1))&lt;999,ROUND(100/E11*F11-100,1),IF(ROUND(100/E11*F11-100,1)&gt;999,999,-999)))</f>
        <v>-1</v>
      </c>
      <c r="H11" s="466">
        <v>772.89099999999996</v>
      </c>
      <c r="I11" s="342">
        <v>823.39099999999996</v>
      </c>
      <c r="J11" s="557">
        <f t="shared" ref="J11:J17" si="2">IF(H11=0, "    ---- ", IF(ABS(ROUND(100/H11*I11-100,1))&lt;999,ROUND(100/H11*I11-100,1),IF(ROUND(100/H11*I11-100,1)&gt;999,999,-999)))</f>
        <v>6.5</v>
      </c>
      <c r="K11" s="466">
        <v>2248.9830000000002</v>
      </c>
      <c r="L11" s="342">
        <v>2523.4</v>
      </c>
      <c r="M11" s="557">
        <f t="shared" ref="M11:M16" si="3">IF(K11=0, "    ---- ", IF(ABS(ROUND(100/K11*L11-100,1))&lt;999,ROUND(100/K11*L11-100,1),IF(ROUND(100/K11*L11-100,1)&gt;999,999,-999)))</f>
        <v>12.2</v>
      </c>
      <c r="N11" s="466">
        <v>29</v>
      </c>
      <c r="O11" s="342">
        <v>28</v>
      </c>
      <c r="P11" s="557">
        <f>IF(N11=0, "    ---- ", IF(ABS(ROUND(100/N11*O11-100,1))&lt;999,ROUND(100/N11*O11-100,1),IF(ROUND(100/N11*O11-100,1)&gt;999,999,-999)))</f>
        <v>-3.4</v>
      </c>
      <c r="Q11" s="466">
        <v>23780.774369169998</v>
      </c>
      <c r="R11" s="342">
        <v>31254.905921009999</v>
      </c>
      <c r="S11" s="557">
        <f t="shared" ref="S11:S17" si="4">IF(Q11=0, "    ---- ", IF(ABS(ROUND(100/Q11*R11-100,1))&lt;999,ROUND(100/Q11*R11-100,1),IF(ROUND(100/Q11*R11-100,1)&gt;999,999,-999)))</f>
        <v>31.4</v>
      </c>
      <c r="T11" s="466">
        <v>323.60000000000002</v>
      </c>
      <c r="U11" s="342">
        <v>381.7</v>
      </c>
      <c r="V11" s="557">
        <f t="shared" ref="V11:V30" si="5">IF(T11=0, "    ---- ", IF(ABS(ROUND(100/T11*U11-100,1))&lt;999,ROUND(100/T11*U11-100,1),IF(ROUND(100/T11*U11-100,1)&gt;999,999,-999)))</f>
        <v>18</v>
      </c>
      <c r="W11" s="466">
        <v>8093</v>
      </c>
      <c r="X11" s="342">
        <v>7460</v>
      </c>
      <c r="Y11" s="557">
        <f t="shared" ref="Y11:Y17" si="6">IF(W11=0, "    ---- ", IF(ABS(ROUND(100/W11*X11-100,1))&lt;999,ROUND(100/W11*X11-100,1),IF(ROUND(100/W11*X11-100,1)&gt;999,999,-999)))</f>
        <v>-7.8</v>
      </c>
      <c r="Z11" s="466">
        <v>3154.18</v>
      </c>
      <c r="AA11" s="342">
        <v>4064</v>
      </c>
      <c r="AB11" s="557">
        <f t="shared" ref="AB11:AB17" si="7">IF(Z11=0, "    ---- ", IF(ABS(ROUND(100/Z11*AA11-100,1))&lt;999,ROUND(100/Z11*AA11-100,1),IF(ROUND(100/Z11*AA11-100,1)&gt;999,999,-999)))</f>
        <v>28.8</v>
      </c>
      <c r="AC11" s="466">
        <v>84</v>
      </c>
      <c r="AD11" s="342">
        <v>109</v>
      </c>
      <c r="AE11" s="557">
        <f t="shared" ref="AE11:AE16" si="8">IF(AC11=0, "    ---- ", IF(ABS(ROUND(100/AC11*AD11-100,1))&lt;999,ROUND(100/AC11*AD11-100,1),IF(ROUND(100/AC11*AD11-100,1)&gt;999,999,-999)))</f>
        <v>29.8</v>
      </c>
      <c r="AF11" s="466">
        <v>4547.2849360200007</v>
      </c>
      <c r="AG11" s="342">
        <v>5196.705059599999</v>
      </c>
      <c r="AH11" s="557">
        <f t="shared" ref="AH11:AH17" si="9">IF(AF11=0, "    ---- ", IF(ABS(ROUND(100/AF11*AG11-100,1))&lt;999,ROUND(100/AF11*AG11-100,1),IF(ROUND(100/AF11*AG11-100,1)&gt;999,999,-999)))</f>
        <v>14.3</v>
      </c>
      <c r="AI11" s="466">
        <v>12609</v>
      </c>
      <c r="AJ11" s="342">
        <v>12956</v>
      </c>
      <c r="AK11" s="557">
        <f t="shared" ref="AK11:AK17" si="10">IF(AI11=0, "    ---- ", IF(ABS(ROUND(100/AI11*AJ11-100,1))&lt;999,ROUND(100/AI11*AJ11-100,1),IF(ROUND(100/AI11*AJ11-100,1)&gt;999,999,-999)))</f>
        <v>2.8</v>
      </c>
      <c r="AL11" s="557">
        <f t="shared" ref="AL11:AM17" si="11">B11+E11+H11+K11+Q11+T11+W11+Z11+AF11+AI11</f>
        <v>67760.36930518999</v>
      </c>
      <c r="AM11" s="557">
        <f t="shared" si="11"/>
        <v>76891.569980609987</v>
      </c>
      <c r="AN11" s="557">
        <f t="shared" ref="AN11:AN45" si="12">IF(AL11=0, "    ---- ", IF(ABS(ROUND(100/AL11*AM11-100,1))&lt;999,ROUND(100/AL11*AM11-100,1),IF(ROUND(100/AL11*AM11-100,1)&gt;999,999,-999)))</f>
        <v>13.5</v>
      </c>
      <c r="AO11" s="561">
        <f t="shared" ref="AO11:AP17" si="13">+B11+E11+H11+K11+N11+Q11+T11+W11+Z11+AC11+AF11+AI11</f>
        <v>67873.36930518999</v>
      </c>
      <c r="AP11" s="561">
        <f t="shared" si="13"/>
        <v>77028.569980609987</v>
      </c>
      <c r="AQ11" s="557">
        <f t="shared" ref="AQ11:AQ17" si="14">IF(AO11=0, "    ---- ", IF(ABS(ROUND(100/AO11*AP11-100,1))&lt;999,ROUND(100/AO11*AP11-100,1),IF(ROUND(100/AO11*AP11-100,1)&gt;999,999,-999)))</f>
        <v>13.5</v>
      </c>
    </row>
    <row r="12" spans="1:43" s="529" customFormat="1" ht="18.75" customHeight="1" x14ac:dyDescent="0.3">
      <c r="A12" s="555" t="s">
        <v>305</v>
      </c>
      <c r="B12" s="466">
        <v>-69.221000000000004</v>
      </c>
      <c r="C12" s="342">
        <v>-81.256</v>
      </c>
      <c r="D12" s="557">
        <f t="shared" si="0"/>
        <v>17.399999999999999</v>
      </c>
      <c r="E12" s="466">
        <v>-204.5</v>
      </c>
      <c r="F12" s="342">
        <v>-162.977</v>
      </c>
      <c r="G12" s="557">
        <f t="shared" si="1"/>
        <v>-20.3</v>
      </c>
      <c r="H12" s="466">
        <v>-42.057000000000002</v>
      </c>
      <c r="I12" s="342">
        <v>-45.152000000000001</v>
      </c>
      <c r="J12" s="557">
        <f t="shared" si="2"/>
        <v>7.4</v>
      </c>
      <c r="K12" s="466">
        <v>-6.8760000000000003</v>
      </c>
      <c r="L12" s="342">
        <v>-42.4</v>
      </c>
      <c r="M12" s="557">
        <f t="shared" si="3"/>
        <v>516.6</v>
      </c>
      <c r="N12" s="466"/>
      <c r="O12" s="342"/>
      <c r="P12" s="557"/>
      <c r="Q12" s="466">
        <v>0</v>
      </c>
      <c r="R12" s="342">
        <v>-1.5713729999999999</v>
      </c>
      <c r="S12" s="557" t="str">
        <f t="shared" si="4"/>
        <v xml:space="preserve">    ---- </v>
      </c>
      <c r="T12" s="466">
        <v>-0.3</v>
      </c>
      <c r="U12" s="342">
        <v>-0.3</v>
      </c>
      <c r="V12" s="557">
        <f t="shared" si="5"/>
        <v>0</v>
      </c>
      <c r="W12" s="466">
        <v>-65</v>
      </c>
      <c r="X12" s="342">
        <v>-63.9</v>
      </c>
      <c r="Y12" s="557">
        <f t="shared" si="6"/>
        <v>-1.7</v>
      </c>
      <c r="Z12" s="466">
        <v>-1.3009999999999999</v>
      </c>
      <c r="AA12" s="342">
        <v>-1</v>
      </c>
      <c r="AB12" s="557"/>
      <c r="AC12" s="466"/>
      <c r="AD12" s="342"/>
      <c r="AE12" s="557"/>
      <c r="AF12" s="466">
        <v>-157.22300000000001</v>
      </c>
      <c r="AG12" s="342">
        <v>-153.42599999999999</v>
      </c>
      <c r="AH12" s="557">
        <f t="shared" si="9"/>
        <v>-2.4</v>
      </c>
      <c r="AI12" s="466">
        <v>-31</v>
      </c>
      <c r="AJ12" s="342">
        <v>-17</v>
      </c>
      <c r="AK12" s="557">
        <f t="shared" si="10"/>
        <v>-45.2</v>
      </c>
      <c r="AL12" s="557">
        <f t="shared" si="11"/>
        <v>-577.47800000000007</v>
      </c>
      <c r="AM12" s="557">
        <f t="shared" si="11"/>
        <v>-568.98237299999994</v>
      </c>
      <c r="AN12" s="557">
        <f t="shared" si="12"/>
        <v>-1.5</v>
      </c>
      <c r="AO12" s="561">
        <f t="shared" si="13"/>
        <v>-577.47800000000007</v>
      </c>
      <c r="AP12" s="561">
        <f t="shared" si="13"/>
        <v>-568.98237299999994</v>
      </c>
      <c r="AQ12" s="557">
        <f t="shared" si="14"/>
        <v>-1.5</v>
      </c>
    </row>
    <row r="13" spans="1:43" s="529" customFormat="1" ht="18.75" customHeight="1" x14ac:dyDescent="0.3">
      <c r="A13" s="555" t="s">
        <v>306</v>
      </c>
      <c r="B13" s="466">
        <v>677.51</v>
      </c>
      <c r="C13" s="342">
        <v>607.81399999999996</v>
      </c>
      <c r="D13" s="557">
        <f t="shared" si="0"/>
        <v>-10.3</v>
      </c>
      <c r="E13" s="466">
        <v>3228.5039999999999</v>
      </c>
      <c r="F13" s="342">
        <v>3201.0479999999998</v>
      </c>
      <c r="G13" s="557">
        <f t="shared" si="1"/>
        <v>-0.9</v>
      </c>
      <c r="H13" s="466">
        <v>60.901000000000003</v>
      </c>
      <c r="I13" s="342">
        <v>48.155999999999999</v>
      </c>
      <c r="J13" s="557">
        <f t="shared" si="2"/>
        <v>-20.9</v>
      </c>
      <c r="K13" s="466">
        <v>1702.7159999999999</v>
      </c>
      <c r="L13" s="342">
        <v>1289.7</v>
      </c>
      <c r="M13" s="557">
        <f t="shared" si="3"/>
        <v>-24.3</v>
      </c>
      <c r="N13" s="466"/>
      <c r="O13" s="342"/>
      <c r="P13" s="557"/>
      <c r="Q13" s="466">
        <v>208.47842800000001</v>
      </c>
      <c r="R13" s="342">
        <v>5.3019790000000002</v>
      </c>
      <c r="S13" s="557">
        <f t="shared" si="4"/>
        <v>-97.5</v>
      </c>
      <c r="T13" s="466">
        <v>447</v>
      </c>
      <c r="U13" s="342">
        <v>350.4</v>
      </c>
      <c r="V13" s="557">
        <f t="shared" si="5"/>
        <v>-21.6</v>
      </c>
      <c r="W13" s="466">
        <v>895</v>
      </c>
      <c r="X13" s="342">
        <v>2097.4</v>
      </c>
      <c r="Y13" s="557">
        <f t="shared" si="6"/>
        <v>134.30000000000001</v>
      </c>
      <c r="Z13" s="466"/>
      <c r="AA13" s="342">
        <v>310</v>
      </c>
      <c r="AB13" s="557"/>
      <c r="AC13" s="466">
        <v>83</v>
      </c>
      <c r="AD13" s="342">
        <v>129</v>
      </c>
      <c r="AE13" s="557">
        <f t="shared" si="8"/>
        <v>55.4</v>
      </c>
      <c r="AF13" s="466">
        <v>1406.9079394800001</v>
      </c>
      <c r="AG13" s="342">
        <v>1935.5394127899999</v>
      </c>
      <c r="AH13" s="557">
        <f t="shared" si="9"/>
        <v>37.6</v>
      </c>
      <c r="AI13" s="466">
        <v>920</v>
      </c>
      <c r="AJ13" s="342">
        <v>1824</v>
      </c>
      <c r="AK13" s="557">
        <f t="shared" si="10"/>
        <v>98.3</v>
      </c>
      <c r="AL13" s="557">
        <f t="shared" si="11"/>
        <v>9547.0173674799989</v>
      </c>
      <c r="AM13" s="557">
        <f t="shared" si="11"/>
        <v>11669.35939179</v>
      </c>
      <c r="AN13" s="557">
        <f t="shared" si="12"/>
        <v>22.2</v>
      </c>
      <c r="AO13" s="561">
        <f t="shared" si="13"/>
        <v>9630.0173674799989</v>
      </c>
      <c r="AP13" s="561">
        <f t="shared" si="13"/>
        <v>11798.35939179</v>
      </c>
      <c r="AQ13" s="557">
        <f t="shared" si="14"/>
        <v>22.5</v>
      </c>
    </row>
    <row r="14" spans="1:43" s="529" customFormat="1" ht="18.75" customHeight="1" x14ac:dyDescent="0.3">
      <c r="A14" s="555" t="s">
        <v>307</v>
      </c>
      <c r="B14" s="637">
        <f>SUM(B11:B13)</f>
        <v>2191.8329999999996</v>
      </c>
      <c r="C14" s="638">
        <f>SUM(C11:C13)</f>
        <v>2217.069</v>
      </c>
      <c r="D14" s="557">
        <f t="shared" si="0"/>
        <v>1.2</v>
      </c>
      <c r="E14" s="445">
        <f>SUM(E11:E13)</f>
        <v>13671.115999999998</v>
      </c>
      <c r="F14" s="442">
        <f>SUM(F11:F13)</f>
        <v>13579.027999999998</v>
      </c>
      <c r="G14" s="557">
        <f t="shared" si="1"/>
        <v>-0.7</v>
      </c>
      <c r="H14" s="445">
        <f>SUM(H11:H13)</f>
        <v>791.7349999999999</v>
      </c>
      <c r="I14" s="442">
        <f>SUM(I11:I13)</f>
        <v>826.39499999999987</v>
      </c>
      <c r="J14" s="557">
        <f t="shared" si="2"/>
        <v>4.4000000000000004</v>
      </c>
      <c r="K14" s="445">
        <f>SUM(K11:K13)</f>
        <v>3944.8229999999999</v>
      </c>
      <c r="L14" s="442">
        <f>SUM(L11:L13)</f>
        <v>3770.7</v>
      </c>
      <c r="M14" s="557">
        <f t="shared" si="3"/>
        <v>-4.4000000000000004</v>
      </c>
      <c r="N14" s="445">
        <f>SUM(N11:N13)</f>
        <v>29</v>
      </c>
      <c r="O14" s="442">
        <f>SUM(O11:O13)</f>
        <v>28</v>
      </c>
      <c r="P14" s="557">
        <f>IF(N14=0, "    ---- ", IF(ABS(ROUND(100/N14*O14-100,1))&lt;999,ROUND(100/N14*O14-100,1),IF(ROUND(100/N14*O14-100,1)&gt;999,999,-999)))</f>
        <v>-3.4</v>
      </c>
      <c r="Q14" s="445">
        <f>SUM(Q11:Q13)</f>
        <v>23989.252797169996</v>
      </c>
      <c r="R14" s="442">
        <f>SUM(R11:R13)</f>
        <v>31258.63652701</v>
      </c>
      <c r="S14" s="557">
        <f t="shared" si="4"/>
        <v>30.3</v>
      </c>
      <c r="T14" s="445">
        <f>SUM(T11:T13)</f>
        <v>770.3</v>
      </c>
      <c r="U14" s="442">
        <f>SUM(U11:U13)</f>
        <v>731.8</v>
      </c>
      <c r="V14" s="557">
        <f t="shared" si="5"/>
        <v>-5</v>
      </c>
      <c r="W14" s="445">
        <f>SUM(W11:W13)</f>
        <v>8923</v>
      </c>
      <c r="X14" s="442">
        <f>SUM(X11:X13)</f>
        <v>9493.5</v>
      </c>
      <c r="Y14" s="557">
        <f t="shared" si="6"/>
        <v>6.4</v>
      </c>
      <c r="Z14" s="445">
        <f>SUM(Z11:Z13)</f>
        <v>3152.8789999999999</v>
      </c>
      <c r="AA14" s="442">
        <f>SUM(AA11:AA13)</f>
        <v>4373</v>
      </c>
      <c r="AB14" s="557">
        <f t="shared" si="7"/>
        <v>38.700000000000003</v>
      </c>
      <c r="AC14" s="445">
        <f>SUM(AC11:AC13)</f>
        <v>167</v>
      </c>
      <c r="AD14" s="442">
        <f>SUM(AD11:AD13)</f>
        <v>238</v>
      </c>
      <c r="AE14" s="557">
        <f t="shared" si="8"/>
        <v>42.5</v>
      </c>
      <c r="AF14" s="445">
        <f>SUM(AF11:AF13)</f>
        <v>5796.9698755000009</v>
      </c>
      <c r="AG14" s="442">
        <f>SUM(AG11:AG13)</f>
        <v>6978.8184723899985</v>
      </c>
      <c r="AH14" s="557">
        <f t="shared" si="9"/>
        <v>20.399999999999999</v>
      </c>
      <c r="AI14" s="445">
        <f>SUM(AI11:AI13)</f>
        <v>13498</v>
      </c>
      <c r="AJ14" s="442">
        <f>SUM(AJ11:AJ13)</f>
        <v>14763</v>
      </c>
      <c r="AK14" s="557">
        <f t="shared" si="10"/>
        <v>9.4</v>
      </c>
      <c r="AL14" s="557">
        <f t="shared" si="11"/>
        <v>76729.90867266999</v>
      </c>
      <c r="AM14" s="557">
        <f t="shared" si="11"/>
        <v>87991.94699940001</v>
      </c>
      <c r="AN14" s="557">
        <f t="shared" si="12"/>
        <v>14.7</v>
      </c>
      <c r="AO14" s="561">
        <f t="shared" si="13"/>
        <v>76925.90867266999</v>
      </c>
      <c r="AP14" s="561">
        <f t="shared" si="13"/>
        <v>88257.94699940001</v>
      </c>
      <c r="AQ14" s="557">
        <f t="shared" si="14"/>
        <v>14.7</v>
      </c>
    </row>
    <row r="15" spans="1:43" s="529" customFormat="1" ht="18.75" customHeight="1" x14ac:dyDescent="0.3">
      <c r="A15" s="555" t="s">
        <v>308</v>
      </c>
      <c r="B15" s="461">
        <v>25.76</v>
      </c>
      <c r="C15" s="459">
        <v>12.186</v>
      </c>
      <c r="D15" s="557">
        <f t="shared" si="0"/>
        <v>-52.7</v>
      </c>
      <c r="E15" s="461">
        <v>7876.1589999999997</v>
      </c>
      <c r="F15" s="459">
        <v>6066.674</v>
      </c>
      <c r="G15" s="557">
        <f t="shared" si="1"/>
        <v>-23</v>
      </c>
      <c r="H15" s="635">
        <v>32.438000000000002</v>
      </c>
      <c r="I15" s="636">
        <v>18.785</v>
      </c>
      <c r="J15" s="557">
        <f t="shared" si="2"/>
        <v>-42.1</v>
      </c>
      <c r="K15" s="461">
        <v>185.90700000000001</v>
      </c>
      <c r="L15" s="459">
        <v>189.4</v>
      </c>
      <c r="M15" s="557">
        <f t="shared" si="3"/>
        <v>1.9</v>
      </c>
      <c r="N15" s="631"/>
      <c r="O15" s="632"/>
      <c r="P15" s="557"/>
      <c r="Q15" s="461">
        <v>20759.768952570001</v>
      </c>
      <c r="R15" s="459">
        <v>14362.900120660001</v>
      </c>
      <c r="S15" s="557">
        <f t="shared" si="4"/>
        <v>-30.8</v>
      </c>
      <c r="T15" s="461">
        <v>58.1</v>
      </c>
      <c r="U15" s="459">
        <v>39.700000000000003</v>
      </c>
      <c r="V15" s="557">
        <f t="shared" si="5"/>
        <v>-31.7</v>
      </c>
      <c r="W15" s="461">
        <v>1887</v>
      </c>
      <c r="X15" s="459">
        <v>1623</v>
      </c>
      <c r="Y15" s="557">
        <f t="shared" si="6"/>
        <v>-14</v>
      </c>
      <c r="Z15" s="461">
        <v>5044.1970000000001</v>
      </c>
      <c r="AA15" s="459">
        <v>3188</v>
      </c>
      <c r="AB15" s="557">
        <f t="shared" si="7"/>
        <v>-36.799999999999997</v>
      </c>
      <c r="AC15" s="631"/>
      <c r="AD15" s="632"/>
      <c r="AE15" s="557"/>
      <c r="AF15" s="563">
        <v>984.55748987999971</v>
      </c>
      <c r="AG15" s="564">
        <v>677.84310407999999</v>
      </c>
      <c r="AH15" s="557">
        <f t="shared" si="9"/>
        <v>-31.2</v>
      </c>
      <c r="AI15" s="461">
        <v>7406</v>
      </c>
      <c r="AJ15" s="459">
        <v>4218</v>
      </c>
      <c r="AK15" s="557">
        <f t="shared" si="10"/>
        <v>-43</v>
      </c>
      <c r="AL15" s="557">
        <f t="shared" si="11"/>
        <v>44259.887442449995</v>
      </c>
      <c r="AM15" s="557">
        <f t="shared" si="11"/>
        <v>30396.488224739998</v>
      </c>
      <c r="AN15" s="557">
        <f t="shared" si="12"/>
        <v>-31.3</v>
      </c>
      <c r="AO15" s="561">
        <f t="shared" si="13"/>
        <v>44259.887442449995</v>
      </c>
      <c r="AP15" s="561">
        <f t="shared" si="13"/>
        <v>30396.488224739998</v>
      </c>
      <c r="AQ15" s="557">
        <f t="shared" si="14"/>
        <v>-31.3</v>
      </c>
    </row>
    <row r="16" spans="1:43" s="529" customFormat="1" ht="18.75" customHeight="1" x14ac:dyDescent="0.3">
      <c r="A16" s="555" t="s">
        <v>309</v>
      </c>
      <c r="B16" s="461">
        <v>991.27599999999995</v>
      </c>
      <c r="C16" s="459">
        <v>284.61200000000002</v>
      </c>
      <c r="D16" s="557">
        <f t="shared" si="0"/>
        <v>-71.3</v>
      </c>
      <c r="E16" s="461">
        <v>4148.7669999999998</v>
      </c>
      <c r="F16" s="459">
        <v>2727.7939999999999</v>
      </c>
      <c r="G16" s="557">
        <f t="shared" si="1"/>
        <v>-34.299999999999997</v>
      </c>
      <c r="H16" s="635">
        <v>147.30000000000001</v>
      </c>
      <c r="I16" s="636">
        <v>25.094000000000001</v>
      </c>
      <c r="J16" s="557">
        <f t="shared" si="2"/>
        <v>-83</v>
      </c>
      <c r="K16" s="461">
        <v>1323.58</v>
      </c>
      <c r="L16" s="459">
        <v>611.79999999999995</v>
      </c>
      <c r="M16" s="556">
        <f t="shared" si="3"/>
        <v>-53.8</v>
      </c>
      <c r="N16" s="631"/>
      <c r="O16" s="632"/>
      <c r="P16" s="565"/>
      <c r="Q16" s="461">
        <v>109.77122986000001</v>
      </c>
      <c r="R16" s="459">
        <v>73.210307599999993</v>
      </c>
      <c r="S16" s="565">
        <f t="shared" si="4"/>
        <v>-33.299999999999997</v>
      </c>
      <c r="T16" s="461">
        <v>164.9</v>
      </c>
      <c r="U16" s="459">
        <v>139.4</v>
      </c>
      <c r="V16" s="565">
        <f t="shared" si="5"/>
        <v>-15.5</v>
      </c>
      <c r="W16" s="461">
        <v>3662</v>
      </c>
      <c r="X16" s="459">
        <v>1142</v>
      </c>
      <c r="Y16" s="557">
        <f t="shared" si="6"/>
        <v>-68.8</v>
      </c>
      <c r="Z16" s="461"/>
      <c r="AA16" s="459"/>
      <c r="AB16" s="557"/>
      <c r="AC16" s="631">
        <v>182</v>
      </c>
      <c r="AD16" s="632">
        <v>59</v>
      </c>
      <c r="AE16" s="557">
        <f t="shared" si="8"/>
        <v>-67.599999999999994</v>
      </c>
      <c r="AF16" s="563">
        <v>1903.9951123899998</v>
      </c>
      <c r="AG16" s="564">
        <v>1017.5438005499998</v>
      </c>
      <c r="AH16" s="557">
        <f t="shared" si="9"/>
        <v>-46.6</v>
      </c>
      <c r="AI16" s="461">
        <v>5627</v>
      </c>
      <c r="AJ16" s="459">
        <v>3123</v>
      </c>
      <c r="AK16" s="557">
        <f t="shared" si="10"/>
        <v>-44.5</v>
      </c>
      <c r="AL16" s="557">
        <f t="shared" si="11"/>
        <v>18078.589342249998</v>
      </c>
      <c r="AM16" s="557">
        <f t="shared" si="11"/>
        <v>9144.4541081499992</v>
      </c>
      <c r="AN16" s="557">
        <f t="shared" si="12"/>
        <v>-49.4</v>
      </c>
      <c r="AO16" s="561">
        <f t="shared" si="13"/>
        <v>18260.589342249998</v>
      </c>
      <c r="AP16" s="561">
        <f t="shared" si="13"/>
        <v>9203.4541081499992</v>
      </c>
      <c r="AQ16" s="557">
        <f t="shared" si="14"/>
        <v>-49.6</v>
      </c>
    </row>
    <row r="17" spans="1:43" s="529" customFormat="1" ht="18.75" customHeight="1" x14ac:dyDescent="0.3">
      <c r="A17" s="555" t="s">
        <v>310</v>
      </c>
      <c r="B17" s="461"/>
      <c r="C17" s="459"/>
      <c r="D17" s="557"/>
      <c r="E17" s="461">
        <v>28.38</v>
      </c>
      <c r="F17" s="459">
        <v>8.1240000000000006</v>
      </c>
      <c r="G17" s="557">
        <f t="shared" si="1"/>
        <v>-71.400000000000006</v>
      </c>
      <c r="H17" s="635">
        <v>8.2609999999999992</v>
      </c>
      <c r="I17" s="636">
        <v>9.702</v>
      </c>
      <c r="J17" s="557">
        <f t="shared" si="2"/>
        <v>17.399999999999999</v>
      </c>
      <c r="K17" s="461">
        <v>90.632000000000005</v>
      </c>
      <c r="L17" s="459">
        <v>110.2</v>
      </c>
      <c r="M17" s="557"/>
      <c r="N17" s="631"/>
      <c r="O17" s="632"/>
      <c r="P17" s="557"/>
      <c r="Q17" s="461">
        <v>732.22449600000004</v>
      </c>
      <c r="R17" s="459">
        <v>781.34996899999999</v>
      </c>
      <c r="S17" s="557">
        <f t="shared" si="4"/>
        <v>6.7</v>
      </c>
      <c r="T17" s="461">
        <v>1.7</v>
      </c>
      <c r="U17" s="459">
        <v>3.5</v>
      </c>
      <c r="V17" s="557">
        <f t="shared" si="5"/>
        <v>105.9</v>
      </c>
      <c r="W17" s="461">
        <v>121</v>
      </c>
      <c r="X17" s="459">
        <v>113</v>
      </c>
      <c r="Y17" s="557">
        <f t="shared" si="6"/>
        <v>-6.6</v>
      </c>
      <c r="Z17" s="461">
        <v>145.81</v>
      </c>
      <c r="AA17" s="459">
        <v>151</v>
      </c>
      <c r="AB17" s="557">
        <f t="shared" si="7"/>
        <v>3.6</v>
      </c>
      <c r="AC17" s="631"/>
      <c r="AD17" s="632"/>
      <c r="AE17" s="557"/>
      <c r="AF17" s="563">
        <v>86.520224220000031</v>
      </c>
      <c r="AG17" s="564">
        <v>151.07443132</v>
      </c>
      <c r="AH17" s="557">
        <f t="shared" si="9"/>
        <v>74.599999999999994</v>
      </c>
      <c r="AI17" s="461">
        <v>400</v>
      </c>
      <c r="AJ17" s="459">
        <v>474</v>
      </c>
      <c r="AK17" s="557">
        <f t="shared" si="10"/>
        <v>18.5</v>
      </c>
      <c r="AL17" s="557">
        <f t="shared" si="11"/>
        <v>1614.5277202200002</v>
      </c>
      <c r="AM17" s="557">
        <f t="shared" si="11"/>
        <v>1801.95040032</v>
      </c>
      <c r="AN17" s="557">
        <f t="shared" si="12"/>
        <v>11.6</v>
      </c>
      <c r="AO17" s="561">
        <f t="shared" si="13"/>
        <v>1614.5277202200002</v>
      </c>
      <c r="AP17" s="561">
        <f t="shared" si="13"/>
        <v>1801.95040032</v>
      </c>
      <c r="AQ17" s="557">
        <f t="shared" si="14"/>
        <v>11.6</v>
      </c>
    </row>
    <row r="18" spans="1:43" s="529" customFormat="1" ht="18.75" customHeight="1" x14ac:dyDescent="0.3">
      <c r="A18" s="555" t="s">
        <v>311</v>
      </c>
      <c r="B18" s="461"/>
      <c r="C18" s="459"/>
      <c r="D18" s="557"/>
      <c r="E18" s="461"/>
      <c r="F18" s="459"/>
      <c r="G18" s="557"/>
      <c r="H18" s="635"/>
      <c r="I18" s="636"/>
      <c r="J18" s="557"/>
      <c r="K18" s="461"/>
      <c r="L18" s="459"/>
      <c r="M18" s="556"/>
      <c r="N18" s="631"/>
      <c r="O18" s="632"/>
      <c r="P18" s="557"/>
      <c r="Q18" s="461"/>
      <c r="R18" s="459"/>
      <c r="S18" s="557"/>
      <c r="T18" s="461"/>
      <c r="U18" s="459"/>
      <c r="V18" s="557"/>
      <c r="W18" s="566"/>
      <c r="X18" s="567"/>
      <c r="Y18" s="557"/>
      <c r="Z18" s="461"/>
      <c r="AA18" s="459"/>
      <c r="AB18" s="557"/>
      <c r="AC18" s="631"/>
      <c r="AD18" s="632"/>
      <c r="AE18" s="557"/>
      <c r="AF18" s="563"/>
      <c r="AG18" s="564"/>
      <c r="AH18" s="557"/>
      <c r="AI18" s="461"/>
      <c r="AJ18" s="459"/>
      <c r="AK18" s="557"/>
      <c r="AL18" s="557"/>
      <c r="AM18" s="557"/>
      <c r="AN18" s="557"/>
      <c r="AO18" s="568"/>
      <c r="AP18" s="568"/>
      <c r="AQ18" s="560"/>
    </row>
    <row r="19" spans="1:43" s="529" customFormat="1" ht="18.75" customHeight="1" x14ac:dyDescent="0.3">
      <c r="A19" s="555" t="s">
        <v>312</v>
      </c>
      <c r="B19" s="445">
        <v>-382.351</v>
      </c>
      <c r="C19" s="442">
        <f>-537.648+44.643</f>
        <v>-493.005</v>
      </c>
      <c r="D19" s="557">
        <f>IF(B19=0, "    ---- ", IF(ABS(ROUND(100/B19*C19-100,1))&lt;999,ROUND(100/B19*C19-100,1),IF(ROUND(100/B19*C19-100,1)&gt;999,999,-999)))</f>
        <v>28.9</v>
      </c>
      <c r="E19" s="445">
        <v>-10870.892</v>
      </c>
      <c r="F19" s="442">
        <v>-10520.825999999999</v>
      </c>
      <c r="G19" s="557">
        <f>IF(E19=0, "    ---- ", IF(ABS(ROUND(100/E19*F19-100,1))&lt;999,ROUND(100/E19*F19-100,1),IF(ROUND(100/E19*F19-100,1)&gt;999,999,-999)))</f>
        <v>-3.2</v>
      </c>
      <c r="H19" s="445">
        <v>-51.575000000000003</v>
      </c>
      <c r="I19" s="442">
        <v>-84.606999999999999</v>
      </c>
      <c r="J19" s="557">
        <f>IF(H19=0, "    ---- ", IF(ABS(ROUND(100/H19*I19-100,1))&lt;999,ROUND(100/H19*I19-100,1),IF(ROUND(100/H19*I19-100,1)&gt;999,999,-999)))</f>
        <v>64</v>
      </c>
      <c r="K19" s="445">
        <v>-309.31099999999998</v>
      </c>
      <c r="L19" s="442">
        <f>-410+8.7</f>
        <v>-401.3</v>
      </c>
      <c r="M19" s="557">
        <f>IF(K19=0, "    ---- ", IF(ABS(ROUND(100/K19*L19-100,1))&lt;999,ROUND(100/K19*L19-100,1),IF(ROUND(100/K19*L19-100,1)&gt;999,999,-999)))</f>
        <v>29.7</v>
      </c>
      <c r="N19" s="445">
        <v>-16</v>
      </c>
      <c r="O19" s="442">
        <v>-14</v>
      </c>
      <c r="P19" s="557">
        <f>IF(N19=0, "    ---- ", IF(ABS(ROUND(100/N19*O19-100,1))&lt;999,ROUND(100/N19*O19-100,1),IF(ROUND(100/N19*O19-100,1)&gt;999,999,-999)))</f>
        <v>-12.5</v>
      </c>
      <c r="Q19" s="445">
        <v>-12833.100612</v>
      </c>
      <c r="R19" s="442">
        <v>-13613.708052</v>
      </c>
      <c r="S19" s="557">
        <f>IF(Q19=0, "    ---- ", IF(ABS(ROUND(100/Q19*R19-100,1))&lt;999,ROUND(100/Q19*R19-100,1),IF(ROUND(100/Q19*R19-100,1)&gt;999,999,-999)))</f>
        <v>6.1</v>
      </c>
      <c r="T19" s="445">
        <v>-55.2</v>
      </c>
      <c r="U19" s="442">
        <v>-62.2</v>
      </c>
      <c r="V19" s="557">
        <f t="shared" si="5"/>
        <v>12.7</v>
      </c>
      <c r="W19" s="445">
        <v>-3301</v>
      </c>
      <c r="X19" s="442">
        <v>-4024.4</v>
      </c>
      <c r="Y19" s="557">
        <f>IF(W19=0, "    ---- ", IF(ABS(ROUND(100/W19*X19-100,1))&lt;999,ROUND(100/W19*X19-100,1),IF(ROUND(100/W19*X19-100,1)&gt;999,999,-999)))</f>
        <v>21.9</v>
      </c>
      <c r="Z19" s="445">
        <v>-1992.2270000000001</v>
      </c>
      <c r="AA19" s="442">
        <v>-2099</v>
      </c>
      <c r="AB19" s="557">
        <f>IF(Z19=0, "    ---- ", IF(ABS(ROUND(100/Z19*AA19-100,1))&lt;999,ROUND(100/Z19*AA19-100,1),IF(ROUND(100/Z19*AA19-100,1)&gt;999,999,-999)))</f>
        <v>5.4</v>
      </c>
      <c r="AC19" s="445">
        <v>-136</v>
      </c>
      <c r="AD19" s="442">
        <v>-113</v>
      </c>
      <c r="AE19" s="557">
        <f>IF(AC19=0, "    ---- ", IF(ABS(ROUND(100/AC19*AD19-100,1))&lt;999,ROUND(100/AC19*AD19-100,1),IF(ROUND(100/AC19*AD19-100,1)&gt;999,999,-999)))</f>
        <v>-16.899999999999999</v>
      </c>
      <c r="AF19" s="569">
        <v>-1609.2197332800001</v>
      </c>
      <c r="AG19" s="570">
        <v>-1690.5531754699998</v>
      </c>
      <c r="AH19" s="557">
        <f>IF(AF19=0, "    ---- ", IF(ABS(ROUND(100/AF19*AG19-100,1))&lt;999,ROUND(100/AF19*AG19-100,1),IF(ROUND(100/AF19*AG19-100,1)&gt;999,999,-999)))</f>
        <v>5.0999999999999996</v>
      </c>
      <c r="AI19" s="445">
        <v>-7659</v>
      </c>
      <c r="AJ19" s="442">
        <f>-8308+14</f>
        <v>-8294</v>
      </c>
      <c r="AK19" s="557">
        <f>IF(AI19=0, "    ---- ", IF(ABS(ROUND(100/AI19*AJ19-100,1))&lt;999,ROUND(100/AI19*AJ19-100,1),IF(ROUND(100/AI19*AJ19-100,1)&gt;999,999,-999)))</f>
        <v>8.3000000000000007</v>
      </c>
      <c r="AL19" s="557">
        <f t="shared" ref="AL19:AM21" si="15">B19+E19+H19+K19+Q19+T19+W19+Z19+AF19+AI19</f>
        <v>-39063.876345280005</v>
      </c>
      <c r="AM19" s="557">
        <f t="shared" si="15"/>
        <v>-41283.599227470004</v>
      </c>
      <c r="AN19" s="557">
        <f t="shared" si="12"/>
        <v>5.7</v>
      </c>
      <c r="AO19" s="561">
        <f t="shared" ref="AO19:AP21" si="16">+B19+E19+H19+K19+N19+Q19+T19+W19+Z19+AC19+AF19+AI19</f>
        <v>-39215.876345280005</v>
      </c>
      <c r="AP19" s="561">
        <f t="shared" si="16"/>
        <v>-41410.599227470004</v>
      </c>
      <c r="AQ19" s="557">
        <f>IF(AO19=0, "    ---- ", IF(ABS(ROUND(100/AO19*AP19-100,1))&lt;999,ROUND(100/AO19*AP19-100,1),IF(ROUND(100/AO19*AP19-100,1)&gt;999,999,-999)))</f>
        <v>5.6</v>
      </c>
    </row>
    <row r="20" spans="1:43" s="529" customFormat="1" ht="18.75" customHeight="1" x14ac:dyDescent="0.3">
      <c r="A20" s="555" t="s">
        <v>374</v>
      </c>
      <c r="B20" s="466">
        <v>-462.31299999999999</v>
      </c>
      <c r="C20" s="342">
        <v>-730.82299999999998</v>
      </c>
      <c r="D20" s="557">
        <f>IF(B20=0, "    ---- ", IF(ABS(ROUND(100/B20*C20-100,1))&lt;999,ROUND(100/B20*C20-100,1),IF(ROUND(100/B20*C20-100,1)&gt;999,999,-999)))</f>
        <v>58.1</v>
      </c>
      <c r="E20" s="466">
        <v>-1488.8219999999999</v>
      </c>
      <c r="F20" s="342">
        <v>-3461.5549999999998</v>
      </c>
      <c r="G20" s="557">
        <f>IF(E20=0, "    ---- ", IF(ABS(ROUND(100/E20*F20-100,1))&lt;999,ROUND(100/E20*F20-100,1),IF(ROUND(100/E20*F20-100,1)&gt;999,999,-999)))</f>
        <v>132.5</v>
      </c>
      <c r="H20" s="466">
        <v>-109.038</v>
      </c>
      <c r="I20" s="342">
        <v>-108.535</v>
      </c>
      <c r="J20" s="557">
        <f>IF(H20=0, "    ---- ", IF(ABS(ROUND(100/H20*I20-100,1))&lt;999,ROUND(100/H20*I20-100,1),IF(ROUND(100/H20*I20-100,1)&gt;999,999,-999)))</f>
        <v>-0.5</v>
      </c>
      <c r="K20" s="466">
        <v>-907.58799999999997</v>
      </c>
      <c r="L20" s="342">
        <v>-1024.0999999999999</v>
      </c>
      <c r="M20" s="557">
        <f>IF(K20=0, "    ---- ", IF(ABS(ROUND(100/K20*L20-100,1))&lt;999,ROUND(100/K20*L20-100,1),IF(ROUND(100/K20*L20-100,1)&gt;999,999,-999)))</f>
        <v>12.8</v>
      </c>
      <c r="N20" s="466"/>
      <c r="O20" s="342"/>
      <c r="P20" s="557"/>
      <c r="Q20" s="466">
        <v>-211.31746699999999</v>
      </c>
      <c r="R20" s="342">
        <v>-496.73950100000002</v>
      </c>
      <c r="S20" s="557">
        <f>IF(Q20=0, "    ---- ", IF(ABS(ROUND(100/Q20*R20-100,1))&lt;999,ROUND(100/Q20*R20-100,1),IF(ROUND(100/Q20*R20-100,1)&gt;999,999,-999)))</f>
        <v>135.1</v>
      </c>
      <c r="T20" s="466">
        <v>-111.7</v>
      </c>
      <c r="U20" s="342">
        <v>-64.099999999999994</v>
      </c>
      <c r="V20" s="557">
        <f t="shared" si="5"/>
        <v>-42.6</v>
      </c>
      <c r="W20" s="571">
        <v>-1953.18139722</v>
      </c>
      <c r="X20" s="572">
        <v>-3330</v>
      </c>
      <c r="Y20" s="557">
        <f>IF(W20=0, "    ---- ", IF(ABS(ROUND(100/W20*X20-100,1))&lt;999,ROUND(100/W20*X20-100,1),IF(ROUND(100/W20*X20-100,1)&gt;999,999,-999)))</f>
        <v>70.5</v>
      </c>
      <c r="Z20" s="571"/>
      <c r="AA20" s="572"/>
      <c r="AB20" s="557"/>
      <c r="AC20" s="466">
        <v>-20</v>
      </c>
      <c r="AD20" s="342">
        <v>-7</v>
      </c>
      <c r="AE20" s="557">
        <f>IF(AC20=0, "    ---- ", IF(ABS(ROUND(100/AC20*AD20-100,1))&lt;999,ROUND(100/AC20*AD20-100,1),IF(ROUND(100/AC20*AD20-100,1)&gt;999,999,-999)))</f>
        <v>-65</v>
      </c>
      <c r="AF20" s="571">
        <v>-596.87955716000022</v>
      </c>
      <c r="AG20" s="572">
        <v>-563.18794677999983</v>
      </c>
      <c r="AH20" s="557">
        <f>IF(AF20=0, "    ---- ", IF(ABS(ROUND(100/AF20*AG20-100,1))&lt;999,ROUND(100/AF20*AG20-100,1),IF(ROUND(100/AF20*AG20-100,1)&gt;999,999,-999)))</f>
        <v>-5.6</v>
      </c>
      <c r="AI20" s="466">
        <v>-3404</v>
      </c>
      <c r="AJ20" s="342">
        <v>-2341.9</v>
      </c>
      <c r="AK20" s="557">
        <f>IF(AI20=0, "    ---- ", IF(ABS(ROUND(100/AI20*AJ20-100,1))&lt;999,ROUND(100/AI20*AJ20-100,1),IF(ROUND(100/AI20*AJ20-100,1)&gt;999,999,-999)))</f>
        <v>-31.2</v>
      </c>
      <c r="AL20" s="557">
        <f t="shared" si="15"/>
        <v>-9244.8394213799984</v>
      </c>
      <c r="AM20" s="557">
        <f t="shared" si="15"/>
        <v>-12120.940447779998</v>
      </c>
      <c r="AN20" s="557">
        <f t="shared" si="12"/>
        <v>31.1</v>
      </c>
      <c r="AO20" s="561">
        <f t="shared" si="16"/>
        <v>-9264.8394213799984</v>
      </c>
      <c r="AP20" s="561">
        <f t="shared" si="16"/>
        <v>-12127.940447779998</v>
      </c>
      <c r="AQ20" s="557">
        <f>IF(AO20=0, "    ---- ", IF(ABS(ROUND(100/AO20*AP20-100,1))&lt;999,ROUND(100/AO20*AP20-100,1),IF(ROUND(100/AO20*AP20-100,1)&gt;999,999,-999)))</f>
        <v>30.9</v>
      </c>
    </row>
    <row r="21" spans="1:43" s="529" customFormat="1" ht="18.75" customHeight="1" x14ac:dyDescent="0.3">
      <c r="A21" s="555" t="s">
        <v>313</v>
      </c>
      <c r="B21" s="445">
        <f>SUM(B19:B20)</f>
        <v>-844.66399999999999</v>
      </c>
      <c r="C21" s="442">
        <f>SUM(C19:C20)</f>
        <v>-1223.828</v>
      </c>
      <c r="D21" s="557">
        <f>IF(B21=0, "    ---- ", IF(ABS(ROUND(100/B21*C21-100,1))&lt;999,ROUND(100/B21*C21-100,1),IF(ROUND(100/B21*C21-100,1)&gt;999,999,-999)))</f>
        <v>44.9</v>
      </c>
      <c r="E21" s="445">
        <f>SUM(E19:E20)</f>
        <v>-12359.714</v>
      </c>
      <c r="F21" s="442">
        <f>SUM(F19:F20)</f>
        <v>-13982.380999999999</v>
      </c>
      <c r="G21" s="557">
        <f>IF(E21=0, "    ---- ", IF(ABS(ROUND(100/E21*F21-100,1))&lt;999,ROUND(100/E21*F21-100,1),IF(ROUND(100/E21*F21-100,1)&gt;999,999,-999)))</f>
        <v>13.1</v>
      </c>
      <c r="H21" s="445">
        <f>SUM(H19:H20)</f>
        <v>-160.613</v>
      </c>
      <c r="I21" s="442">
        <f>SUM(I19:I20)</f>
        <v>-193.142</v>
      </c>
      <c r="J21" s="557">
        <f>IF(H21=0, "    ---- ", IF(ABS(ROUND(100/H21*I21-100,1))&lt;999,ROUND(100/H21*I21-100,1),IF(ROUND(100/H21*I21-100,1)&gt;999,999,-999)))</f>
        <v>20.3</v>
      </c>
      <c r="K21" s="445">
        <f>SUM(K19:K20)</f>
        <v>-1216.8989999999999</v>
      </c>
      <c r="L21" s="442">
        <f>SUM(L19:L20)</f>
        <v>-1425.3999999999999</v>
      </c>
      <c r="M21" s="557">
        <f>IF(K21=0, "    ---- ", IF(ABS(ROUND(100/K21*L21-100,1))&lt;999,ROUND(100/K21*L21-100,1),IF(ROUND(100/K21*L21-100,1)&gt;999,999,-999)))</f>
        <v>17.100000000000001</v>
      </c>
      <c r="N21" s="445">
        <f>SUM(N19:N20)</f>
        <v>-16</v>
      </c>
      <c r="O21" s="442">
        <f>SUM(O19:O20)</f>
        <v>-14</v>
      </c>
      <c r="P21" s="557">
        <f>IF(N21=0, "    ---- ", IF(ABS(ROUND(100/N21*O21-100,1))&lt;999,ROUND(100/N21*O21-100,1),IF(ROUND(100/N21*O21-100,1)&gt;999,999,-999)))</f>
        <v>-12.5</v>
      </c>
      <c r="Q21" s="445">
        <f>SUM(Q19:Q20)</f>
        <v>-13044.418079000001</v>
      </c>
      <c r="R21" s="442">
        <f>SUM(R19:R20)</f>
        <v>-14110.447553</v>
      </c>
      <c r="S21" s="557">
        <f>IF(Q21=0, "    ---- ", IF(ABS(ROUND(100/Q21*R21-100,1))&lt;999,ROUND(100/Q21*R21-100,1),IF(ROUND(100/Q21*R21-100,1)&gt;999,999,-999)))</f>
        <v>8.1999999999999993</v>
      </c>
      <c r="T21" s="445">
        <f>SUM(T19:T20)</f>
        <v>-166.9</v>
      </c>
      <c r="U21" s="442">
        <f>SUM(U19:U20)</f>
        <v>-126.3</v>
      </c>
      <c r="V21" s="557">
        <f t="shared" si="5"/>
        <v>-24.3</v>
      </c>
      <c r="W21" s="445">
        <f>SUM(W19:W20)</f>
        <v>-5254.1813972199998</v>
      </c>
      <c r="X21" s="442">
        <f>SUM(X19:X20)</f>
        <v>-7354.4</v>
      </c>
      <c r="Y21" s="557">
        <f>IF(W21=0, "    ---- ", IF(ABS(ROUND(100/W21*X21-100,1))&lt;999,ROUND(100/W21*X21-100,1),IF(ROUND(100/W21*X21-100,1)&gt;999,999,-999)))</f>
        <v>40</v>
      </c>
      <c r="Z21" s="445">
        <f>SUM(Z19:Z20)</f>
        <v>-1992.2270000000001</v>
      </c>
      <c r="AA21" s="442">
        <f>SUM(AA19:AA20)</f>
        <v>-2099</v>
      </c>
      <c r="AB21" s="557">
        <f>IF(Z21=0, "    ---- ", IF(ABS(ROUND(100/Z21*AA21-100,1))&lt;999,ROUND(100/Z21*AA21-100,1),IF(ROUND(100/Z21*AA21-100,1)&gt;999,999,-999)))</f>
        <v>5.4</v>
      </c>
      <c r="AC21" s="445">
        <f>SUM(AC19:AC20)</f>
        <v>-156</v>
      </c>
      <c r="AD21" s="442">
        <f>SUM(AD19:AD20)</f>
        <v>-120</v>
      </c>
      <c r="AE21" s="557">
        <f>IF(AC21=0, "    ---- ", IF(ABS(ROUND(100/AC21*AD21-100,1))&lt;999,ROUND(100/AC21*AD21-100,1),IF(ROUND(100/AC21*AD21-100,1)&gt;999,999,-999)))</f>
        <v>-23.1</v>
      </c>
      <c r="AF21" s="445">
        <f>SUM(AF19:AF20)</f>
        <v>-2206.0992904400005</v>
      </c>
      <c r="AG21" s="442">
        <f>SUM(AG19:AG20)</f>
        <v>-2253.7411222499995</v>
      </c>
      <c r="AH21" s="557">
        <f>IF(AF21=0, "    ---- ", IF(ABS(ROUND(100/AF21*AG21-100,1))&lt;999,ROUND(100/AF21*AG21-100,1),IF(ROUND(100/AF21*AG21-100,1)&gt;999,999,-999)))</f>
        <v>2.2000000000000002</v>
      </c>
      <c r="AI21" s="445">
        <f>SUM(AI19:AI20)</f>
        <v>-11063</v>
      </c>
      <c r="AJ21" s="442">
        <f>SUM(AJ19:AJ20)</f>
        <v>-10635.9</v>
      </c>
      <c r="AK21" s="557">
        <f>IF(AI21=0, "    ---- ", IF(ABS(ROUND(100/AI21*AJ21-100,1))&lt;999,ROUND(100/AI21*AJ21-100,1),IF(ROUND(100/AI21*AJ21-100,1)&gt;999,999,-999)))</f>
        <v>-3.9</v>
      </c>
      <c r="AL21" s="557">
        <f t="shared" si="15"/>
        <v>-48308.715766660003</v>
      </c>
      <c r="AM21" s="557">
        <f t="shared" si="15"/>
        <v>-53404.539675250002</v>
      </c>
      <c r="AN21" s="557">
        <f t="shared" si="12"/>
        <v>10.5</v>
      </c>
      <c r="AO21" s="561">
        <f t="shared" si="16"/>
        <v>-48480.715766660003</v>
      </c>
      <c r="AP21" s="561">
        <f t="shared" si="16"/>
        <v>-53538.539675250002</v>
      </c>
      <c r="AQ21" s="557">
        <f>IF(AO21=0, "    ---- ", IF(ABS(ROUND(100/AO21*AP21-100,1))&lt;999,ROUND(100/AO21*AP21-100,1),IF(ROUND(100/AO21*AP21-100,1)&gt;999,999,-999)))</f>
        <v>10.4</v>
      </c>
    </row>
    <row r="22" spans="1:43" s="529" customFormat="1" ht="18.75" customHeight="1" x14ac:dyDescent="0.3">
      <c r="A22" s="555" t="s">
        <v>314</v>
      </c>
      <c r="B22" s="461"/>
      <c r="C22" s="459"/>
      <c r="D22" s="557"/>
      <c r="E22" s="461"/>
      <c r="F22" s="459"/>
      <c r="G22" s="557"/>
      <c r="H22" s="631"/>
      <c r="I22" s="632"/>
      <c r="J22" s="557"/>
      <c r="K22" s="461"/>
      <c r="L22" s="459"/>
      <c r="M22" s="557"/>
      <c r="N22" s="631"/>
      <c r="O22" s="632"/>
      <c r="P22" s="557"/>
      <c r="Q22" s="461"/>
      <c r="R22" s="459"/>
      <c r="S22" s="557"/>
      <c r="T22" s="631"/>
      <c r="U22" s="632"/>
      <c r="V22" s="557"/>
      <c r="W22" s="631"/>
      <c r="X22" s="632"/>
      <c r="Y22" s="557"/>
      <c r="Z22" s="631"/>
      <c r="AA22" s="632"/>
      <c r="AB22" s="557"/>
      <c r="AC22" s="631"/>
      <c r="AD22" s="632"/>
      <c r="AE22" s="557"/>
      <c r="AF22" s="631"/>
      <c r="AG22" s="632"/>
      <c r="AH22" s="557"/>
      <c r="AI22" s="461"/>
      <c r="AJ22" s="459"/>
      <c r="AK22" s="557"/>
      <c r="AL22" s="557"/>
      <c r="AM22" s="557"/>
      <c r="AN22" s="557"/>
      <c r="AO22" s="557"/>
      <c r="AP22" s="557"/>
      <c r="AQ22" s="557"/>
    </row>
    <row r="23" spans="1:43" s="529" customFormat="1" ht="18.75" customHeight="1" x14ac:dyDescent="0.3">
      <c r="A23" s="555" t="s">
        <v>315</v>
      </c>
      <c r="B23" s="466">
        <v>-46.113</v>
      </c>
      <c r="C23" s="342">
        <f>-60.378-1.889</f>
        <v>-62.267000000000003</v>
      </c>
      <c r="D23" s="557">
        <f t="shared" ref="D23:D29" si="17">IF(B23=0, "    ---- ", IF(ABS(ROUND(100/B23*C23-100,1))&lt;999,ROUND(100/B23*C23-100,1),IF(ROUND(100/B23*C23-100,1)&gt;999,999,-999)))</f>
        <v>35</v>
      </c>
      <c r="E23" s="466">
        <v>1752.53</v>
      </c>
      <c r="F23" s="342">
        <v>2150.6390000000001</v>
      </c>
      <c r="G23" s="557">
        <f t="shared" ref="G23:G29" si="18">IF(E23=0, "    ---- ", IF(ABS(ROUND(100/E23*F23-100,1))&lt;999,ROUND(100/E23*F23-100,1),IF(ROUND(100/E23*F23-100,1)&gt;999,999,-999)))</f>
        <v>22.7</v>
      </c>
      <c r="H23" s="466">
        <v>-224.40700000000001</v>
      </c>
      <c r="I23" s="342">
        <v>-193.464</v>
      </c>
      <c r="J23" s="557">
        <f>IF(H23=0, "    ---- ", IF(ABS(ROUND(100/H23*I23-100,1))&lt;999,ROUND(100/H23*I23-100,1),IF(ROUND(100/H23*I23-100,1)&gt;999,999,-999)))</f>
        <v>-13.8</v>
      </c>
      <c r="K23" s="466">
        <v>-400.31600000000003</v>
      </c>
      <c r="L23" s="342">
        <v>-353.7</v>
      </c>
      <c r="M23" s="557">
        <f t="shared" ref="M23:M31" si="19">IF(K23=0, "    ---- ", IF(ABS(ROUND(100/K23*L23-100,1))&lt;999,ROUND(100/K23*L23-100,1),IF(ROUND(100/K23*L23-100,1)&gt;999,999,-999)))</f>
        <v>-11.6</v>
      </c>
      <c r="N23" s="466">
        <v>17</v>
      </c>
      <c r="O23" s="342">
        <v>7</v>
      </c>
      <c r="P23" s="557"/>
      <c r="Q23" s="466">
        <v>-16468.906251799999</v>
      </c>
      <c r="R23" s="342">
        <v>-22849.182335349997</v>
      </c>
      <c r="S23" s="557">
        <f t="shared" ref="S23:S30" si="20">IF(Q23=0, "    ---- ", IF(ABS(ROUND(100/Q23*R23-100,1))&lt;999,ROUND(100/Q23*R23-100,1),IF(ROUND(100/Q23*R23-100,1)&gt;999,999,-999)))</f>
        <v>38.700000000000003</v>
      </c>
      <c r="T23" s="466">
        <v>-23.2</v>
      </c>
      <c r="U23" s="342">
        <v>-43.2</v>
      </c>
      <c r="V23" s="557">
        <f t="shared" si="5"/>
        <v>86.2</v>
      </c>
      <c r="W23" s="466">
        <v>-426</v>
      </c>
      <c r="X23" s="342">
        <v>-220.1</v>
      </c>
      <c r="Y23" s="557">
        <f t="shared" ref="Y23:Y29" si="21">IF(W23=0, "    ---- ", IF(ABS(ROUND(100/W23*X23-100,1))&lt;999,ROUND(100/W23*X23-100,1),IF(ROUND(100/W23*X23-100,1)&gt;999,999,-999)))</f>
        <v>-48.3</v>
      </c>
      <c r="Z23" s="466">
        <v>-1754.424</v>
      </c>
      <c r="AA23" s="342">
        <v>-3065</v>
      </c>
      <c r="AB23" s="557">
        <f t="shared" ref="AB23:AB29" si="22">IF(Z23=0, "    ---- ", IF(ABS(ROUND(100/Z23*AA23-100,1))&lt;999,ROUND(100/Z23*AA23-100,1),IF(ROUND(100/Z23*AA23-100,1)&gt;999,999,-999)))</f>
        <v>74.7</v>
      </c>
      <c r="AC23" s="466"/>
      <c r="AD23" s="342"/>
      <c r="AE23" s="557"/>
      <c r="AF23" s="466">
        <v>-612.42973699000061</v>
      </c>
      <c r="AG23" s="342">
        <v>-470.40419902999997</v>
      </c>
      <c r="AH23" s="557">
        <f t="shared" ref="AH23:AH29" si="23">IF(AF23=0, "    ---- ", IF(ABS(ROUND(100/AF23*AG23-100,1))&lt;999,ROUND(100/AF23*AG23-100,1),IF(ROUND(100/AF23*AG23-100,1)&gt;999,999,-999)))</f>
        <v>-23.2</v>
      </c>
      <c r="AI23" s="466">
        <v>-767</v>
      </c>
      <c r="AJ23" s="342">
        <v>-266</v>
      </c>
      <c r="AK23" s="557">
        <f t="shared" ref="AK23:AK29" si="24">IF(AI23=0, "    ---- ", IF(ABS(ROUND(100/AI23*AJ23-100,1))&lt;999,ROUND(100/AI23*AJ23-100,1),IF(ROUND(100/AI23*AJ23-100,1)&gt;999,999,-999)))</f>
        <v>-65.3</v>
      </c>
      <c r="AL23" s="557">
        <f t="shared" ref="AL23:AL34" si="25">B23+E23+H23+K23+Q23+T23+W23+Z23+AF23+AI23</f>
        <v>-18970.265988790001</v>
      </c>
      <c r="AM23" s="557">
        <f t="shared" ref="AM23:AM34" si="26">C23+F23+I23+L23+R23+U23+X23+AA23+AG23+AJ23</f>
        <v>-25372.678534379997</v>
      </c>
      <c r="AN23" s="557">
        <f t="shared" si="12"/>
        <v>33.700000000000003</v>
      </c>
      <c r="AO23" s="557"/>
      <c r="AP23" s="557"/>
      <c r="AQ23" s="557"/>
    </row>
    <row r="24" spans="1:43" s="529" customFormat="1" ht="18.75" customHeight="1" x14ac:dyDescent="0.3">
      <c r="A24" s="555" t="s">
        <v>316</v>
      </c>
      <c r="B24" s="466"/>
      <c r="C24" s="342"/>
      <c r="D24" s="557"/>
      <c r="E24" s="466">
        <v>-15.831</v>
      </c>
      <c r="F24" s="342">
        <v>-14.629</v>
      </c>
      <c r="G24" s="557">
        <f t="shared" si="18"/>
        <v>-7.6</v>
      </c>
      <c r="H24" s="466"/>
      <c r="I24" s="342"/>
      <c r="J24" s="557" t="str">
        <f>IF(H24=0, "    ---- ", IF(ABS(ROUND(100/H24*I24-100,1))&lt;999,ROUND(100/H24*I24-100,1),IF(ROUND(100/H24*I24-100,1)&gt;999,999,-999)))</f>
        <v xml:space="preserve">    ---- </v>
      </c>
      <c r="K24" s="466">
        <v>-1.087</v>
      </c>
      <c r="L24" s="342">
        <v>-1.5</v>
      </c>
      <c r="M24" s="557">
        <f t="shared" si="19"/>
        <v>38</v>
      </c>
      <c r="N24" s="466"/>
      <c r="O24" s="342"/>
      <c r="P24" s="557"/>
      <c r="Q24" s="466">
        <v>12.645726</v>
      </c>
      <c r="R24" s="342">
        <v>20.551272999999998</v>
      </c>
      <c r="S24" s="557">
        <f t="shared" si="20"/>
        <v>62.5</v>
      </c>
      <c r="T24" s="466">
        <v>0.2</v>
      </c>
      <c r="U24" s="342">
        <v>0.1</v>
      </c>
      <c r="V24" s="557">
        <f t="shared" si="5"/>
        <v>-50</v>
      </c>
      <c r="W24" s="466">
        <v>19</v>
      </c>
      <c r="X24" s="342">
        <v>28</v>
      </c>
      <c r="Y24" s="557">
        <f t="shared" si="21"/>
        <v>47.4</v>
      </c>
      <c r="Z24" s="466"/>
      <c r="AA24" s="342"/>
      <c r="AB24" s="557" t="str">
        <f t="shared" si="22"/>
        <v xml:space="preserve">    ---- </v>
      </c>
      <c r="AC24" s="466"/>
      <c r="AD24" s="342"/>
      <c r="AE24" s="557"/>
      <c r="AF24" s="466">
        <v>24.998048909999966</v>
      </c>
      <c r="AG24" s="342">
        <v>32.682057060000012</v>
      </c>
      <c r="AH24" s="557">
        <f t="shared" si="23"/>
        <v>30.7</v>
      </c>
      <c r="AI24" s="466">
        <v>73</v>
      </c>
      <c r="AJ24" s="342">
        <v>58</v>
      </c>
      <c r="AK24" s="557">
        <f t="shared" si="24"/>
        <v>-20.5</v>
      </c>
      <c r="AL24" s="557">
        <f t="shared" si="25"/>
        <v>112.92577490999997</v>
      </c>
      <c r="AM24" s="557">
        <f t="shared" si="26"/>
        <v>123.20433006000002</v>
      </c>
      <c r="AN24" s="557">
        <f t="shared" si="12"/>
        <v>9.1</v>
      </c>
      <c r="AO24" s="557"/>
      <c r="AP24" s="557"/>
      <c r="AQ24" s="557"/>
    </row>
    <row r="25" spans="1:43" s="529" customFormat="1" ht="18.75" customHeight="1" x14ac:dyDescent="0.3">
      <c r="A25" s="555" t="s">
        <v>317</v>
      </c>
      <c r="B25" s="466">
        <v>-9.9909999999999997</v>
      </c>
      <c r="C25" s="342">
        <v>2.246</v>
      </c>
      <c r="D25" s="557">
        <f t="shared" si="17"/>
        <v>-122.5</v>
      </c>
      <c r="E25" s="466">
        <v>-231.18299999999999</v>
      </c>
      <c r="F25" s="342">
        <v>-892.01</v>
      </c>
      <c r="G25" s="557">
        <f t="shared" si="18"/>
        <v>285.8</v>
      </c>
      <c r="H25" s="466"/>
      <c r="I25" s="342"/>
      <c r="J25" s="557"/>
      <c r="K25" s="466">
        <v>-27.565999999999999</v>
      </c>
      <c r="L25" s="342">
        <v>42.5</v>
      </c>
      <c r="M25" s="557">
        <f t="shared" si="19"/>
        <v>-254.2</v>
      </c>
      <c r="N25" s="466"/>
      <c r="O25" s="342"/>
      <c r="P25" s="557"/>
      <c r="Q25" s="466">
        <v>-7741.6201970000002</v>
      </c>
      <c r="R25" s="342">
        <v>-357.30651356999999</v>
      </c>
      <c r="S25" s="557">
        <f t="shared" si="20"/>
        <v>-95.4</v>
      </c>
      <c r="T25" s="466">
        <v>-9</v>
      </c>
      <c r="U25" s="342">
        <v>18.600000000000001</v>
      </c>
      <c r="V25" s="557">
        <f t="shared" si="5"/>
        <v>-306.7</v>
      </c>
      <c r="W25" s="466">
        <v>-228</v>
      </c>
      <c r="X25" s="342">
        <v>-208.1</v>
      </c>
      <c r="Y25" s="557">
        <f t="shared" si="21"/>
        <v>-8.6999999999999993</v>
      </c>
      <c r="Z25" s="466">
        <v>-980.553</v>
      </c>
      <c r="AA25" s="342">
        <v>-315</v>
      </c>
      <c r="AB25" s="557">
        <f t="shared" si="22"/>
        <v>-67.900000000000006</v>
      </c>
      <c r="AC25" s="466"/>
      <c r="AD25" s="342"/>
      <c r="AE25" s="557"/>
      <c r="AF25" s="466">
        <v>-253.77312397</v>
      </c>
      <c r="AG25" s="342">
        <v>-126.98170123000001</v>
      </c>
      <c r="AH25" s="557">
        <f t="shared" si="23"/>
        <v>-50</v>
      </c>
      <c r="AI25" s="466">
        <v>579</v>
      </c>
      <c r="AJ25" s="342">
        <v>866</v>
      </c>
      <c r="AK25" s="557">
        <f t="shared" si="24"/>
        <v>49.6</v>
      </c>
      <c r="AL25" s="557">
        <f t="shared" si="25"/>
        <v>-8902.6863209700005</v>
      </c>
      <c r="AM25" s="557">
        <f t="shared" si="26"/>
        <v>-970.0522148</v>
      </c>
      <c r="AN25" s="557">
        <f t="shared" si="12"/>
        <v>-89.1</v>
      </c>
      <c r="AO25" s="557"/>
      <c r="AP25" s="557"/>
      <c r="AQ25" s="557"/>
    </row>
    <row r="26" spans="1:43" s="529" customFormat="1" ht="18.75" customHeight="1" x14ac:dyDescent="0.3">
      <c r="A26" s="555" t="s">
        <v>318</v>
      </c>
      <c r="B26" s="466"/>
      <c r="C26" s="342"/>
      <c r="D26" s="557"/>
      <c r="E26" s="466">
        <v>-15.333</v>
      </c>
      <c r="F26" s="342">
        <v>-14.695</v>
      </c>
      <c r="G26" s="557">
        <f t="shared" si="18"/>
        <v>-4.2</v>
      </c>
      <c r="H26" s="466"/>
      <c r="I26" s="342"/>
      <c r="J26" s="557"/>
      <c r="K26" s="466">
        <v>0.16900000000000001</v>
      </c>
      <c r="L26" s="342">
        <v>0.8</v>
      </c>
      <c r="M26" s="557"/>
      <c r="N26" s="466"/>
      <c r="O26" s="342"/>
      <c r="P26" s="557"/>
      <c r="Q26" s="466">
        <v>-230.17031600000001</v>
      </c>
      <c r="R26" s="342">
        <v>-211.605366</v>
      </c>
      <c r="S26" s="557">
        <f t="shared" si="20"/>
        <v>-8.1</v>
      </c>
      <c r="T26" s="466">
        <v>-0.4</v>
      </c>
      <c r="U26" s="342">
        <v>-0.4</v>
      </c>
      <c r="V26" s="557">
        <f t="shared" si="5"/>
        <v>0</v>
      </c>
      <c r="W26" s="466">
        <v>-3</v>
      </c>
      <c r="X26" s="342">
        <v>-2</v>
      </c>
      <c r="Y26" s="557">
        <f t="shared" si="21"/>
        <v>-33.299999999999997</v>
      </c>
      <c r="Z26" s="466">
        <v>-31.561</v>
      </c>
      <c r="AA26" s="342">
        <v>-33</v>
      </c>
      <c r="AB26" s="557">
        <f t="shared" si="22"/>
        <v>4.5999999999999996</v>
      </c>
      <c r="AC26" s="466"/>
      <c r="AD26" s="342"/>
      <c r="AE26" s="557"/>
      <c r="AF26" s="466">
        <v>-2.9683480000000002</v>
      </c>
      <c r="AG26" s="342">
        <v>-2.9689570000000001</v>
      </c>
      <c r="AH26" s="557">
        <f t="shared" si="23"/>
        <v>0</v>
      </c>
      <c r="AI26" s="466">
        <v>-17</v>
      </c>
      <c r="AJ26" s="342">
        <v>-2</v>
      </c>
      <c r="AK26" s="557">
        <f t="shared" si="24"/>
        <v>-88.2</v>
      </c>
      <c r="AL26" s="557">
        <f t="shared" si="25"/>
        <v>-300.26366400000001</v>
      </c>
      <c r="AM26" s="557">
        <f t="shared" si="26"/>
        <v>-265.86932300000001</v>
      </c>
      <c r="AN26" s="557">
        <f t="shared" si="12"/>
        <v>-11.5</v>
      </c>
      <c r="AO26" s="557"/>
      <c r="AP26" s="557"/>
      <c r="AQ26" s="557"/>
    </row>
    <row r="27" spans="1:43" s="529" customFormat="1" ht="18.75" customHeight="1" x14ac:dyDescent="0.3">
      <c r="A27" s="555" t="s">
        <v>319</v>
      </c>
      <c r="B27" s="466">
        <v>-1.413</v>
      </c>
      <c r="C27" s="342">
        <v>-2.7160000000000002</v>
      </c>
      <c r="D27" s="557">
        <f t="shared" si="17"/>
        <v>92.2</v>
      </c>
      <c r="E27" s="466">
        <v>-91.260999999999996</v>
      </c>
      <c r="F27" s="342">
        <v>-110.001</v>
      </c>
      <c r="G27" s="557">
        <f t="shared" si="18"/>
        <v>20.5</v>
      </c>
      <c r="H27" s="466">
        <v>-3.05</v>
      </c>
      <c r="I27" s="342">
        <v>-1.859</v>
      </c>
      <c r="J27" s="557">
        <f>IF(H27=0, "    ---- ", IF(ABS(ROUND(100/H27*I27-100,1))&lt;999,ROUND(100/H27*I27-100,1),IF(ROUND(100/H27*I27-100,1)&gt;999,999,-999)))</f>
        <v>-39</v>
      </c>
      <c r="K27" s="466"/>
      <c r="L27" s="342"/>
      <c r="M27" s="557"/>
      <c r="N27" s="466"/>
      <c r="O27" s="342"/>
      <c r="P27" s="557"/>
      <c r="Q27" s="466"/>
      <c r="R27" s="342"/>
      <c r="S27" s="557"/>
      <c r="T27" s="466"/>
      <c r="U27" s="342"/>
      <c r="V27" s="557"/>
      <c r="W27" s="466"/>
      <c r="X27" s="342">
        <v>0</v>
      </c>
      <c r="Y27" s="557" t="str">
        <f t="shared" si="21"/>
        <v xml:space="preserve">    ---- </v>
      </c>
      <c r="Z27" s="466">
        <v>-4</v>
      </c>
      <c r="AA27" s="342">
        <v>-10</v>
      </c>
      <c r="AB27" s="557"/>
      <c r="AC27" s="466"/>
      <c r="AD27" s="342"/>
      <c r="AE27" s="557"/>
      <c r="AF27" s="466"/>
      <c r="AG27" s="342">
        <v>0</v>
      </c>
      <c r="AH27" s="557" t="str">
        <f t="shared" si="23"/>
        <v xml:space="preserve">    ---- </v>
      </c>
      <c r="AI27" s="466">
        <v>-17</v>
      </c>
      <c r="AJ27" s="342">
        <v>-9</v>
      </c>
      <c r="AK27" s="557">
        <f t="shared" si="24"/>
        <v>-47.1</v>
      </c>
      <c r="AL27" s="557">
        <f t="shared" si="25"/>
        <v>-116.72399999999999</v>
      </c>
      <c r="AM27" s="557">
        <f t="shared" si="26"/>
        <v>-133.57599999999999</v>
      </c>
      <c r="AN27" s="557">
        <f t="shared" si="12"/>
        <v>14.4</v>
      </c>
      <c r="AO27" s="557"/>
      <c r="AP27" s="557"/>
      <c r="AQ27" s="557"/>
    </row>
    <row r="28" spans="1:43" s="529" customFormat="1" ht="18.75" customHeight="1" x14ac:dyDescent="0.3">
      <c r="A28" s="555" t="s">
        <v>320</v>
      </c>
      <c r="B28" s="466"/>
      <c r="C28" s="342"/>
      <c r="D28" s="557"/>
      <c r="E28" s="466">
        <v>19.440000000000001</v>
      </c>
      <c r="F28" s="342">
        <v>16.327000000000002</v>
      </c>
      <c r="G28" s="557">
        <f t="shared" si="18"/>
        <v>-16</v>
      </c>
      <c r="H28" s="466"/>
      <c r="I28" s="342"/>
      <c r="J28" s="557"/>
      <c r="K28" s="466"/>
      <c r="L28" s="342"/>
      <c r="M28" s="557" t="str">
        <f t="shared" si="19"/>
        <v xml:space="preserve">    ---- </v>
      </c>
      <c r="N28" s="466"/>
      <c r="O28" s="342"/>
      <c r="P28" s="557"/>
      <c r="Q28" s="466">
        <v>0</v>
      </c>
      <c r="R28" s="342">
        <v>0</v>
      </c>
      <c r="S28" s="557" t="str">
        <f t="shared" si="20"/>
        <v xml:space="preserve">    ---- </v>
      </c>
      <c r="T28" s="466"/>
      <c r="U28" s="342"/>
      <c r="V28" s="557" t="str">
        <f t="shared" si="5"/>
        <v xml:space="preserve">    ---- </v>
      </c>
      <c r="W28" s="466"/>
      <c r="X28" s="342">
        <v>2</v>
      </c>
      <c r="Y28" s="557" t="str">
        <f t="shared" si="21"/>
        <v xml:space="preserve">    ---- </v>
      </c>
      <c r="Z28" s="466"/>
      <c r="AA28" s="342"/>
      <c r="AB28" s="557"/>
      <c r="AC28" s="466"/>
      <c r="AD28" s="342"/>
      <c r="AE28" s="557"/>
      <c r="AF28" s="466">
        <v>0</v>
      </c>
      <c r="AG28" s="342">
        <v>3.7576298100000001</v>
      </c>
      <c r="AH28" s="557" t="str">
        <f t="shared" si="23"/>
        <v xml:space="preserve">    ---- </v>
      </c>
      <c r="AI28" s="466">
        <v>-12</v>
      </c>
      <c r="AJ28" s="342">
        <v>-12</v>
      </c>
      <c r="AK28" s="557">
        <f t="shared" si="24"/>
        <v>0</v>
      </c>
      <c r="AL28" s="557">
        <f t="shared" si="25"/>
        <v>7.4400000000000013</v>
      </c>
      <c r="AM28" s="557">
        <f t="shared" si="26"/>
        <v>10.084629810000003</v>
      </c>
      <c r="AN28" s="557">
        <f t="shared" si="12"/>
        <v>35.5</v>
      </c>
      <c r="AO28" s="557"/>
      <c r="AP28" s="557"/>
      <c r="AQ28" s="557"/>
    </row>
    <row r="29" spans="1:43" s="529" customFormat="1" ht="18.75" customHeight="1" x14ac:dyDescent="0.3">
      <c r="A29" s="555" t="s">
        <v>321</v>
      </c>
      <c r="B29" s="466">
        <f>SUM(B23:B28)</f>
        <v>-57.516999999999996</v>
      </c>
      <c r="C29" s="342">
        <f>SUM(C23:C28)</f>
        <v>-62.737000000000002</v>
      </c>
      <c r="D29" s="557">
        <f t="shared" si="17"/>
        <v>9.1</v>
      </c>
      <c r="E29" s="466">
        <f>SUM(E23:E28)</f>
        <v>1418.3620000000001</v>
      </c>
      <c r="F29" s="342">
        <f>SUM(F23:F28)</f>
        <v>1135.6310000000003</v>
      </c>
      <c r="G29" s="557">
        <f t="shared" si="18"/>
        <v>-19.899999999999999</v>
      </c>
      <c r="H29" s="466">
        <f>SUM(H23:H28)</f>
        <v>-227.45700000000002</v>
      </c>
      <c r="I29" s="342">
        <f>SUM(I23:I28)</f>
        <v>-195.32300000000001</v>
      </c>
      <c r="J29" s="557">
        <f>IF(H29=0, "    ---- ", IF(ABS(ROUND(100/H29*I29-100,1))&lt;999,ROUND(100/H29*I29-100,1),IF(ROUND(100/H29*I29-100,1)&gt;999,999,-999)))</f>
        <v>-14.1</v>
      </c>
      <c r="K29" s="466">
        <f>SUM(K23:K28)</f>
        <v>-428.8</v>
      </c>
      <c r="L29" s="342">
        <f>SUM(L23:L28)</f>
        <v>-311.89999999999998</v>
      </c>
      <c r="M29" s="557">
        <f t="shared" si="19"/>
        <v>-27.3</v>
      </c>
      <c r="N29" s="466">
        <f>SUM(N23:N28)</f>
        <v>17</v>
      </c>
      <c r="O29" s="342">
        <f>SUM(O23:O28)</f>
        <v>7</v>
      </c>
      <c r="P29" s="557"/>
      <c r="Q29" s="466">
        <f>SUM(Q23:Q28)</f>
        <v>-24428.0510388</v>
      </c>
      <c r="R29" s="342">
        <f>SUM(R23:R28)</f>
        <v>-23397.542941919997</v>
      </c>
      <c r="S29" s="557">
        <f t="shared" si="20"/>
        <v>-4.2</v>
      </c>
      <c r="T29" s="466">
        <f>SUM(T23:T28)</f>
        <v>-32.4</v>
      </c>
      <c r="U29" s="342">
        <f>SUM(U23:U28)</f>
        <v>-24.9</v>
      </c>
      <c r="V29" s="557">
        <f t="shared" si="5"/>
        <v>-23.1</v>
      </c>
      <c r="W29" s="466">
        <f>SUM(W23:W28)</f>
        <v>-638</v>
      </c>
      <c r="X29" s="342">
        <f>SUM(X23:X28)</f>
        <v>-400.2</v>
      </c>
      <c r="Y29" s="557">
        <f t="shared" si="21"/>
        <v>-37.299999999999997</v>
      </c>
      <c r="Z29" s="466">
        <f>SUM(Z23:Z28)</f>
        <v>-2770.538</v>
      </c>
      <c r="AA29" s="342">
        <f>SUM(AA23:AA28)</f>
        <v>-3423</v>
      </c>
      <c r="AB29" s="557">
        <f t="shared" si="22"/>
        <v>23.6</v>
      </c>
      <c r="AC29" s="466"/>
      <c r="AD29" s="342">
        <f>SUM(AD23:AD28)</f>
        <v>0</v>
      </c>
      <c r="AE29" s="557"/>
      <c r="AF29" s="466">
        <f>SUM(AF23:AF28)</f>
        <v>-844.17316005000066</v>
      </c>
      <c r="AG29" s="342">
        <f>SUM(AG23:AG28)</f>
        <v>-563.91517038999996</v>
      </c>
      <c r="AH29" s="557">
        <f t="shared" si="23"/>
        <v>-33.200000000000003</v>
      </c>
      <c r="AI29" s="466">
        <f>SUM(AI23:AI28)</f>
        <v>-161</v>
      </c>
      <c r="AJ29" s="342">
        <f>SUM(AJ23:AJ28)</f>
        <v>635</v>
      </c>
      <c r="AK29" s="557">
        <f t="shared" si="24"/>
        <v>-494.4</v>
      </c>
      <c r="AL29" s="557">
        <f t="shared" si="25"/>
        <v>-28169.574198850001</v>
      </c>
      <c r="AM29" s="557">
        <f t="shared" si="26"/>
        <v>-26608.88711231</v>
      </c>
      <c r="AN29" s="557">
        <f t="shared" si="12"/>
        <v>-5.5</v>
      </c>
      <c r="AO29" s="557"/>
      <c r="AP29" s="557"/>
      <c r="AQ29" s="557"/>
    </row>
    <row r="30" spans="1:43" s="529" customFormat="1" ht="18.75" customHeight="1" x14ac:dyDescent="0.3">
      <c r="A30" s="555" t="s">
        <v>322</v>
      </c>
      <c r="B30" s="466">
        <v>-2074.6350000000002</v>
      </c>
      <c r="C30" s="342">
        <v>-1028.395</v>
      </c>
      <c r="D30" s="557">
        <f>IF(B30=0, "    ---- ", IF(ABS(ROUND(100/B30*C30-100,1))&lt;999,ROUND(100/B30*C30-100,1),IF(ROUND(100/B30*C30-100,1)&gt;999,999,-999)))</f>
        <v>-50.4</v>
      </c>
      <c r="E30" s="466">
        <v>-10375.299999999999</v>
      </c>
      <c r="F30" s="342">
        <v>-7168.7160000000003</v>
      </c>
      <c r="G30" s="557">
        <f>IF(E30=0, "    ---- ", IF(ABS(ROUND(100/E30*F30-100,1))&lt;999,ROUND(100/E30*F30-100,1),IF(ROUND(100/E30*F30-100,1)&gt;999,999,-999)))</f>
        <v>-30.9</v>
      </c>
      <c r="H30" s="466">
        <v>-341.85399999999998</v>
      </c>
      <c r="I30" s="342">
        <v>-220.44200000000001</v>
      </c>
      <c r="J30" s="557"/>
      <c r="K30" s="466">
        <v>-3625.8449999999998</v>
      </c>
      <c r="L30" s="342">
        <v>-2557.9</v>
      </c>
      <c r="M30" s="557">
        <f t="shared" si="19"/>
        <v>-29.5</v>
      </c>
      <c r="N30" s="466"/>
      <c r="O30" s="342"/>
      <c r="P30" s="557"/>
      <c r="Q30" s="466">
        <v>-82.664835999999994</v>
      </c>
      <c r="R30" s="342">
        <v>-71.904767000000007</v>
      </c>
      <c r="S30" s="557">
        <f t="shared" si="20"/>
        <v>-13</v>
      </c>
      <c r="T30" s="466">
        <v>-761.4</v>
      </c>
      <c r="U30" s="342">
        <v>-717.1</v>
      </c>
      <c r="V30" s="557">
        <f t="shared" si="5"/>
        <v>-5.8</v>
      </c>
      <c r="W30" s="466">
        <v>-7348</v>
      </c>
      <c r="X30" s="342">
        <v>-3488</v>
      </c>
      <c r="Y30" s="557">
        <f>IF(W30=0, "    ---- ", IF(ABS(ROUND(100/W30*X30-100,1))&lt;999,ROUND(100/W30*X30-100,1),IF(ROUND(100/W30*X30-100,1)&gt;999,999,-999)))</f>
        <v>-52.5</v>
      </c>
      <c r="Z30" s="466"/>
      <c r="AA30" s="342"/>
      <c r="AB30" s="557"/>
      <c r="AC30" s="466">
        <v>-180</v>
      </c>
      <c r="AD30" s="342">
        <v>-166</v>
      </c>
      <c r="AE30" s="557">
        <f>IF(AC30=0, "    ---- ", IF(ABS(ROUND(100/AC30*AD30-100,1))&lt;999,ROUND(100/AC30*AD30-100,1),IF(ROUND(100/AC30*AD30-100,1)&gt;999,999,-999)))</f>
        <v>-7.8</v>
      </c>
      <c r="AF30" s="466">
        <v>-4326.5798227600008</v>
      </c>
      <c r="AG30" s="342">
        <v>-4600.5658247399997</v>
      </c>
      <c r="AH30" s="557">
        <f>IF(AF30=0, "    ---- ", IF(ABS(ROUND(100/AF30*AG30-100,1))&lt;999,ROUND(100/AF30*AG30-100,1),IF(ROUND(100/AF30*AG30-100,1)&gt;999,999,-999)))</f>
        <v>6.3</v>
      </c>
      <c r="AI30" s="466">
        <v>-10265</v>
      </c>
      <c r="AJ30" s="342">
        <v>-9562.7000000000007</v>
      </c>
      <c r="AK30" s="557">
        <f>IF(AI30=0, "    ---- ", IF(ABS(ROUND(100/AI30*AJ30-100,1))&lt;999,ROUND(100/AI30*AJ30-100,1),IF(ROUND(100/AI30*AJ30-100,1)&gt;999,999,-999)))</f>
        <v>-6.8</v>
      </c>
      <c r="AL30" s="557">
        <f t="shared" si="25"/>
        <v>-39201.278658759999</v>
      </c>
      <c r="AM30" s="557">
        <f t="shared" si="26"/>
        <v>-29415.723591739999</v>
      </c>
      <c r="AN30" s="557">
        <f t="shared" si="12"/>
        <v>-25</v>
      </c>
      <c r="AO30" s="557"/>
      <c r="AP30" s="557"/>
      <c r="AQ30" s="557"/>
    </row>
    <row r="31" spans="1:43" s="529" customFormat="1" ht="18.75" customHeight="1" x14ac:dyDescent="0.3">
      <c r="A31" s="555" t="s">
        <v>323</v>
      </c>
      <c r="B31" s="466"/>
      <c r="C31" s="342">
        <v>-1.206</v>
      </c>
      <c r="D31" s="557" t="str">
        <f>IF(B31=0, "    ---- ", IF(ABS(ROUND(100/B31*C31-100,1))&lt;999,ROUND(100/B31*C31-100,1),IF(ROUND(100/B31*C31-100,1)&gt;999,999,-999)))</f>
        <v xml:space="preserve">    ---- </v>
      </c>
      <c r="E31" s="466">
        <v>-2548.9580000000001</v>
      </c>
      <c r="F31" s="342">
        <v>-605.71900000000005</v>
      </c>
      <c r="G31" s="557">
        <f>IF(E31=0, "    ---- ", IF(ABS(ROUND(100/E31*F31-100,1))&lt;999,ROUND(100/E31*F31-100,1),IF(ROUND(100/E31*F31-100,1)&gt;999,999,-999)))</f>
        <v>-76.2</v>
      </c>
      <c r="H31" s="466"/>
      <c r="I31" s="342"/>
      <c r="J31" s="557"/>
      <c r="K31" s="466">
        <v>-25.454000000000001</v>
      </c>
      <c r="L31" s="342">
        <v>-95.3</v>
      </c>
      <c r="M31" s="557">
        <f t="shared" si="19"/>
        <v>274.39999999999998</v>
      </c>
      <c r="N31" s="466"/>
      <c r="O31" s="342"/>
      <c r="P31" s="557"/>
      <c r="Q31" s="466">
        <v>-5592.3449909999999</v>
      </c>
      <c r="R31" s="342">
        <v>-6244.9553900000001</v>
      </c>
      <c r="S31" s="557">
        <f>IF(Q31=0, "    ---- ", IF(ABS(ROUND(100/Q31*R31-100,1))&lt;999,ROUND(100/Q31*R31-100,1),IF(ROUND(100/Q31*R31-100,1)&gt;999,999,-999)))</f>
        <v>11.7</v>
      </c>
      <c r="T31" s="466">
        <v>-17.8</v>
      </c>
      <c r="U31" s="342">
        <v>-24.9</v>
      </c>
      <c r="V31" s="557"/>
      <c r="W31" s="466">
        <v>-408</v>
      </c>
      <c r="X31" s="342">
        <v>-263</v>
      </c>
      <c r="Y31" s="557">
        <f>IF(W31=0, "    ---- ", IF(ABS(ROUND(100/W31*X31-100,1))&lt;999,ROUND(100/W31*X31-100,1),IF(ROUND(100/W31*X31-100,1)&gt;999,999,-999)))</f>
        <v>-35.5</v>
      </c>
      <c r="Z31" s="466">
        <v>-2954.0239999999999</v>
      </c>
      <c r="AA31" s="342">
        <v>-1655</v>
      </c>
      <c r="AB31" s="557">
        <f>IF(Z31=0, "    ---- ", IF(ABS(ROUND(100/Z31*AA31-100,1))&lt;999,ROUND(100/Z31*AA31-100,1),IF(ROUND(100/Z31*AA31-100,1)&gt;999,999,-999)))</f>
        <v>-44</v>
      </c>
      <c r="AC31" s="466"/>
      <c r="AD31" s="342"/>
      <c r="AE31" s="557"/>
      <c r="AF31" s="466">
        <v>-242.66858257999999</v>
      </c>
      <c r="AG31" s="342">
        <v>-169.01974100000001</v>
      </c>
      <c r="AH31" s="557">
        <f>IF(AF31=0, "    ---- ", IF(ABS(ROUND(100/AF31*AG31-100,1))&lt;999,ROUND(100/AF31*AG31-100,1),IF(ROUND(100/AF31*AG31-100,1)&gt;999,999,-999)))</f>
        <v>-30.3</v>
      </c>
      <c r="AI31" s="466">
        <v>-3306</v>
      </c>
      <c r="AJ31" s="342">
        <v>-722</v>
      </c>
      <c r="AK31" s="557">
        <f>IF(AI31=0, "    ---- ", IF(ABS(ROUND(100/AI31*AJ31-100,1))&lt;999,ROUND(100/AI31*AJ31-100,1),IF(ROUND(100/AI31*AJ31-100,1)&gt;999,999,-999)))</f>
        <v>-78.2</v>
      </c>
      <c r="AL31" s="557">
        <f t="shared" si="25"/>
        <v>-15095.24957358</v>
      </c>
      <c r="AM31" s="557">
        <f t="shared" si="26"/>
        <v>-9781.1001309999992</v>
      </c>
      <c r="AN31" s="557">
        <f t="shared" si="12"/>
        <v>-35.200000000000003</v>
      </c>
      <c r="AO31" s="557"/>
      <c r="AP31" s="557"/>
      <c r="AQ31" s="557"/>
    </row>
    <row r="32" spans="1:43" s="529" customFormat="1" ht="18.75" customHeight="1" x14ac:dyDescent="0.3">
      <c r="A32" s="555" t="s">
        <v>324</v>
      </c>
      <c r="B32" s="466">
        <v>-140.511</v>
      </c>
      <c r="C32" s="342">
        <v>-149.197</v>
      </c>
      <c r="D32" s="557">
        <f>IF(B32=0, "    ---- ", IF(ABS(ROUND(100/B32*C32-100,1))&lt;999,ROUND(100/B32*C32-100,1),IF(ROUND(100/B32*C32-100,1)&gt;999,999,-999)))</f>
        <v>6.2</v>
      </c>
      <c r="E32" s="466">
        <v>-942.673</v>
      </c>
      <c r="F32" s="342">
        <v>-920.83299999999997</v>
      </c>
      <c r="G32" s="557">
        <f>IF(E32=0, "    ---- ", IF(ABS(ROUND(100/E32*F32-100,1))&lt;999,ROUND(100/E32*F32-100,1),IF(ROUND(100/E32*F32-100,1)&gt;999,999,-999)))</f>
        <v>-2.2999999999999998</v>
      </c>
      <c r="H32" s="466">
        <v>-173.03100000000001</v>
      </c>
      <c r="I32" s="342">
        <v>-183.59299999999999</v>
      </c>
      <c r="J32" s="557">
        <f>IF(H32=0, "    ---- ", IF(ABS(ROUND(100/H32*I32-100,1))&lt;999,ROUND(100/H32*I32-100,1),IF(ROUND(100/H32*I32-100,1)&gt;999,999,-999)))</f>
        <v>6.1</v>
      </c>
      <c r="K32" s="466">
        <v>-173.42</v>
      </c>
      <c r="L32" s="342">
        <v>-181.4</v>
      </c>
      <c r="M32" s="557">
        <f>IF(K32=0, "    ---- ", IF(ABS(ROUND(100/K32*L32-100,1))&lt;999,ROUND(100/K32*L32-100,1),IF(ROUND(100/K32*L32-100,1)&gt;999,999,-999)))</f>
        <v>4.5999999999999996</v>
      </c>
      <c r="N32" s="466">
        <v>-9</v>
      </c>
      <c r="O32" s="342">
        <v>-7</v>
      </c>
      <c r="P32" s="557">
        <f>IF(N32=0, "    ---- ", IF(ABS(ROUND(100/N32*O32-100,1))&lt;999,ROUND(100/N32*O32-100,1),IF(ROUND(100/N32*O32-100,1)&gt;999,999,-999)))</f>
        <v>-22.2</v>
      </c>
      <c r="Q32" s="466">
        <v>-708.95224339999993</v>
      </c>
      <c r="R32" s="342">
        <v>-767.88454753999997</v>
      </c>
      <c r="S32" s="557">
        <f>IF(Q32=0, "    ---- ", IF(ABS(ROUND(100/Q32*R32-100,1))&lt;999,ROUND(100/Q32*R32-100,1),IF(ROUND(100/Q32*R32-100,1)&gt;999,999,-999)))</f>
        <v>8.3000000000000007</v>
      </c>
      <c r="T32" s="466">
        <v>-44.9</v>
      </c>
      <c r="U32" s="342">
        <v>-49.3</v>
      </c>
      <c r="V32" s="557">
        <f>IF(T32=0, "    ---- ", IF(ABS(ROUND(100/T32*U32-100,1))&lt;999,ROUND(100/T32*U32-100,1),IF(ROUND(100/T32*U32-100,1)&gt;999,999,-999)))</f>
        <v>9.8000000000000007</v>
      </c>
      <c r="W32" s="466">
        <v>-466</v>
      </c>
      <c r="X32" s="342">
        <v>-444.4</v>
      </c>
      <c r="Y32" s="557">
        <f>IF(W32=0, "    ---- ", IF(ABS(ROUND(100/W32*X32-100,1))&lt;999,ROUND(100/W32*X32-100,1),IF(ROUND(100/W32*X32-100,1)&gt;999,999,-999)))</f>
        <v>-4.5999999999999996</v>
      </c>
      <c r="Z32" s="466">
        <v>-116</v>
      </c>
      <c r="AA32" s="342">
        <v>-117</v>
      </c>
      <c r="AB32" s="557">
        <f>IF(Z32=0, "    ---- ", IF(ABS(ROUND(100/Z32*AA32-100,1))&lt;999,ROUND(100/Z32*AA32-100,1),IF(ROUND(100/Z32*AA32-100,1)&gt;999,999,-999)))</f>
        <v>0.9</v>
      </c>
      <c r="AC32" s="466">
        <v>-2</v>
      </c>
      <c r="AD32" s="342">
        <v>-1</v>
      </c>
      <c r="AE32" s="557">
        <f>IF(AC32=0, "    ---- ", IF(ABS(ROUND(100/AC32*AD32-100,1))&lt;999,ROUND(100/AC32*AD32-100,1),IF(ROUND(100/AC32*AD32-100,1)&gt;999,999,-999)))</f>
        <v>-50</v>
      </c>
      <c r="AF32" s="466">
        <v>-758.12452868940011</v>
      </c>
      <c r="AG32" s="342">
        <v>-823.42558108879985</v>
      </c>
      <c r="AH32" s="557">
        <f>IF(AF32=0, "    ---- ", IF(ABS(ROUND(100/AF32*AG32-100,1))&lt;999,ROUND(100/AF32*AG32-100,1),IF(ROUND(100/AF32*AG32-100,1)&gt;999,999,-999)))</f>
        <v>8.6</v>
      </c>
      <c r="AI32" s="466">
        <v>-1030</v>
      </c>
      <c r="AJ32" s="342">
        <v>-1049</v>
      </c>
      <c r="AK32" s="557">
        <f>IF(AI32=0, "    ---- ", IF(ABS(ROUND(100/AI32*AJ32-100,1))&lt;999,ROUND(100/AI32*AJ32-100,1),IF(ROUND(100/AI32*AJ32-100,1)&gt;999,999,-999)))</f>
        <v>1.8</v>
      </c>
      <c r="AL32" s="557">
        <f t="shared" si="25"/>
        <v>-4553.6117720893999</v>
      </c>
      <c r="AM32" s="557">
        <f t="shared" si="26"/>
        <v>-4686.0331286288001</v>
      </c>
      <c r="AN32" s="557">
        <f t="shared" si="12"/>
        <v>2.9</v>
      </c>
      <c r="AO32" s="557"/>
      <c r="AP32" s="557"/>
      <c r="AQ32" s="557"/>
    </row>
    <row r="33" spans="1:43" s="573" customFormat="1" ht="18.75" customHeight="1" x14ac:dyDescent="0.3">
      <c r="A33" s="555" t="s">
        <v>325</v>
      </c>
      <c r="B33" s="457"/>
      <c r="C33" s="455"/>
      <c r="D33" s="561"/>
      <c r="E33" s="457">
        <v>-7.476</v>
      </c>
      <c r="F33" s="455">
        <v>0.96099999999999997</v>
      </c>
      <c r="G33" s="561">
        <f>IF(E33=0, "    ---- ", IF(ABS(ROUND(100/E33*F33-100,1))&lt;999,ROUND(100/E33*F33-100,1),IF(ROUND(100/E33*F33-100,1)&gt;999,999,-999)))</f>
        <v>-112.9</v>
      </c>
      <c r="H33" s="457"/>
      <c r="I33" s="455"/>
      <c r="J33" s="561"/>
      <c r="K33" s="457"/>
      <c r="L33" s="455"/>
      <c r="M33" s="561"/>
      <c r="N33" s="457"/>
      <c r="O33" s="455"/>
      <c r="P33" s="561"/>
      <c r="Q33" s="457">
        <v>-730.04082300000005</v>
      </c>
      <c r="R33" s="455">
        <v>-785.03264899999999</v>
      </c>
      <c r="S33" s="561">
        <f>IF(Q33=0, "    ---- ", IF(ABS(ROUND(100/Q33*R33-100,1))&lt;999,ROUND(100/Q33*R33-100,1),IF(ROUND(100/Q33*R33-100,1)&gt;999,999,-999)))</f>
        <v>7.5</v>
      </c>
      <c r="T33" s="457">
        <v>-0.6</v>
      </c>
      <c r="U33" s="455">
        <v>-2.8</v>
      </c>
      <c r="V33" s="561">
        <f>IF(T33=0, "    ---- ", IF(ABS(ROUND(100/T33*U33-100,1))&lt;999,ROUND(100/T33*U33-100,1),IF(ROUND(100/T33*U33-100,1)&gt;999,999,-999)))</f>
        <v>366.7</v>
      </c>
      <c r="W33" s="457">
        <v>-6.5839085599999994</v>
      </c>
      <c r="X33" s="455">
        <v>-11.4</v>
      </c>
      <c r="Y33" s="561">
        <f>IF(W33=0, "    ---- ", IF(ABS(ROUND(100/W33*X33-100,1))&lt;999,ROUND(100/W33*X33-100,1),IF(ROUND(100/W33*X33-100,1)&gt;999,999,-999)))</f>
        <v>73.099999999999994</v>
      </c>
      <c r="Z33" s="457"/>
      <c r="AA33" s="455"/>
      <c r="AB33" s="561"/>
      <c r="AC33" s="457"/>
      <c r="AD33" s="455"/>
      <c r="AE33" s="561"/>
      <c r="AF33" s="457">
        <v>-9.3855160400000006</v>
      </c>
      <c r="AG33" s="455">
        <v>-5.3051609499999994</v>
      </c>
      <c r="AH33" s="561">
        <f>IF(AF33=0, "    ---- ", IF(ABS(ROUND(100/AF33*AG33-100,1))&lt;999,ROUND(100/AF33*AG33-100,1),IF(ROUND(100/AF33*AG33-100,1)&gt;999,999,-999)))</f>
        <v>-43.5</v>
      </c>
      <c r="AI33" s="457">
        <v>-147</v>
      </c>
      <c r="AJ33" s="455">
        <v>-35.6</v>
      </c>
      <c r="AK33" s="561">
        <f>IF(AI33=0, "    ---- ", IF(ABS(ROUND(100/AI33*AJ33-100,1))&lt;999,ROUND(100/AI33*AJ33-100,1),IF(ROUND(100/AI33*AJ33-100,1)&gt;999,999,-999)))</f>
        <v>-75.8</v>
      </c>
      <c r="AL33" s="561">
        <f t="shared" si="25"/>
        <v>-901.08624760000009</v>
      </c>
      <c r="AM33" s="561">
        <f t="shared" si="26"/>
        <v>-839.17680994999989</v>
      </c>
      <c r="AN33" s="561">
        <f t="shared" si="12"/>
        <v>-6.9</v>
      </c>
      <c r="AO33" s="561"/>
      <c r="AP33" s="561"/>
      <c r="AQ33" s="561"/>
    </row>
    <row r="34" spans="1:43" s="576" customFormat="1" ht="18.75" customHeight="1" x14ac:dyDescent="0.3">
      <c r="A34" s="574" t="s">
        <v>326</v>
      </c>
      <c r="B34" s="628">
        <f>SUM(B14+B15+B16+B17+B21+B29+B30+B31+B32+B33)</f>
        <v>91.541999999999888</v>
      </c>
      <c r="C34" s="629">
        <f>SUM(C14+C15+C16+C17+C21+C29+C30+C31+C32+C33)</f>
        <v>48.504000000000161</v>
      </c>
      <c r="D34" s="575">
        <f>IF(B34=0, "    ---- ", IF(ABS(ROUND(100/B34*C34-100,1))&lt;999,ROUND(100/B34*C34-100,1),IF(ROUND(100/B34*C34-100,1)&gt;999,999,-999)))</f>
        <v>-47</v>
      </c>
      <c r="E34" s="628">
        <f>SUM(E14+E15+E16+E17+E21+E29+E30+E31+E32+E33)</f>
        <v>908.66300000000035</v>
      </c>
      <c r="F34" s="629">
        <f>SUM(F14+F15+F16+F17+F21+F29+F30+F31+F32+F33)</f>
        <v>840.56299999999862</v>
      </c>
      <c r="G34" s="575">
        <f>IF(E34=0, "    ---- ", IF(ABS(ROUND(100/E34*F34-100,1))&lt;999,ROUND(100/E34*F34-100,1),IF(ROUND(100/E34*F34-100,1)&gt;999,999,-999)))</f>
        <v>-7.5</v>
      </c>
      <c r="H34" s="628">
        <f>SUM(H14+H15+H16+H17+H21+H29+H30+H31+H32+H33)</f>
        <v>76.778999999999883</v>
      </c>
      <c r="I34" s="629">
        <f>SUM(I14+I15+I16+I17+I21+I29+I30+I31+I32+I33)</f>
        <v>87.475999999999857</v>
      </c>
      <c r="J34" s="575">
        <f>IF(H34=0, "    ---- ", IF(ABS(ROUND(100/H34*I34-100,1))&lt;999,ROUND(100/H34*I34-100,1),IF(ROUND(100/H34*I34-100,1)&gt;999,999,-999)))</f>
        <v>13.9</v>
      </c>
      <c r="K34" s="628">
        <f>SUM(K14+K15+K16+K17+K21+K29+K30+K31+K32+K33)</f>
        <v>74.523999999999688</v>
      </c>
      <c r="L34" s="629">
        <f>SUM(L14+L15+L16+L17+L21+L29+L30+L31+L32+L33)</f>
        <v>110.19999999999962</v>
      </c>
      <c r="M34" s="575">
        <f>IF(K34=0, "    ---- ", IF(ABS(ROUND(100/K34*L34-100,1))&lt;999,ROUND(100/K34*L34-100,1),IF(ROUND(100/K34*L34-100,1)&gt;999,999,-999)))</f>
        <v>47.9</v>
      </c>
      <c r="N34" s="628">
        <f>SUM(N14+N15+N16+N17+N21+N29+N30+N31+N32+N33)</f>
        <v>21</v>
      </c>
      <c r="O34" s="629">
        <f>SUM(O14+O15+O16+O17+O21+O29+O30+O31+O32+O33)</f>
        <v>14</v>
      </c>
      <c r="P34" s="575">
        <f>IF(N34=0, "    ---- ", IF(ABS(ROUND(100/N34*O34-100,1))&lt;999,ROUND(100/N34*O34-100,1),IF(ROUND(100/N34*O34-100,1)&gt;999,999,-999)))</f>
        <v>-33.299999999999997</v>
      </c>
      <c r="Q34" s="628">
        <f>SUM(Q14+Q15+Q16+Q17+Q21+Q29+Q30+Q31+Q32+Q33)</f>
        <v>1004.5454644000022</v>
      </c>
      <c r="R34" s="629">
        <f>SUM(R14+R15+R16+R17+R21+R29+R30+R31+R32+R33)</f>
        <v>1098.3290758100059</v>
      </c>
      <c r="S34" s="575">
        <f>IF(Q34=0, "    ---- ", IF(ABS(ROUND(100/Q34*R34-100,1))&lt;999,ROUND(100/Q34*R34-100,1),IF(ROUND(100/Q34*R34-100,1)&gt;999,999,-999)))</f>
        <v>9.3000000000000007</v>
      </c>
      <c r="T34" s="628">
        <f>SUM(T14+T15+T16+T17+T21+T29+T30+T31+T32+T33)</f>
        <v>-28.999999999999932</v>
      </c>
      <c r="U34" s="629">
        <f>SUM(U14+U15+U16+U17+U21+U29+U30+U31+U32+U33)</f>
        <v>-30.899999999999974</v>
      </c>
      <c r="V34" s="575">
        <f>IF(T34=0, "    ---- ", IF(ABS(ROUND(100/T34*U34-100,1))&lt;999,ROUND(100/T34*U34-100,1),IF(ROUND(100/T34*U34-100,1)&gt;999,999,-999)))</f>
        <v>6.6</v>
      </c>
      <c r="W34" s="628">
        <f>SUM(W14+W15+W16+W17+W21+W29+W30+W31+W32+W33)</f>
        <v>472.23469422000022</v>
      </c>
      <c r="X34" s="629">
        <f>SUM(X14+X15+X16+X17+X21+X29+X30+X31+X32+X33)</f>
        <v>410.10000000000059</v>
      </c>
      <c r="Y34" s="575">
        <f>IF(W34=0, "    ---- ", IF(ABS(ROUND(100/W34*X34-100,1))&lt;999,ROUND(100/W34*X34-100,1),IF(ROUND(100/W34*X34-100,1)&gt;999,999,-999)))</f>
        <v>-13.2</v>
      </c>
      <c r="Z34" s="628">
        <f>SUM(Z14+Z15+Z16+Z17+Z21+Z29+Z30+Z31+Z32+Z33)</f>
        <v>510.09700000000066</v>
      </c>
      <c r="AA34" s="629">
        <f>SUM(AA14+AA15+AA16+AA17+AA21+AA29+AA30+AA31+AA32+AA33)</f>
        <v>418</v>
      </c>
      <c r="AB34" s="575">
        <f>IF(Z34=0, "    ---- ", IF(ABS(ROUND(100/Z34*AA34-100,1))&lt;999,ROUND(100/Z34*AA34-100,1),IF(ROUND(100/Z34*AA34-100,1)&gt;999,999,-999)))</f>
        <v>-18.100000000000001</v>
      </c>
      <c r="AC34" s="628">
        <f>SUM(AC14+AC15+AC16+AC17+AC21+AC29+AC30+AC31+AC32+AC33)</f>
        <v>11</v>
      </c>
      <c r="AD34" s="629">
        <f>SUM(AD14+AD15+AD16+AD17+AD21+AD29+AD30+AD31+AD32+AD33)</f>
        <v>10</v>
      </c>
      <c r="AE34" s="575">
        <f>IF(AC34=0, "    ---- ", IF(ABS(ROUND(100/AC34*AD34-100,1))&lt;999,ROUND(100/AC34*AD34-100,1),IF(ROUND(100/AC34*AD34-100,1)&gt;999,999,-999)))</f>
        <v>-9.1</v>
      </c>
      <c r="AF34" s="628">
        <f>SUM(AF14+AF15+AF16+AF17+AF21+AF29+AF30+AF31+AF32+AF33)</f>
        <v>385.01180143059736</v>
      </c>
      <c r="AG34" s="629">
        <f>SUM(AG14+AG15+AG16+AG17+AG21+AG29+AG30+AG31+AG32+AG33)</f>
        <v>409.30720792119865</v>
      </c>
      <c r="AH34" s="575">
        <f>IF(AF34=0, "    ---- ", IF(ABS(ROUND(100/AF34*AG34-100,1))&lt;999,ROUND(100/AF34*AG34-100,1),IF(ROUND(100/AF34*AG34-100,1)&gt;999,999,-999)))</f>
        <v>6.3</v>
      </c>
      <c r="AI34" s="628">
        <f>SUM(AI14+AI15+AI16+AI17+AI21+AI29+AI30+AI31+AI32+AI33)</f>
        <v>959</v>
      </c>
      <c r="AJ34" s="629">
        <f>SUM(AJ14+AJ15+AJ16+AJ17+AJ21+AJ29+AJ30+AJ31+AJ32+AJ33)</f>
        <v>1207.7999999999997</v>
      </c>
      <c r="AK34" s="575">
        <f>IF(AI34=0, "    ---- ", IF(ABS(ROUND(100/AI34*AJ34-100,1))&lt;999,ROUND(100/AI34*AJ34-100,1),IF(ROUND(100/AI34*AJ34-100,1)&gt;999,999,-999)))</f>
        <v>25.9</v>
      </c>
      <c r="AL34" s="575">
        <f t="shared" si="25"/>
        <v>4453.3969600505998</v>
      </c>
      <c r="AM34" s="575">
        <f t="shared" si="26"/>
        <v>4599.379283731203</v>
      </c>
      <c r="AN34" s="575">
        <f t="shared" si="12"/>
        <v>3.3</v>
      </c>
      <c r="AO34" s="575"/>
      <c r="AP34" s="575"/>
      <c r="AQ34" s="575"/>
    </row>
    <row r="35" spans="1:43" s="576" customFormat="1" ht="18.75" customHeight="1" x14ac:dyDescent="0.3">
      <c r="A35" s="577"/>
      <c r="B35" s="578"/>
      <c r="C35" s="579"/>
      <c r="D35" s="580"/>
      <c r="E35" s="578"/>
      <c r="F35" s="579"/>
      <c r="G35" s="580"/>
      <c r="H35" s="578"/>
      <c r="I35" s="579"/>
      <c r="J35" s="580"/>
      <c r="K35" s="578"/>
      <c r="L35" s="579"/>
      <c r="M35" s="580"/>
      <c r="N35" s="578"/>
      <c r="O35" s="579"/>
      <c r="P35" s="580"/>
      <c r="Q35" s="578"/>
      <c r="R35" s="579"/>
      <c r="S35" s="580"/>
      <c r="T35" s="578"/>
      <c r="U35" s="579"/>
      <c r="V35" s="580"/>
      <c r="W35" s="578"/>
      <c r="X35" s="579"/>
      <c r="Y35" s="580"/>
      <c r="Z35" s="578"/>
      <c r="AA35" s="579"/>
      <c r="AB35" s="580"/>
      <c r="AC35" s="578"/>
      <c r="AD35" s="579"/>
      <c r="AE35" s="580"/>
      <c r="AF35" s="578"/>
      <c r="AG35" s="579"/>
      <c r="AH35" s="581"/>
      <c r="AI35" s="578"/>
      <c r="AJ35" s="579"/>
      <c r="AK35" s="581"/>
      <c r="AL35" s="581"/>
      <c r="AM35" s="581"/>
      <c r="AN35" s="581"/>
      <c r="AO35" s="582"/>
      <c r="AP35" s="583"/>
      <c r="AQ35" s="584"/>
    </row>
    <row r="36" spans="1:43" s="576" customFormat="1" ht="18.75" customHeight="1" x14ac:dyDescent="0.3">
      <c r="A36" s="546" t="s">
        <v>327</v>
      </c>
      <c r="B36" s="578"/>
      <c r="C36" s="579"/>
      <c r="D36" s="580"/>
      <c r="E36" s="578"/>
      <c r="F36" s="579"/>
      <c r="G36" s="580"/>
      <c r="H36" s="578"/>
      <c r="I36" s="579"/>
      <c r="J36" s="580"/>
      <c r="K36" s="578"/>
      <c r="L36" s="579"/>
      <c r="M36" s="580"/>
      <c r="N36" s="578"/>
      <c r="O36" s="579"/>
      <c r="P36" s="580"/>
      <c r="Q36" s="578"/>
      <c r="R36" s="579"/>
      <c r="S36" s="580"/>
      <c r="T36" s="578"/>
      <c r="U36" s="579"/>
      <c r="V36" s="580"/>
      <c r="W36" s="578"/>
      <c r="X36" s="579"/>
      <c r="Y36" s="580"/>
      <c r="Z36" s="578"/>
      <c r="AA36" s="579"/>
      <c r="AB36" s="580"/>
      <c r="AC36" s="578"/>
      <c r="AD36" s="579"/>
      <c r="AE36" s="580"/>
      <c r="AF36" s="578"/>
      <c r="AG36" s="579"/>
      <c r="AH36" s="580"/>
      <c r="AI36" s="578"/>
      <c r="AJ36" s="579"/>
      <c r="AK36" s="580"/>
      <c r="AL36" s="580"/>
      <c r="AM36" s="580"/>
      <c r="AN36" s="580"/>
      <c r="AO36" s="585"/>
      <c r="AP36" s="586"/>
      <c r="AQ36" s="587"/>
    </row>
    <row r="37" spans="1:43" s="589" customFormat="1" ht="18.75" customHeight="1" x14ac:dyDescent="0.3">
      <c r="A37" s="555" t="s">
        <v>328</v>
      </c>
      <c r="B37" s="558">
        <v>0.14199999999999999</v>
      </c>
      <c r="C37" s="559">
        <v>2.5750000000000002</v>
      </c>
      <c r="D37" s="557">
        <f t="shared" ref="D37:D43" si="27">IF(B37=0, "    ---- ", IF(ABS(ROUND(100/B37*C37-100,1))&lt;999,ROUND(100/B37*C37-100,1),IF(ROUND(100/B37*C37-100,1)&gt;999,999,-999)))</f>
        <v>999</v>
      </c>
      <c r="E37" s="558">
        <v>758.21400000000006</v>
      </c>
      <c r="F37" s="559">
        <v>400.57799999999997</v>
      </c>
      <c r="G37" s="557">
        <f t="shared" ref="G37:G44" si="28">IF(E37=0, "    ---- ", IF(ABS(ROUND(100/E37*F37-100,1))&lt;999,ROUND(100/E37*F37-100,1),IF(ROUND(100/E37*F37-100,1)&gt;999,999,-999)))</f>
        <v>-47.2</v>
      </c>
      <c r="H37" s="558">
        <v>7.8390000000000004</v>
      </c>
      <c r="I37" s="559">
        <v>3.6280000000000001</v>
      </c>
      <c r="J37" s="557">
        <f t="shared" ref="J37:J43" si="29">IF(H37=0, "    ---- ", IF(ABS(ROUND(100/H37*I37-100,1))&lt;999,ROUND(100/H37*I37-100,1),IF(ROUND(100/H37*I37-100,1)&gt;999,999,-999)))</f>
        <v>-53.7</v>
      </c>
      <c r="K37" s="558">
        <v>1.226</v>
      </c>
      <c r="L37" s="559">
        <v>9.1</v>
      </c>
      <c r="M37" s="557">
        <f t="shared" ref="M37:M44" si="30">IF(K37=0, "    ---- ", IF(ABS(ROUND(100/K37*L37-100,1))&lt;999,ROUND(100/K37*L37-100,1),IF(ROUND(100/K37*L37-100,1)&gt;999,999,-999)))</f>
        <v>642.29999999999995</v>
      </c>
      <c r="N37" s="558">
        <v>3</v>
      </c>
      <c r="O37" s="559">
        <v>1</v>
      </c>
      <c r="P37" s="557">
        <f t="shared" ref="P37:P43" si="31">IF(N37=0, "    ---- ", IF(ABS(ROUND(100/N37*O37-100,1))&lt;999,ROUND(100/N37*O37-100,1),IF(ROUND(100/N37*O37-100,1)&gt;999,999,-999)))</f>
        <v>-66.7</v>
      </c>
      <c r="Q37" s="558">
        <v>969.98372553000002</v>
      </c>
      <c r="R37" s="559">
        <v>1027.8799921900002</v>
      </c>
      <c r="S37" s="557">
        <f t="shared" ref="S37:S44" si="32">IF(Q37=0, "    ---- ", IF(ABS(ROUND(100/Q37*R37-100,1))&lt;999,ROUND(100/Q37*R37-100,1),IF(ROUND(100/Q37*R37-100,1)&gt;999,999,-999)))</f>
        <v>6</v>
      </c>
      <c r="T37" s="558">
        <v>6.6</v>
      </c>
      <c r="U37" s="559">
        <v>4.9000000000000004</v>
      </c>
      <c r="V37" s="557">
        <f t="shared" ref="V37:V44" si="33">IF(T37=0, "    ---- ", IF(ABS(ROUND(100/T37*U37-100,1))&lt;999,ROUND(100/T37*U37-100,1),IF(ROUND(100/T37*U37-100,1)&gt;999,999,-999)))</f>
        <v>-25.8</v>
      </c>
      <c r="W37" s="558">
        <v>81</v>
      </c>
      <c r="X37" s="559">
        <v>47.3</v>
      </c>
      <c r="Y37" s="557">
        <f t="shared" ref="Y37:Y44" si="34">IF(W37=0, "    ---- ", IF(ABS(ROUND(100/W37*X37-100,1))&lt;999,ROUND(100/W37*X37-100,1),IF(ROUND(100/W37*X37-100,1)&gt;999,999,-999)))</f>
        <v>-41.6</v>
      </c>
      <c r="Z37" s="558">
        <v>360</v>
      </c>
      <c r="AA37" s="559">
        <v>257</v>
      </c>
      <c r="AB37" s="557">
        <f t="shared" ref="AB37:AB43" si="35">IF(Z37=0, "    ---- ", IF(ABS(ROUND(100/Z37*AA37-100,1))&lt;999,ROUND(100/Z37*AA37-100,1),IF(ROUND(100/Z37*AA37-100,1)&gt;999,999,-999)))</f>
        <v>-28.6</v>
      </c>
      <c r="AC37" s="558"/>
      <c r="AD37" s="559"/>
      <c r="AE37" s="557"/>
      <c r="AF37" s="558">
        <v>172.15652681999998</v>
      </c>
      <c r="AG37" s="559"/>
      <c r="AH37" s="557">
        <f t="shared" ref="AH37:AH44" si="36">IF(AF37=0, "    ---- ", IF(ABS(ROUND(100/AF37*AG37-100,1))&lt;999,ROUND(100/AF37*AG37-100,1),IF(ROUND(100/AF37*AG37-100,1)&gt;999,999,-999)))</f>
        <v>-100</v>
      </c>
      <c r="AI37" s="558">
        <v>587.4</v>
      </c>
      <c r="AJ37" s="559">
        <v>1267</v>
      </c>
      <c r="AK37" s="557">
        <f t="shared" ref="AK37:AK44" si="37">IF(AI37=0, "    ---- ", IF(ABS(ROUND(100/AI37*AJ37-100,1))&lt;999,ROUND(100/AI37*AJ37-100,1),IF(ROUND(100/AI37*AJ37-100,1)&gt;999,999,-999)))</f>
        <v>115.7</v>
      </c>
      <c r="AL37" s="557">
        <f t="shared" ref="AL37:AL45" si="38">B37+E37+H37+K37+Q37+T37+W37+Z37+AF37+AI37</f>
        <v>2944.5612523500004</v>
      </c>
      <c r="AM37" s="557">
        <f t="shared" ref="AM37:AM45" si="39">C37+F37+I37+L37+R37+U37+X37+AA37+AG37+AJ37</f>
        <v>3019.9609921900001</v>
      </c>
      <c r="AN37" s="557">
        <f t="shared" si="12"/>
        <v>2.6</v>
      </c>
      <c r="AO37" s="560"/>
      <c r="AP37" s="588"/>
      <c r="AQ37" s="562"/>
    </row>
    <row r="38" spans="1:43" s="589" customFormat="1" ht="18.75" customHeight="1" x14ac:dyDescent="0.3">
      <c r="A38" s="555" t="s">
        <v>329</v>
      </c>
      <c r="B38" s="558"/>
      <c r="C38" s="559"/>
      <c r="D38" s="557"/>
      <c r="E38" s="558">
        <v>25.3</v>
      </c>
      <c r="F38" s="559">
        <v>9.8420000000000005</v>
      </c>
      <c r="G38" s="557">
        <f t="shared" si="28"/>
        <v>-61.1</v>
      </c>
      <c r="H38" s="558">
        <v>3.2000000000000001E-2</v>
      </c>
      <c r="I38" s="559">
        <v>3.5999999999999997E-2</v>
      </c>
      <c r="J38" s="557">
        <f t="shared" si="29"/>
        <v>12.5</v>
      </c>
      <c r="K38" s="558"/>
      <c r="L38" s="559"/>
      <c r="M38" s="557" t="str">
        <f t="shared" si="30"/>
        <v xml:space="preserve">    ---- </v>
      </c>
      <c r="N38" s="558"/>
      <c r="O38" s="559"/>
      <c r="P38" s="557"/>
      <c r="Q38" s="558">
        <v>8.44577095</v>
      </c>
      <c r="R38" s="559">
        <v>3.9781162000000001</v>
      </c>
      <c r="S38" s="557">
        <f t="shared" si="32"/>
        <v>-52.9</v>
      </c>
      <c r="T38" s="558">
        <v>0.5</v>
      </c>
      <c r="U38" s="559">
        <v>1.2</v>
      </c>
      <c r="V38" s="557">
        <f t="shared" si="33"/>
        <v>140</v>
      </c>
      <c r="W38" s="558"/>
      <c r="X38" s="559">
        <v>7</v>
      </c>
      <c r="Y38" s="557" t="str">
        <f t="shared" si="34"/>
        <v xml:space="preserve">    ---- </v>
      </c>
      <c r="Z38" s="558">
        <v>6</v>
      </c>
      <c r="AA38" s="559">
        <v>6</v>
      </c>
      <c r="AB38" s="557">
        <f t="shared" si="35"/>
        <v>0</v>
      </c>
      <c r="AC38" s="558"/>
      <c r="AD38" s="559"/>
      <c r="AE38" s="557"/>
      <c r="AF38" s="558">
        <v>1.2070995500000001</v>
      </c>
      <c r="AG38" s="559"/>
      <c r="AH38" s="557">
        <f t="shared" si="36"/>
        <v>-100</v>
      </c>
      <c r="AI38" s="558">
        <v>15.2</v>
      </c>
      <c r="AJ38" s="559">
        <v>195.8</v>
      </c>
      <c r="AK38" s="557">
        <f t="shared" si="37"/>
        <v>999</v>
      </c>
      <c r="AL38" s="557">
        <f t="shared" si="38"/>
        <v>56.684870500000002</v>
      </c>
      <c r="AM38" s="557">
        <f t="shared" si="39"/>
        <v>223.8561162</v>
      </c>
      <c r="AN38" s="557">
        <f t="shared" si="12"/>
        <v>294.89999999999998</v>
      </c>
      <c r="AO38" s="557"/>
      <c r="AP38" s="590"/>
      <c r="AQ38" s="557"/>
    </row>
    <row r="39" spans="1:43" s="589" customFormat="1" ht="18.75" customHeight="1" x14ac:dyDescent="0.3">
      <c r="A39" s="555" t="s">
        <v>330</v>
      </c>
      <c r="B39" s="558"/>
      <c r="C39" s="559"/>
      <c r="D39" s="557"/>
      <c r="E39" s="558">
        <v>-161.61099999999999</v>
      </c>
      <c r="F39" s="559">
        <v>-151.911</v>
      </c>
      <c r="G39" s="557">
        <f t="shared" si="28"/>
        <v>-6</v>
      </c>
      <c r="H39" s="558"/>
      <c r="I39" s="559"/>
      <c r="J39" s="557" t="str">
        <f t="shared" si="29"/>
        <v xml:space="preserve">    ---- </v>
      </c>
      <c r="K39" s="558"/>
      <c r="L39" s="559">
        <v>-8.9</v>
      </c>
      <c r="M39" s="557" t="str">
        <f t="shared" si="30"/>
        <v xml:space="preserve">    ---- </v>
      </c>
      <c r="N39" s="558"/>
      <c r="O39" s="559"/>
      <c r="P39" s="557"/>
      <c r="Q39" s="558">
        <v>-286.48384570999997</v>
      </c>
      <c r="R39" s="559">
        <v>-254.34419500000001</v>
      </c>
      <c r="S39" s="557">
        <f t="shared" si="32"/>
        <v>-11.2</v>
      </c>
      <c r="T39" s="558">
        <v>-0.4</v>
      </c>
      <c r="U39" s="559">
        <v>-0.3</v>
      </c>
      <c r="V39" s="557">
        <f t="shared" si="33"/>
        <v>-25</v>
      </c>
      <c r="W39" s="558">
        <v>-68</v>
      </c>
      <c r="X39" s="559">
        <v>-66.8</v>
      </c>
      <c r="Y39" s="557">
        <f t="shared" si="34"/>
        <v>-1.8</v>
      </c>
      <c r="Z39" s="558">
        <v>-67</v>
      </c>
      <c r="AA39" s="559">
        <v>-67</v>
      </c>
      <c r="AB39" s="557">
        <f t="shared" si="35"/>
        <v>0</v>
      </c>
      <c r="AC39" s="558"/>
      <c r="AD39" s="559"/>
      <c r="AE39" s="557"/>
      <c r="AF39" s="558">
        <v>-45.823909820599994</v>
      </c>
      <c r="AG39" s="559"/>
      <c r="AH39" s="557">
        <f t="shared" si="36"/>
        <v>-100</v>
      </c>
      <c r="AI39" s="558">
        <v>-336</v>
      </c>
      <c r="AJ39" s="559">
        <v>-327.60000000000002</v>
      </c>
      <c r="AK39" s="557">
        <f t="shared" si="37"/>
        <v>-2.5</v>
      </c>
      <c r="AL39" s="557">
        <f t="shared" si="38"/>
        <v>-965.3187555305999</v>
      </c>
      <c r="AM39" s="557">
        <f t="shared" si="39"/>
        <v>-876.85519500000009</v>
      </c>
      <c r="AN39" s="557">
        <f t="shared" si="12"/>
        <v>-9.1999999999999993</v>
      </c>
      <c r="AO39" s="557"/>
      <c r="AP39" s="590"/>
      <c r="AQ39" s="557"/>
    </row>
    <row r="40" spans="1:43" s="592" customFormat="1" ht="18.75" customHeight="1" x14ac:dyDescent="0.3">
      <c r="A40" s="577" t="s">
        <v>331</v>
      </c>
      <c r="B40" s="578">
        <f>SUM(B37:B39)</f>
        <v>0.14199999999999999</v>
      </c>
      <c r="C40" s="579">
        <f>SUM(C37:C39)</f>
        <v>2.5750000000000002</v>
      </c>
      <c r="D40" s="580">
        <f t="shared" si="27"/>
        <v>999</v>
      </c>
      <c r="E40" s="578">
        <f>SUM(E37:E39)</f>
        <v>621.90300000000002</v>
      </c>
      <c r="F40" s="579">
        <f>SUM(F37:F39)</f>
        <v>258.50899999999996</v>
      </c>
      <c r="G40" s="580">
        <f t="shared" si="28"/>
        <v>-58.4</v>
      </c>
      <c r="H40" s="578">
        <f>SUM(H37:H39)</f>
        <v>7.8710000000000004</v>
      </c>
      <c r="I40" s="579">
        <f>SUM(I37:I39)</f>
        <v>3.6640000000000001</v>
      </c>
      <c r="J40" s="580">
        <f t="shared" si="29"/>
        <v>-53.4</v>
      </c>
      <c r="K40" s="578">
        <f>SUM(K37:K39)</f>
        <v>1.226</v>
      </c>
      <c r="L40" s="579">
        <f>SUM(L37:L39)</f>
        <v>0.19999999999999929</v>
      </c>
      <c r="M40" s="580">
        <f t="shared" si="30"/>
        <v>-83.7</v>
      </c>
      <c r="N40" s="578">
        <f>SUM(N37:N39)</f>
        <v>3</v>
      </c>
      <c r="O40" s="579">
        <f>SUM(O37:O39)</f>
        <v>1</v>
      </c>
      <c r="P40" s="580">
        <f t="shared" si="31"/>
        <v>-66.7</v>
      </c>
      <c r="Q40" s="578">
        <f>SUM(Q37:Q39)</f>
        <v>691.94565077000004</v>
      </c>
      <c r="R40" s="579">
        <f>SUM(R37:R39)</f>
        <v>777.51391339000008</v>
      </c>
      <c r="S40" s="580">
        <f t="shared" si="32"/>
        <v>12.4</v>
      </c>
      <c r="T40" s="578">
        <f>SUM(T37:T39)</f>
        <v>6.6999999999999993</v>
      </c>
      <c r="U40" s="579">
        <f>SUM(U37:U39)</f>
        <v>5.8000000000000007</v>
      </c>
      <c r="V40" s="580">
        <f t="shared" si="33"/>
        <v>-13.4</v>
      </c>
      <c r="W40" s="578">
        <f>SUM(W37:W39)</f>
        <v>13</v>
      </c>
      <c r="X40" s="579">
        <f>SUM(X37:X39)</f>
        <v>-12.5</v>
      </c>
      <c r="Y40" s="580">
        <f t="shared" si="34"/>
        <v>-196.2</v>
      </c>
      <c r="Z40" s="578">
        <f>SUM(Z37:Z39)</f>
        <v>299</v>
      </c>
      <c r="AA40" s="579">
        <f>SUM(AA37:AA39)</f>
        <v>196</v>
      </c>
      <c r="AB40" s="580">
        <f t="shared" si="35"/>
        <v>-34.4</v>
      </c>
      <c r="AC40" s="578">
        <f>SUM(AC37:AC39)</f>
        <v>0</v>
      </c>
      <c r="AD40" s="579">
        <f>SUM(AD37:AD39)</f>
        <v>0</v>
      </c>
      <c r="AE40" s="580"/>
      <c r="AF40" s="578">
        <f>SUM(AF37:AF39)</f>
        <v>127.5397165494</v>
      </c>
      <c r="AG40" s="579">
        <f>SUM(AG37:AG39)</f>
        <v>0</v>
      </c>
      <c r="AH40" s="580">
        <f t="shared" si="36"/>
        <v>-100</v>
      </c>
      <c r="AI40" s="578">
        <f>SUM(AI37:AI39)</f>
        <v>266.60000000000002</v>
      </c>
      <c r="AJ40" s="579">
        <f>SUM(AJ37:AJ39)</f>
        <v>1135.1999999999998</v>
      </c>
      <c r="AK40" s="580">
        <f t="shared" si="37"/>
        <v>325.8</v>
      </c>
      <c r="AL40" s="580">
        <f t="shared" si="38"/>
        <v>2035.9273673194002</v>
      </c>
      <c r="AM40" s="580">
        <f t="shared" si="39"/>
        <v>2366.9619133899996</v>
      </c>
      <c r="AN40" s="580">
        <f t="shared" si="12"/>
        <v>16.3</v>
      </c>
      <c r="AO40" s="580"/>
      <c r="AP40" s="591"/>
      <c r="AQ40" s="580"/>
    </row>
    <row r="41" spans="1:43" s="592" customFormat="1" ht="18.75" customHeight="1" x14ac:dyDescent="0.3">
      <c r="A41" s="577" t="s">
        <v>332</v>
      </c>
      <c r="B41" s="578">
        <f>B34+B40</f>
        <v>91.683999999999884</v>
      </c>
      <c r="C41" s="579">
        <f>C34+C40</f>
        <v>51.079000000000164</v>
      </c>
      <c r="D41" s="580">
        <f t="shared" si="27"/>
        <v>-44.3</v>
      </c>
      <c r="E41" s="578">
        <f>E34+E40</f>
        <v>1530.5660000000003</v>
      </c>
      <c r="F41" s="579">
        <f>F34+F40</f>
        <v>1099.0719999999985</v>
      </c>
      <c r="G41" s="580">
        <f t="shared" si="28"/>
        <v>-28.2</v>
      </c>
      <c r="H41" s="578">
        <f>H34+H40</f>
        <v>84.649999999999878</v>
      </c>
      <c r="I41" s="579">
        <f>I34+I40</f>
        <v>91.139999999999858</v>
      </c>
      <c r="J41" s="580">
        <f t="shared" si="29"/>
        <v>7.7</v>
      </c>
      <c r="K41" s="578">
        <f>K34+K40</f>
        <v>75.749999999999687</v>
      </c>
      <c r="L41" s="579">
        <f>L34+L40</f>
        <v>110.39999999999962</v>
      </c>
      <c r="M41" s="580">
        <f t="shared" si="30"/>
        <v>45.7</v>
      </c>
      <c r="N41" s="578">
        <f>N34+N40</f>
        <v>24</v>
      </c>
      <c r="O41" s="579">
        <f>O34+O40</f>
        <v>15</v>
      </c>
      <c r="P41" s="580">
        <f t="shared" si="31"/>
        <v>-37.5</v>
      </c>
      <c r="Q41" s="578">
        <f>Q34+Q40</f>
        <v>1696.4911151700021</v>
      </c>
      <c r="R41" s="579">
        <f>R34+R40</f>
        <v>1875.8429892000058</v>
      </c>
      <c r="S41" s="580">
        <f t="shared" si="32"/>
        <v>10.6</v>
      </c>
      <c r="T41" s="578">
        <f>T34+T40</f>
        <v>-22.299999999999933</v>
      </c>
      <c r="U41" s="579">
        <f>U34+U40</f>
        <v>-25.099999999999973</v>
      </c>
      <c r="V41" s="580">
        <f t="shared" si="33"/>
        <v>12.6</v>
      </c>
      <c r="W41" s="578">
        <f>W34+W40</f>
        <v>485.23469422000022</v>
      </c>
      <c r="X41" s="579">
        <f>X34+X40</f>
        <v>397.60000000000059</v>
      </c>
      <c r="Y41" s="580">
        <f t="shared" si="34"/>
        <v>-18.100000000000001</v>
      </c>
      <c r="Z41" s="578">
        <f>Z34+Z40</f>
        <v>809.09700000000066</v>
      </c>
      <c r="AA41" s="579">
        <f>AA34+AA40</f>
        <v>614</v>
      </c>
      <c r="AB41" s="580">
        <f t="shared" si="35"/>
        <v>-24.1</v>
      </c>
      <c r="AC41" s="578">
        <f>AC34+AC40</f>
        <v>11</v>
      </c>
      <c r="AD41" s="579">
        <f>AD34+AD40</f>
        <v>10</v>
      </c>
      <c r="AE41" s="580">
        <f>IF(AC41=0, "    ---- ", IF(ABS(ROUND(100/AC41*AD41-100,1))&lt;999,ROUND(100/AC41*AD41-100,1),IF(ROUND(100/AC41*AD41-100,1)&gt;999,999,-999)))</f>
        <v>-9.1</v>
      </c>
      <c r="AF41" s="578">
        <f>AF34+AF40</f>
        <v>512.55151797999736</v>
      </c>
      <c r="AG41" s="579">
        <f>AG34+AG40</f>
        <v>409.30720792119865</v>
      </c>
      <c r="AH41" s="580">
        <f t="shared" si="36"/>
        <v>-20.100000000000001</v>
      </c>
      <c r="AI41" s="578">
        <f>AI34+AI40</f>
        <v>1225.5999999999999</v>
      </c>
      <c r="AJ41" s="579">
        <f>AJ34+AJ40</f>
        <v>2342.9999999999995</v>
      </c>
      <c r="AK41" s="580">
        <f t="shared" si="37"/>
        <v>91.2</v>
      </c>
      <c r="AL41" s="580">
        <f t="shared" si="38"/>
        <v>6489.3243273700009</v>
      </c>
      <c r="AM41" s="580">
        <f t="shared" si="39"/>
        <v>6966.3411971212026</v>
      </c>
      <c r="AN41" s="580">
        <f t="shared" si="12"/>
        <v>7.4</v>
      </c>
      <c r="AO41" s="580"/>
      <c r="AP41" s="591"/>
      <c r="AQ41" s="580"/>
    </row>
    <row r="42" spans="1:43" s="589" customFormat="1" ht="18.75" customHeight="1" x14ac:dyDescent="0.3">
      <c r="A42" s="555" t="s">
        <v>333</v>
      </c>
      <c r="B42" s="558">
        <v>-22.920999999999999</v>
      </c>
      <c r="C42" s="559">
        <v>-12.77</v>
      </c>
      <c r="D42" s="557">
        <f t="shared" si="27"/>
        <v>-44.3</v>
      </c>
      <c r="E42" s="558">
        <v>-35.945999999999998</v>
      </c>
      <c r="F42" s="559">
        <v>-199.37100000000001</v>
      </c>
      <c r="G42" s="557">
        <f t="shared" si="28"/>
        <v>454.6</v>
      </c>
      <c r="H42" s="558">
        <v>-17.920000000000002</v>
      </c>
      <c r="I42" s="559">
        <v>-22.49</v>
      </c>
      <c r="J42" s="557">
        <f t="shared" si="29"/>
        <v>25.5</v>
      </c>
      <c r="K42" s="558">
        <v>-18.937999999999999</v>
      </c>
      <c r="L42" s="559"/>
      <c r="M42" s="557">
        <f t="shared" si="30"/>
        <v>-100</v>
      </c>
      <c r="N42" s="558">
        <v>-5</v>
      </c>
      <c r="O42" s="559">
        <v>-4</v>
      </c>
      <c r="P42" s="557">
        <f t="shared" si="31"/>
        <v>-20</v>
      </c>
      <c r="Q42" s="558">
        <v>-322.86606</v>
      </c>
      <c r="R42" s="559">
        <v>-437.68167199999999</v>
      </c>
      <c r="S42" s="557"/>
      <c r="T42" s="558"/>
      <c r="U42" s="559"/>
      <c r="V42" s="557"/>
      <c r="W42" s="558">
        <v>0</v>
      </c>
      <c r="X42" s="559">
        <v>-99.4</v>
      </c>
      <c r="Y42" s="557" t="str">
        <f t="shared" si="34"/>
        <v xml:space="preserve">    ---- </v>
      </c>
      <c r="Z42" s="558">
        <v>-242</v>
      </c>
      <c r="AA42" s="559">
        <v>-139</v>
      </c>
      <c r="AB42" s="557">
        <f t="shared" si="35"/>
        <v>-42.6</v>
      </c>
      <c r="AC42" s="558"/>
      <c r="AD42" s="559">
        <v>-1</v>
      </c>
      <c r="AE42" s="557"/>
      <c r="AF42" s="558">
        <v>-125.28831321</v>
      </c>
      <c r="AG42" s="559"/>
      <c r="AH42" s="557">
        <f t="shared" si="36"/>
        <v>-100</v>
      </c>
      <c r="AI42" s="558">
        <v>12.5</v>
      </c>
      <c r="AJ42" s="559">
        <v>-354.5</v>
      </c>
      <c r="AK42" s="557">
        <f t="shared" si="37"/>
        <v>-999</v>
      </c>
      <c r="AL42" s="557">
        <f t="shared" si="38"/>
        <v>-773.37937320999993</v>
      </c>
      <c r="AM42" s="557">
        <f t="shared" si="39"/>
        <v>-1265.2126720000001</v>
      </c>
      <c r="AN42" s="557">
        <f t="shared" si="12"/>
        <v>63.6</v>
      </c>
      <c r="AO42" s="557"/>
      <c r="AP42" s="590"/>
      <c r="AQ42" s="557"/>
    </row>
    <row r="43" spans="1:43" s="592" customFormat="1" ht="18.75" customHeight="1" x14ac:dyDescent="0.3">
      <c r="A43" s="577" t="s">
        <v>334</v>
      </c>
      <c r="B43" s="578">
        <f>B41+B42</f>
        <v>68.762999999999892</v>
      </c>
      <c r="C43" s="579">
        <f>C41+C42</f>
        <v>38.309000000000168</v>
      </c>
      <c r="D43" s="580">
        <f t="shared" si="27"/>
        <v>-44.3</v>
      </c>
      <c r="E43" s="578">
        <f>E41+E42</f>
        <v>1494.6200000000003</v>
      </c>
      <c r="F43" s="579">
        <f>F41+F42</f>
        <v>899.70099999999854</v>
      </c>
      <c r="G43" s="580">
        <f t="shared" si="28"/>
        <v>-39.799999999999997</v>
      </c>
      <c r="H43" s="578">
        <f>H41+H42</f>
        <v>66.729999999999876</v>
      </c>
      <c r="I43" s="579">
        <f>I41+I42</f>
        <v>68.649999999999864</v>
      </c>
      <c r="J43" s="580">
        <f t="shared" si="29"/>
        <v>2.9</v>
      </c>
      <c r="K43" s="578">
        <f>K41+K42</f>
        <v>56.811999999999685</v>
      </c>
      <c r="L43" s="579">
        <f>L41+L42</f>
        <v>110.39999999999962</v>
      </c>
      <c r="M43" s="580">
        <f t="shared" si="30"/>
        <v>94.3</v>
      </c>
      <c r="N43" s="578">
        <f>N41+N42</f>
        <v>19</v>
      </c>
      <c r="O43" s="579">
        <f>O41+O42</f>
        <v>11</v>
      </c>
      <c r="P43" s="580">
        <f t="shared" si="31"/>
        <v>-42.1</v>
      </c>
      <c r="Q43" s="578">
        <f>Q41+Q42</f>
        <v>1373.625055170002</v>
      </c>
      <c r="R43" s="579">
        <f>R41+R42</f>
        <v>1438.1613172000059</v>
      </c>
      <c r="S43" s="580">
        <f t="shared" si="32"/>
        <v>4.7</v>
      </c>
      <c r="T43" s="578">
        <f>T41+T42</f>
        <v>-22.299999999999933</v>
      </c>
      <c r="U43" s="579">
        <f>U41+U42</f>
        <v>-25.099999999999973</v>
      </c>
      <c r="V43" s="580">
        <f t="shared" si="33"/>
        <v>12.6</v>
      </c>
      <c r="W43" s="578">
        <f>W41+W42</f>
        <v>485.23469422000022</v>
      </c>
      <c r="X43" s="579">
        <f>X41+X42</f>
        <v>298.20000000000061</v>
      </c>
      <c r="Y43" s="580">
        <f t="shared" si="34"/>
        <v>-38.5</v>
      </c>
      <c r="Z43" s="578">
        <f>Z41+Z42</f>
        <v>567.09700000000066</v>
      </c>
      <c r="AA43" s="579">
        <f>AA41+AA42</f>
        <v>475</v>
      </c>
      <c r="AB43" s="580">
        <f t="shared" si="35"/>
        <v>-16.2</v>
      </c>
      <c r="AC43" s="578">
        <f>AC41+AC42</f>
        <v>11</v>
      </c>
      <c r="AD43" s="579">
        <f>AD41+AD42</f>
        <v>9</v>
      </c>
      <c r="AE43" s="580">
        <f>IF(AC43=0, "    ---- ", IF(ABS(ROUND(100/AC43*AD43-100,1))&lt;999,ROUND(100/AC43*AD43-100,1),IF(ROUND(100/AC43*AD43-100,1)&gt;999,999,-999)))</f>
        <v>-18.2</v>
      </c>
      <c r="AF43" s="578">
        <f>AF41+AF42</f>
        <v>387.26320476999734</v>
      </c>
      <c r="AG43" s="579">
        <f>AG41+AG42</f>
        <v>409.30720792119865</v>
      </c>
      <c r="AH43" s="580">
        <f t="shared" si="36"/>
        <v>5.7</v>
      </c>
      <c r="AI43" s="578">
        <f>AI41+AI42</f>
        <v>1238.0999999999999</v>
      </c>
      <c r="AJ43" s="579">
        <f>AJ41+AJ42</f>
        <v>1988.4999999999995</v>
      </c>
      <c r="AK43" s="580">
        <f t="shared" si="37"/>
        <v>60.6</v>
      </c>
      <c r="AL43" s="580">
        <f t="shared" si="38"/>
        <v>5715.9449541600006</v>
      </c>
      <c r="AM43" s="580">
        <f t="shared" si="39"/>
        <v>5701.128525121203</v>
      </c>
      <c r="AN43" s="580">
        <f t="shared" si="12"/>
        <v>-0.3</v>
      </c>
      <c r="AO43" s="580"/>
      <c r="AP43" s="591"/>
      <c r="AQ43" s="580"/>
    </row>
    <row r="44" spans="1:43" s="589" customFormat="1" ht="18.75" customHeight="1" x14ac:dyDescent="0.3">
      <c r="A44" s="555" t="s">
        <v>335</v>
      </c>
      <c r="B44" s="558"/>
      <c r="C44" s="559"/>
      <c r="D44" s="557"/>
      <c r="E44" s="558"/>
      <c r="F44" s="559"/>
      <c r="G44" s="557" t="str">
        <f t="shared" si="28"/>
        <v xml:space="preserve">    ---- </v>
      </c>
      <c r="H44" s="558"/>
      <c r="I44" s="559"/>
      <c r="J44" s="557"/>
      <c r="K44" s="558"/>
      <c r="L44" s="559"/>
      <c r="M44" s="557" t="str">
        <f t="shared" si="30"/>
        <v xml:space="preserve">    ---- </v>
      </c>
      <c r="N44" s="558"/>
      <c r="O44" s="559"/>
      <c r="P44" s="557"/>
      <c r="Q44" s="558">
        <v>-79.072822000000002</v>
      </c>
      <c r="R44" s="559">
        <v>0</v>
      </c>
      <c r="S44" s="557">
        <f t="shared" si="32"/>
        <v>-100</v>
      </c>
      <c r="T44" s="558">
        <v>-1.3</v>
      </c>
      <c r="U44" s="559"/>
      <c r="V44" s="557">
        <f t="shared" si="33"/>
        <v>-100</v>
      </c>
      <c r="W44" s="558">
        <v>0</v>
      </c>
      <c r="X44" s="559">
        <v>25</v>
      </c>
      <c r="Y44" s="557" t="str">
        <f t="shared" si="34"/>
        <v xml:space="preserve">    ---- </v>
      </c>
      <c r="Z44" s="558"/>
      <c r="AA44" s="559"/>
      <c r="AB44" s="557"/>
      <c r="AC44" s="558"/>
      <c r="AD44" s="559"/>
      <c r="AE44" s="557"/>
      <c r="AF44" s="558">
        <v>7.4491660099999999</v>
      </c>
      <c r="AG44" s="559"/>
      <c r="AH44" s="557">
        <f t="shared" si="36"/>
        <v>-100</v>
      </c>
      <c r="AI44" s="558">
        <v>-2</v>
      </c>
      <c r="AJ44" s="559">
        <v>-52.8</v>
      </c>
      <c r="AK44" s="557">
        <f t="shared" si="37"/>
        <v>999</v>
      </c>
      <c r="AL44" s="557">
        <f t="shared" si="38"/>
        <v>-74.92365599</v>
      </c>
      <c r="AM44" s="557">
        <f t="shared" si="39"/>
        <v>-27.799999999999997</v>
      </c>
      <c r="AN44" s="557">
        <f t="shared" si="12"/>
        <v>-62.9</v>
      </c>
      <c r="AO44" s="557"/>
      <c r="AP44" s="590"/>
      <c r="AQ44" s="557"/>
    </row>
    <row r="45" spans="1:43" s="592" customFormat="1" ht="18.75" customHeight="1" x14ac:dyDescent="0.3">
      <c r="A45" s="574" t="s">
        <v>336</v>
      </c>
      <c r="B45" s="593">
        <f>B43+B44</f>
        <v>68.762999999999892</v>
      </c>
      <c r="C45" s="594">
        <f>C43+C44</f>
        <v>38.309000000000168</v>
      </c>
      <c r="D45" s="575">
        <f>IF(B45=0, "    ---- ", IF(ABS(ROUND(100/B45*C45-100,1))&lt;999,ROUND(100/B45*C45-100,1),IF(ROUND(100/B45*C45-100,1)&gt;999,999,-999)))</f>
        <v>-44.3</v>
      </c>
      <c r="E45" s="593">
        <f>E43+E44</f>
        <v>1494.6200000000003</v>
      </c>
      <c r="F45" s="594">
        <f>F43+F44</f>
        <v>899.70099999999854</v>
      </c>
      <c r="G45" s="575">
        <f>IF(E45=0, "    ---- ", IF(ABS(ROUND(100/E45*F45-100,1))&lt;999,ROUND(100/E45*F45-100,1),IF(ROUND(100/E45*F45-100,1)&gt;999,999,-999)))</f>
        <v>-39.799999999999997</v>
      </c>
      <c r="H45" s="593">
        <f>H43+H44</f>
        <v>66.729999999999876</v>
      </c>
      <c r="I45" s="594">
        <f>I43+I44</f>
        <v>68.649999999999864</v>
      </c>
      <c r="J45" s="575">
        <f>IF(H45=0, "    ---- ", IF(ABS(ROUND(100/H45*I45-100,1))&lt;999,ROUND(100/H45*I45-100,1),IF(ROUND(100/H45*I45-100,1)&gt;999,999,-999)))</f>
        <v>2.9</v>
      </c>
      <c r="K45" s="593">
        <f>K43+K44</f>
        <v>56.811999999999685</v>
      </c>
      <c r="L45" s="594">
        <f>L43+L44</f>
        <v>110.39999999999962</v>
      </c>
      <c r="M45" s="575">
        <f>IF(K45=0, "    ---- ", IF(ABS(ROUND(100/K45*L45-100,1))&lt;999,ROUND(100/K45*L45-100,1),IF(ROUND(100/K45*L45-100,1)&gt;999,999,-999)))</f>
        <v>94.3</v>
      </c>
      <c r="N45" s="593">
        <f>N43+N44</f>
        <v>19</v>
      </c>
      <c r="O45" s="594">
        <f>O43+O44</f>
        <v>11</v>
      </c>
      <c r="P45" s="575">
        <f>IF(N45=0, "    ---- ", IF(ABS(ROUND(100/N45*O45-100,1))&lt;999,ROUND(100/N45*O45-100,1),IF(ROUND(100/N45*O45-100,1)&gt;999,999,-999)))</f>
        <v>-42.1</v>
      </c>
      <c r="Q45" s="593">
        <f>Q43+Q44</f>
        <v>1294.552233170002</v>
      </c>
      <c r="R45" s="594">
        <f>R43+R44</f>
        <v>1438.1613172000059</v>
      </c>
      <c r="S45" s="575">
        <f>IF(Q45=0, "    ---- ", IF(ABS(ROUND(100/Q45*R45-100,1))&lt;999,ROUND(100/Q45*R45-100,1),IF(ROUND(100/Q45*R45-100,1)&gt;999,999,-999)))</f>
        <v>11.1</v>
      </c>
      <c r="T45" s="593">
        <f>T43+T44</f>
        <v>-23.599999999999934</v>
      </c>
      <c r="U45" s="594">
        <f>U43+U44</f>
        <v>-25.099999999999973</v>
      </c>
      <c r="V45" s="575">
        <f>IF(T45=0, "    ---- ", IF(ABS(ROUND(100/T45*U45-100,1))&lt;999,ROUND(100/T45*U45-100,1),IF(ROUND(100/T45*U45-100,1)&gt;999,999,-999)))</f>
        <v>6.4</v>
      </c>
      <c r="W45" s="593">
        <f>W43+W44</f>
        <v>485.23469422000022</v>
      </c>
      <c r="X45" s="594">
        <f>X43+X44</f>
        <v>323.20000000000061</v>
      </c>
      <c r="Y45" s="575">
        <f>IF(W45=0, "    ---- ", IF(ABS(ROUND(100/W45*X45-100,1))&lt;999,ROUND(100/W45*X45-100,1),IF(ROUND(100/W45*X45-100,1)&gt;999,999,-999)))</f>
        <v>-33.4</v>
      </c>
      <c r="Z45" s="593">
        <f>Z43+Z44</f>
        <v>567.09700000000066</v>
      </c>
      <c r="AA45" s="594">
        <f>AA43+AA44</f>
        <v>475</v>
      </c>
      <c r="AB45" s="575">
        <f>IF(Z45=0, "    ---- ", IF(ABS(ROUND(100/Z45*AA45-100,1))&lt;999,ROUND(100/Z45*AA45-100,1),IF(ROUND(100/Z45*AA45-100,1)&gt;999,999,-999)))</f>
        <v>-16.2</v>
      </c>
      <c r="AC45" s="593">
        <f>AC43+AC44</f>
        <v>11</v>
      </c>
      <c r="AD45" s="594">
        <f>AD43+AD44</f>
        <v>9</v>
      </c>
      <c r="AE45" s="575">
        <f>IF(AC45=0, "    ---- ", IF(ABS(ROUND(100/AC45*AD45-100,1))&lt;999,ROUND(100/AC45*AD45-100,1),IF(ROUND(100/AC45*AD45-100,1)&gt;999,999,-999)))</f>
        <v>-18.2</v>
      </c>
      <c r="AF45" s="593">
        <f>AF43+AF44</f>
        <v>394.71237077999734</v>
      </c>
      <c r="AG45" s="594">
        <f>AG43+AG44</f>
        <v>409.30720792119865</v>
      </c>
      <c r="AH45" s="575">
        <f>IF(AF45=0, "    ---- ", IF(ABS(ROUND(100/AF45*AG45-100,1))&lt;999,ROUND(100/AF45*AG45-100,1),IF(ROUND(100/AF45*AG45-100,1)&gt;999,999,-999)))</f>
        <v>3.7</v>
      </c>
      <c r="AI45" s="593">
        <f>AI43+AI44</f>
        <v>1236.0999999999999</v>
      </c>
      <c r="AJ45" s="594">
        <f>AJ43+AJ44</f>
        <v>1935.6999999999996</v>
      </c>
      <c r="AK45" s="575">
        <f>IF(AI45=0, "    ---- ", IF(ABS(ROUND(100/AI45*AJ45-100,1))&lt;999,ROUND(100/AI45*AJ45-100,1),IF(ROUND(100/AI45*AJ45-100,1)&gt;999,999,-999)))</f>
        <v>56.6</v>
      </c>
      <c r="AL45" s="575">
        <f t="shared" si="38"/>
        <v>5641.0212981699988</v>
      </c>
      <c r="AM45" s="575">
        <f t="shared" si="39"/>
        <v>5673.3285251212028</v>
      </c>
      <c r="AN45" s="575">
        <f t="shared" si="12"/>
        <v>0.6</v>
      </c>
      <c r="AO45" s="595"/>
      <c r="AP45" s="596"/>
      <c r="AQ45" s="597"/>
    </row>
    <row r="46" spans="1:43" s="592" customFormat="1" ht="18.75" customHeight="1" x14ac:dyDescent="0.3">
      <c r="A46" s="598"/>
      <c r="B46" s="599"/>
      <c r="C46" s="600"/>
      <c r="D46" s="601"/>
      <c r="E46" s="599"/>
      <c r="F46" s="600"/>
      <c r="G46" s="581"/>
      <c r="H46" s="599"/>
      <c r="I46" s="600"/>
      <c r="J46" s="581"/>
      <c r="K46" s="599"/>
      <c r="L46" s="600"/>
      <c r="M46" s="601"/>
      <c r="N46" s="599"/>
      <c r="O46" s="600"/>
      <c r="P46" s="581"/>
      <c r="Q46" s="599"/>
      <c r="R46" s="600"/>
      <c r="S46" s="581"/>
      <c r="T46" s="599"/>
      <c r="U46" s="600"/>
      <c r="V46" s="581"/>
      <c r="W46" s="599"/>
      <c r="X46" s="600"/>
      <c r="Y46" s="581"/>
      <c r="Z46" s="599"/>
      <c r="AA46" s="600"/>
      <c r="AB46" s="581"/>
      <c r="AC46" s="599"/>
      <c r="AD46" s="600"/>
      <c r="AE46" s="581"/>
      <c r="AF46" s="599"/>
      <c r="AG46" s="600"/>
      <c r="AH46" s="581"/>
      <c r="AI46" s="599"/>
      <c r="AJ46" s="600"/>
      <c r="AK46" s="581"/>
      <c r="AL46" s="601"/>
      <c r="AM46" s="601"/>
      <c r="AN46" s="581"/>
      <c r="AO46" s="602"/>
      <c r="AP46" s="602"/>
      <c r="AQ46" s="603"/>
    </row>
    <row r="47" spans="1:43" s="604" customFormat="1" ht="18.75" customHeight="1" x14ac:dyDescent="0.3">
      <c r="A47" s="624" t="s">
        <v>337</v>
      </c>
      <c r="B47" s="624"/>
      <c r="C47" s="624"/>
      <c r="D47" s="624"/>
      <c r="E47" s="624"/>
      <c r="F47" s="624"/>
      <c r="G47" s="624"/>
      <c r="H47" s="624"/>
      <c r="I47" s="624"/>
      <c r="J47" s="624"/>
      <c r="K47" s="624"/>
      <c r="L47" s="624"/>
      <c r="M47" s="624"/>
      <c r="N47" s="624"/>
      <c r="O47" s="624"/>
      <c r="P47" s="624"/>
      <c r="Q47" s="624"/>
      <c r="R47" s="624"/>
      <c r="S47" s="624"/>
      <c r="T47" s="624"/>
      <c r="U47" s="624"/>
      <c r="V47" s="624"/>
      <c r="W47" s="624"/>
      <c r="X47" s="624"/>
      <c r="Y47" s="624"/>
      <c r="Z47" s="624"/>
      <c r="AA47" s="624"/>
      <c r="AB47" s="624"/>
      <c r="AC47" s="624"/>
      <c r="AD47" s="624"/>
      <c r="AE47" s="624"/>
      <c r="AF47" s="624"/>
      <c r="AG47" s="624"/>
      <c r="AH47" s="624"/>
      <c r="AI47" s="624"/>
      <c r="AJ47" s="624"/>
      <c r="AK47" s="624"/>
      <c r="AL47" s="624"/>
      <c r="AM47" s="624"/>
      <c r="AN47" s="624"/>
      <c r="AO47" s="624"/>
      <c r="AP47" s="624"/>
      <c r="AQ47" s="624"/>
    </row>
    <row r="48" spans="1:43" s="605" customFormat="1" ht="18.75" customHeight="1" x14ac:dyDescent="0.3">
      <c r="A48" s="624" t="s">
        <v>338</v>
      </c>
      <c r="B48" s="624"/>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row>
    <row r="49" spans="1:43" s="605" customFormat="1" ht="18.75" customHeight="1" x14ac:dyDescent="0.3">
      <c r="A49" s="624" t="s">
        <v>339</v>
      </c>
      <c r="B49" s="624"/>
      <c r="C49" s="624"/>
      <c r="D49" s="624"/>
      <c r="E49" s="624"/>
      <c r="F49" s="624"/>
      <c r="G49" s="624"/>
      <c r="H49" s="624"/>
      <c r="I49" s="624"/>
      <c r="J49" s="624"/>
      <c r="K49" s="624"/>
      <c r="L49" s="624"/>
      <c r="M49" s="624"/>
      <c r="N49" s="624"/>
      <c r="O49" s="624"/>
      <c r="P49" s="624"/>
      <c r="Q49" s="624"/>
      <c r="R49" s="624"/>
      <c r="S49" s="624"/>
      <c r="T49" s="624"/>
      <c r="U49" s="624"/>
      <c r="V49" s="624"/>
      <c r="W49" s="624"/>
      <c r="X49" s="624"/>
      <c r="Y49" s="624"/>
      <c r="Z49" s="624"/>
      <c r="AA49" s="624"/>
      <c r="AB49" s="624"/>
      <c r="AC49" s="624"/>
      <c r="AD49" s="624"/>
      <c r="AE49" s="624"/>
      <c r="AF49" s="624"/>
      <c r="AG49" s="624"/>
      <c r="AH49" s="624"/>
      <c r="AI49" s="624"/>
      <c r="AJ49" s="624"/>
      <c r="AK49" s="624"/>
      <c r="AL49" s="624"/>
      <c r="AM49" s="624"/>
      <c r="AN49" s="624"/>
      <c r="AO49" s="624"/>
      <c r="AP49" s="624"/>
      <c r="AQ49" s="624"/>
    </row>
    <row r="50" spans="1:43" s="605" customFormat="1" ht="18.75" customHeight="1" x14ac:dyDescent="0.3">
      <c r="A50" s="624" t="s">
        <v>340</v>
      </c>
      <c r="B50" s="624"/>
      <c r="C50" s="624"/>
      <c r="D50" s="624"/>
      <c r="E50" s="624"/>
      <c r="F50" s="624"/>
      <c r="G50" s="624"/>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c r="AG50" s="624"/>
      <c r="AH50" s="624"/>
      <c r="AI50" s="624"/>
      <c r="AJ50" s="624"/>
      <c r="AK50" s="624"/>
      <c r="AL50" s="624"/>
      <c r="AM50" s="624"/>
      <c r="AN50" s="624"/>
      <c r="AO50" s="624"/>
      <c r="AP50" s="624"/>
      <c r="AQ50" s="624"/>
    </row>
    <row r="51" spans="1:43" s="605" customFormat="1" ht="18.75" customHeight="1" x14ac:dyDescent="0.3">
      <c r="A51" s="624" t="s">
        <v>341</v>
      </c>
      <c r="B51" s="624"/>
      <c r="C51" s="624"/>
      <c r="D51" s="624"/>
      <c r="E51" s="624"/>
      <c r="F51" s="624"/>
      <c r="G51" s="624"/>
      <c r="H51" s="624"/>
      <c r="I51" s="624"/>
      <c r="J51" s="624"/>
      <c r="K51" s="624"/>
      <c r="L51" s="624"/>
      <c r="M51" s="624"/>
      <c r="N51" s="624"/>
      <c r="O51" s="624"/>
      <c r="P51" s="624"/>
      <c r="Q51" s="624"/>
      <c r="R51" s="624"/>
      <c r="S51" s="624"/>
      <c r="T51" s="624"/>
      <c r="U51" s="624"/>
      <c r="V51" s="624"/>
      <c r="W51" s="624"/>
      <c r="X51" s="624"/>
      <c r="Y51" s="624"/>
      <c r="Z51" s="624"/>
      <c r="AA51" s="624"/>
      <c r="AB51" s="624"/>
      <c r="AC51" s="624"/>
      <c r="AD51" s="624"/>
      <c r="AE51" s="624"/>
      <c r="AF51" s="624"/>
      <c r="AG51" s="624"/>
      <c r="AH51" s="624"/>
      <c r="AI51" s="624"/>
      <c r="AJ51" s="624"/>
      <c r="AK51" s="624"/>
      <c r="AL51" s="624"/>
      <c r="AM51" s="624"/>
      <c r="AN51" s="624"/>
      <c r="AO51" s="624"/>
      <c r="AP51" s="624"/>
      <c r="AQ51" s="624"/>
    </row>
    <row r="52" spans="1:43" s="605" customFormat="1" ht="18.75" customHeight="1" x14ac:dyDescent="0.3">
      <c r="A52" s="624" t="s">
        <v>342</v>
      </c>
      <c r="B52" s="624"/>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c r="AC52" s="624"/>
      <c r="AD52" s="624"/>
      <c r="AE52" s="624"/>
      <c r="AF52" s="624"/>
      <c r="AG52" s="624"/>
      <c r="AH52" s="624"/>
      <c r="AI52" s="624"/>
      <c r="AJ52" s="624"/>
      <c r="AK52" s="624"/>
      <c r="AL52" s="624"/>
      <c r="AM52" s="624"/>
      <c r="AN52" s="624"/>
      <c r="AO52" s="624"/>
      <c r="AP52" s="624"/>
      <c r="AQ52" s="624"/>
    </row>
    <row r="53" spans="1:43" s="605" customFormat="1" ht="18.75" customHeight="1" x14ac:dyDescent="0.3">
      <c r="A53" s="624" t="s">
        <v>343</v>
      </c>
      <c r="B53" s="624"/>
      <c r="C53" s="624"/>
      <c r="D53" s="624"/>
      <c r="E53" s="624"/>
      <c r="F53" s="624"/>
      <c r="G53" s="624"/>
      <c r="H53" s="624"/>
      <c r="I53" s="624"/>
      <c r="J53" s="624"/>
      <c r="K53" s="624"/>
      <c r="L53" s="624"/>
      <c r="M53" s="624"/>
      <c r="N53" s="624"/>
      <c r="O53" s="624"/>
      <c r="P53" s="624"/>
      <c r="Q53" s="624"/>
      <c r="R53" s="624"/>
      <c r="S53" s="624"/>
      <c r="T53" s="624"/>
      <c r="U53" s="624"/>
      <c r="V53" s="624"/>
      <c r="W53" s="624"/>
      <c r="X53" s="624"/>
      <c r="Y53" s="624"/>
      <c r="Z53" s="624"/>
      <c r="AA53" s="624"/>
      <c r="AB53" s="624"/>
      <c r="AC53" s="624"/>
      <c r="AD53" s="624"/>
      <c r="AE53" s="624"/>
      <c r="AF53" s="624"/>
      <c r="AG53" s="624"/>
      <c r="AH53" s="624"/>
      <c r="AI53" s="624"/>
      <c r="AJ53" s="624"/>
      <c r="AK53" s="624"/>
      <c r="AL53" s="624"/>
      <c r="AM53" s="624"/>
      <c r="AN53" s="624"/>
      <c r="AO53" s="624"/>
      <c r="AP53" s="624"/>
      <c r="AQ53" s="624"/>
    </row>
    <row r="54" spans="1:43" s="605" customFormat="1" ht="18.75" customHeight="1" x14ac:dyDescent="0.3">
      <c r="A54" s="624" t="s">
        <v>344</v>
      </c>
      <c r="B54" s="624"/>
      <c r="C54" s="624"/>
      <c r="D54" s="624"/>
      <c r="E54" s="624"/>
      <c r="F54" s="624"/>
      <c r="G54" s="624"/>
      <c r="H54" s="624"/>
      <c r="I54" s="624"/>
      <c r="J54" s="624"/>
      <c r="K54" s="624"/>
      <c r="L54" s="624"/>
      <c r="M54" s="624"/>
      <c r="N54" s="624"/>
      <c r="O54" s="624"/>
      <c r="P54" s="624"/>
      <c r="Q54" s="624"/>
      <c r="R54" s="624"/>
      <c r="S54" s="624"/>
      <c r="T54" s="624"/>
      <c r="U54" s="624"/>
      <c r="V54" s="624"/>
      <c r="W54" s="624"/>
      <c r="X54" s="624"/>
      <c r="Y54" s="624"/>
      <c r="Z54" s="624"/>
      <c r="AA54" s="624"/>
      <c r="AB54" s="624"/>
      <c r="AC54" s="624"/>
      <c r="AD54" s="624"/>
      <c r="AE54" s="624"/>
      <c r="AF54" s="624"/>
      <c r="AG54" s="624"/>
      <c r="AH54" s="624"/>
      <c r="AI54" s="624"/>
      <c r="AJ54" s="624"/>
      <c r="AK54" s="624"/>
      <c r="AL54" s="624"/>
      <c r="AM54" s="624"/>
      <c r="AN54" s="624"/>
      <c r="AO54" s="624"/>
      <c r="AP54" s="624"/>
      <c r="AQ54" s="624"/>
    </row>
    <row r="55" spans="1:43" s="605" customFormat="1" ht="18.75" customHeight="1" x14ac:dyDescent="0.3">
      <c r="A55" s="624" t="s">
        <v>345</v>
      </c>
      <c r="B55" s="624"/>
      <c r="C55" s="624"/>
      <c r="D55" s="624"/>
      <c r="E55" s="624"/>
      <c r="F55" s="624"/>
      <c r="G55" s="624"/>
      <c r="H55" s="624"/>
      <c r="I55" s="624"/>
      <c r="J55" s="624"/>
      <c r="K55" s="624"/>
      <c r="L55" s="624"/>
      <c r="M55" s="624"/>
      <c r="N55" s="624"/>
      <c r="O55" s="624"/>
      <c r="P55" s="624"/>
      <c r="Q55" s="624"/>
      <c r="R55" s="624"/>
      <c r="S55" s="624"/>
      <c r="T55" s="624"/>
      <c r="U55" s="624"/>
      <c r="V55" s="624"/>
      <c r="W55" s="624"/>
      <c r="X55" s="624"/>
      <c r="Y55" s="624"/>
      <c r="Z55" s="624"/>
      <c r="AA55" s="624"/>
      <c r="AB55" s="624"/>
      <c r="AC55" s="624"/>
      <c r="AD55" s="624"/>
      <c r="AE55" s="624"/>
      <c r="AF55" s="624"/>
      <c r="AG55" s="624"/>
      <c r="AH55" s="624"/>
      <c r="AI55" s="624"/>
      <c r="AJ55" s="624"/>
      <c r="AK55" s="624"/>
      <c r="AL55" s="624"/>
      <c r="AM55" s="624"/>
      <c r="AN55" s="624"/>
      <c r="AO55" s="624"/>
      <c r="AP55" s="624"/>
      <c r="AQ55" s="624"/>
    </row>
    <row r="56" spans="1:43" s="605" customFormat="1" ht="18.75" customHeight="1" x14ac:dyDescent="0.3">
      <c r="A56" s="624" t="s">
        <v>346</v>
      </c>
      <c r="B56" s="624"/>
      <c r="C56" s="624"/>
      <c r="D56" s="624"/>
      <c r="E56" s="624"/>
      <c r="F56" s="624"/>
      <c r="G56" s="624"/>
      <c r="H56" s="624"/>
      <c r="I56" s="624"/>
      <c r="J56" s="624"/>
      <c r="K56" s="624"/>
      <c r="L56" s="624"/>
      <c r="M56" s="624"/>
      <c r="N56" s="624"/>
      <c r="O56" s="624"/>
      <c r="P56" s="624"/>
      <c r="Q56" s="624"/>
      <c r="R56" s="624"/>
      <c r="S56" s="624"/>
      <c r="T56" s="624"/>
      <c r="U56" s="624"/>
      <c r="V56" s="624"/>
      <c r="W56" s="624"/>
      <c r="X56" s="624"/>
      <c r="Y56" s="624"/>
      <c r="Z56" s="624"/>
      <c r="AA56" s="624"/>
      <c r="AB56" s="624"/>
      <c r="AC56" s="624"/>
      <c r="AD56" s="624"/>
      <c r="AE56" s="624"/>
      <c r="AF56" s="624"/>
      <c r="AG56" s="624"/>
      <c r="AH56" s="624"/>
      <c r="AI56" s="624"/>
      <c r="AJ56" s="624"/>
      <c r="AK56" s="624"/>
      <c r="AL56" s="624"/>
      <c r="AM56" s="624"/>
      <c r="AN56" s="624"/>
      <c r="AO56" s="624"/>
      <c r="AP56" s="624"/>
      <c r="AQ56" s="624"/>
    </row>
    <row r="57" spans="1:43" s="604" customFormat="1" ht="18.75" customHeight="1" x14ac:dyDescent="0.3">
      <c r="A57" s="625" t="s">
        <v>347</v>
      </c>
      <c r="B57" s="625"/>
      <c r="C57" s="625"/>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625"/>
      <c r="AI57" s="625"/>
      <c r="AJ57" s="625"/>
      <c r="AK57" s="625"/>
      <c r="AL57" s="625"/>
      <c r="AM57" s="625"/>
      <c r="AN57" s="625"/>
      <c r="AO57" s="625"/>
      <c r="AP57" s="625"/>
      <c r="AQ57" s="625"/>
    </row>
    <row r="58" spans="1:43" s="607" customFormat="1" ht="18.75" customHeight="1" x14ac:dyDescent="0.3">
      <c r="A58" s="589" t="s">
        <v>263</v>
      </c>
      <c r="B58" s="589"/>
      <c r="C58" s="606"/>
      <c r="D58" s="606"/>
      <c r="E58" s="606"/>
      <c r="F58" s="606"/>
      <c r="G58" s="606"/>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606"/>
      <c r="AJ58" s="606"/>
      <c r="AK58" s="606"/>
      <c r="AL58" s="606"/>
      <c r="AM58" s="606"/>
      <c r="AN58" s="606"/>
      <c r="AO58" s="606"/>
      <c r="AP58" s="606"/>
    </row>
    <row r="59" spans="1:43" s="607" customFormat="1" ht="18.75" customHeight="1" x14ac:dyDescent="0.3">
      <c r="A59" s="589" t="s">
        <v>264</v>
      </c>
    </row>
    <row r="60" spans="1:43" s="607" customFormat="1" ht="18.75" customHeight="1" x14ac:dyDescent="0.3">
      <c r="A60" s="589" t="s">
        <v>265</v>
      </c>
    </row>
    <row r="61" spans="1:43" s="607" customFormat="1" ht="18.75" x14ac:dyDescent="0.3"/>
    <row r="62" spans="1:43" s="608" customFormat="1" x14ac:dyDescent="0.2">
      <c r="C62" s="609"/>
      <c r="H62" s="609"/>
      <c r="I62" s="609"/>
      <c r="AL62" s="610"/>
      <c r="AM62" s="611"/>
    </row>
  </sheetData>
  <mergeCells count="26">
    <mergeCell ref="E5:G5"/>
    <mergeCell ref="H5:J5"/>
    <mergeCell ref="K5:M5"/>
    <mergeCell ref="N5:P5"/>
    <mergeCell ref="Q5:S5"/>
    <mergeCell ref="AO5:AQ5"/>
    <mergeCell ref="B6:D6"/>
    <mergeCell ref="E6:G6"/>
    <mergeCell ref="H6:J6"/>
    <mergeCell ref="K6:M6"/>
    <mergeCell ref="N6:P6"/>
    <mergeCell ref="Q6:S6"/>
    <mergeCell ref="T6:V6"/>
    <mergeCell ref="W6:Y6"/>
    <mergeCell ref="Z6:AB6"/>
    <mergeCell ref="T5:V5"/>
    <mergeCell ref="Z5:AB5"/>
    <mergeCell ref="AF5:AH5"/>
    <mergeCell ref="AI5:AK5"/>
    <mergeCell ref="AL5:AN5"/>
    <mergeCell ref="B5:D5"/>
    <mergeCell ref="AC6:AE6"/>
    <mergeCell ref="AF6:AH6"/>
    <mergeCell ref="AI6:AK6"/>
    <mergeCell ref="AL6:AN6"/>
    <mergeCell ref="AO6:AQ6"/>
  </mergeCells>
  <conditionalFormatting sqref="K14">
    <cfRule type="expression" dxfId="221" priority="118">
      <formula>#REF! ="14≠11+12+13"</formula>
    </cfRule>
  </conditionalFormatting>
  <conditionalFormatting sqref="K21">
    <cfRule type="expression" dxfId="220" priority="119">
      <formula>#REF! ="21≠19+20"</formula>
    </cfRule>
  </conditionalFormatting>
  <conditionalFormatting sqref="K29">
    <cfRule type="expression" dxfId="219" priority="120">
      <formula>#REF! ="30≠24+25+26+27+28+29"</formula>
    </cfRule>
  </conditionalFormatting>
  <conditionalFormatting sqref="K34">
    <cfRule type="expression" dxfId="218" priority="121">
      <formula>#REF! ="35≠14+15+16+17+22+30+31+32+33+34"</formula>
    </cfRule>
  </conditionalFormatting>
  <conditionalFormatting sqref="K45">
    <cfRule type="expression" dxfId="217" priority="122">
      <formula>#REF! ="46≠35+38+39+40+43+45"</formula>
    </cfRule>
  </conditionalFormatting>
  <conditionalFormatting sqref="N14">
    <cfRule type="expression" dxfId="216" priority="108">
      <formula>#REF! ="14≠11+12+13"</formula>
    </cfRule>
  </conditionalFormatting>
  <conditionalFormatting sqref="N21">
    <cfRule type="expression" dxfId="215" priority="109">
      <formula>#REF! ="21≠19+20"</formula>
    </cfRule>
  </conditionalFormatting>
  <conditionalFormatting sqref="N29">
    <cfRule type="expression" dxfId="214" priority="110">
      <formula>#REF! ="30≠24+25+26+27+28+29"</formula>
    </cfRule>
  </conditionalFormatting>
  <conditionalFormatting sqref="N34">
    <cfRule type="expression" dxfId="213" priority="111">
      <formula>#REF! ="35≠14+15+16+17+22+30+31+32+33+34"</formula>
    </cfRule>
  </conditionalFormatting>
  <conditionalFormatting sqref="N45">
    <cfRule type="expression" dxfId="212" priority="112">
      <formula>#REF! ="46≠35+38+39+40+43+45"</formula>
    </cfRule>
  </conditionalFormatting>
  <conditionalFormatting sqref="AC14">
    <cfRule type="expression" dxfId="211" priority="98">
      <formula>#REF! ="14≠11+12+13"</formula>
    </cfRule>
  </conditionalFormatting>
  <conditionalFormatting sqref="AC21">
    <cfRule type="expression" dxfId="210" priority="99">
      <formula>#REF! ="21≠19+20"</formula>
    </cfRule>
  </conditionalFormatting>
  <conditionalFormatting sqref="AC29">
    <cfRule type="expression" dxfId="209" priority="100">
      <formula>#REF! ="30≠24+25+26+27+28+29"</formula>
    </cfRule>
  </conditionalFormatting>
  <conditionalFormatting sqref="AC34">
    <cfRule type="expression" dxfId="208" priority="101">
      <formula>#REF! ="35≠14+15+16+17+22+30+31+32+33+34"</formula>
    </cfRule>
  </conditionalFormatting>
  <conditionalFormatting sqref="AC45">
    <cfRule type="expression" dxfId="207" priority="102">
      <formula>#REF! ="46≠35+38+39+40+43+45"</formula>
    </cfRule>
  </conditionalFormatting>
  <conditionalFormatting sqref="Q14">
    <cfRule type="expression" dxfId="206" priority="88">
      <formula>#REF! ="14≠11+12+13"</formula>
    </cfRule>
  </conditionalFormatting>
  <conditionalFormatting sqref="Q21">
    <cfRule type="expression" dxfId="205" priority="89">
      <formula>#REF! ="21≠19+20"</formula>
    </cfRule>
  </conditionalFormatting>
  <conditionalFormatting sqref="Q29">
    <cfRule type="expression" dxfId="204" priority="90">
      <formula>#REF! ="30≠24+25+26+27+28+29"</formula>
    </cfRule>
  </conditionalFormatting>
  <conditionalFormatting sqref="Q34">
    <cfRule type="expression" dxfId="203" priority="91">
      <formula>#REF! ="35≠14+15+16+17+22+30+31+32+33+34"</formula>
    </cfRule>
  </conditionalFormatting>
  <conditionalFormatting sqref="Q45">
    <cfRule type="expression" dxfId="202" priority="92">
      <formula>#REF! ="46≠35+38+39+40+43+45"</formula>
    </cfRule>
  </conditionalFormatting>
  <conditionalFormatting sqref="T14">
    <cfRule type="expression" dxfId="201" priority="78">
      <formula>#REF! ="14≠11+12+13"</formula>
    </cfRule>
  </conditionalFormatting>
  <conditionalFormatting sqref="T21">
    <cfRule type="expression" dxfId="200" priority="79">
      <formula>#REF! ="21≠19+20"</formula>
    </cfRule>
  </conditionalFormatting>
  <conditionalFormatting sqref="T29">
    <cfRule type="expression" dxfId="199" priority="80">
      <formula>#REF! ="30≠24+25+26+27+28+29"</formula>
    </cfRule>
  </conditionalFormatting>
  <conditionalFormatting sqref="T34">
    <cfRule type="expression" dxfId="198" priority="81">
      <formula>#REF! ="35≠14+15+16+17+22+30+31+32+33+34"</formula>
    </cfRule>
  </conditionalFormatting>
  <conditionalFormatting sqref="T45">
    <cfRule type="expression" dxfId="197" priority="82">
      <formula>#REF! ="46≠35+38+39+40+43+45"</formula>
    </cfRule>
  </conditionalFormatting>
  <conditionalFormatting sqref="W14">
    <cfRule type="expression" dxfId="196" priority="68">
      <formula>#REF! ="14≠11+12+13"</formula>
    </cfRule>
  </conditionalFormatting>
  <conditionalFormatting sqref="W21">
    <cfRule type="expression" dxfId="195" priority="69">
      <formula>#REF! ="21≠19+20"</formula>
    </cfRule>
  </conditionalFormatting>
  <conditionalFormatting sqref="W29">
    <cfRule type="expression" dxfId="194" priority="70">
      <formula>#REF! ="30≠24+25+26+27+28+29"</formula>
    </cfRule>
  </conditionalFormatting>
  <conditionalFormatting sqref="W34">
    <cfRule type="expression" dxfId="193" priority="71">
      <formula>#REF! ="35≠14+15+16+17+22+30+31+32+33+34"</formula>
    </cfRule>
  </conditionalFormatting>
  <conditionalFormatting sqref="W45">
    <cfRule type="expression" dxfId="192" priority="72">
      <formula>#REF! ="46≠35+38+39+40+43+45"</formula>
    </cfRule>
  </conditionalFormatting>
  <conditionalFormatting sqref="AF14">
    <cfRule type="expression" dxfId="191" priority="58">
      <formula>#REF! ="14≠11+12+13"</formula>
    </cfRule>
  </conditionalFormatting>
  <conditionalFormatting sqref="AF21">
    <cfRule type="expression" dxfId="190" priority="59">
      <formula>#REF! ="21≠19+20"</formula>
    </cfRule>
  </conditionalFormatting>
  <conditionalFormatting sqref="AF29">
    <cfRule type="expression" dxfId="189" priority="60">
      <formula>#REF! ="30≠24+25+26+27+28+29"</formula>
    </cfRule>
  </conditionalFormatting>
  <conditionalFormatting sqref="AF34">
    <cfRule type="expression" dxfId="188" priority="61">
      <formula>#REF! ="35≠14+15+16+17+22+30+31+32+33+34"</formula>
    </cfRule>
  </conditionalFormatting>
  <conditionalFormatting sqref="AF45">
    <cfRule type="expression" dxfId="187" priority="62">
      <formula>#REF! ="46≠35+38+39+40+43+45"</formula>
    </cfRule>
  </conditionalFormatting>
  <conditionalFormatting sqref="AI14">
    <cfRule type="expression" dxfId="186" priority="48">
      <formula>#REF! ="14≠11+12+13"</formula>
    </cfRule>
  </conditionalFormatting>
  <conditionalFormatting sqref="AI21">
    <cfRule type="expression" dxfId="185" priority="49">
      <formula>#REF! ="21≠19+20"</formula>
    </cfRule>
  </conditionalFormatting>
  <conditionalFormatting sqref="AI29">
    <cfRule type="expression" dxfId="184" priority="50">
      <formula>#REF! ="30≠24+25+26+27+28+29"</formula>
    </cfRule>
  </conditionalFormatting>
  <conditionalFormatting sqref="AI34">
    <cfRule type="expression" dxfId="183" priority="51">
      <formula>#REF! ="35≠14+15+16+17+22+30+31+32+33+34"</formula>
    </cfRule>
  </conditionalFormatting>
  <conditionalFormatting sqref="AI45">
    <cfRule type="expression" dxfId="182" priority="52">
      <formula>#REF! ="46≠35+38+39+40+43+45"</formula>
    </cfRule>
  </conditionalFormatting>
  <conditionalFormatting sqref="Z14">
    <cfRule type="expression" dxfId="181" priority="38">
      <formula>#REF! ="14≠11+12+13"</formula>
    </cfRule>
  </conditionalFormatting>
  <conditionalFormatting sqref="Z21">
    <cfRule type="expression" dxfId="180" priority="39">
      <formula>#REF! ="21≠19+20"</formula>
    </cfRule>
  </conditionalFormatting>
  <conditionalFormatting sqref="Z29">
    <cfRule type="expression" dxfId="179" priority="40">
      <formula>#REF! ="30≠24+25+26+27+28+29"</formula>
    </cfRule>
  </conditionalFormatting>
  <conditionalFormatting sqref="Z34">
    <cfRule type="expression" dxfId="178" priority="41">
      <formula>#REF! ="35≠14+15+16+17+22+30+31+32+33+34"</formula>
    </cfRule>
  </conditionalFormatting>
  <conditionalFormatting sqref="Z45">
    <cfRule type="expression" dxfId="177" priority="42">
      <formula>#REF! ="46≠35+38+39+40+43+45"</formula>
    </cfRule>
  </conditionalFormatting>
  <conditionalFormatting sqref="H14">
    <cfRule type="expression" dxfId="176" priority="28">
      <formula>#REF! ="14≠11+12+13"</formula>
    </cfRule>
  </conditionalFormatting>
  <conditionalFormatting sqref="H21">
    <cfRule type="expression" dxfId="175" priority="29">
      <formula>#REF! ="21≠19+20"</formula>
    </cfRule>
  </conditionalFormatting>
  <conditionalFormatting sqref="H29">
    <cfRule type="expression" dxfId="174" priority="30">
      <formula>#REF! ="30≠24+25+26+27+28+29"</formula>
    </cfRule>
  </conditionalFormatting>
  <conditionalFormatting sqref="H34">
    <cfRule type="expression" dxfId="173" priority="31">
      <formula>#REF! ="35≠14+15+16+17+22+30+31+32+33+34"</formula>
    </cfRule>
  </conditionalFormatting>
  <conditionalFormatting sqref="H45">
    <cfRule type="expression" dxfId="172" priority="32">
      <formula>#REF! ="46≠35+38+39+40+43+45"</formula>
    </cfRule>
  </conditionalFormatting>
  <conditionalFormatting sqref="B14">
    <cfRule type="expression" dxfId="171" priority="18">
      <formula>#REF! ="14≠11+12+13"</formula>
    </cfRule>
  </conditionalFormatting>
  <conditionalFormatting sqref="B21">
    <cfRule type="expression" dxfId="170" priority="19">
      <formula>#REF! ="21≠19+20"</formula>
    </cfRule>
  </conditionalFormatting>
  <conditionalFormatting sqref="B29">
    <cfRule type="expression" dxfId="169" priority="20">
      <formula>#REF! ="30≠24+25+26+27+28+29"</formula>
    </cfRule>
  </conditionalFormatting>
  <conditionalFormatting sqref="B34">
    <cfRule type="expression" dxfId="168" priority="21">
      <formula>#REF! ="35≠14+15+16+17+22+30+31+32+33+34"</formula>
    </cfRule>
  </conditionalFormatting>
  <conditionalFormatting sqref="B45">
    <cfRule type="expression" dxfId="167" priority="22">
      <formula>#REF! ="46≠35+38+39+40+43+45"</formula>
    </cfRule>
  </conditionalFormatting>
  <conditionalFormatting sqref="E14">
    <cfRule type="expression" dxfId="166" priority="8">
      <formula>#REF! ="14≠11+12+13"</formula>
    </cfRule>
  </conditionalFormatting>
  <conditionalFormatting sqref="E21">
    <cfRule type="expression" dxfId="165" priority="9">
      <formula>#REF! ="21≠19+20"</formula>
    </cfRule>
  </conditionalFormatting>
  <conditionalFormatting sqref="E29">
    <cfRule type="expression" dxfId="164" priority="10">
      <formula>#REF! ="30≠24+25+26+27+28+29"</formula>
    </cfRule>
  </conditionalFormatting>
  <conditionalFormatting sqref="E34">
    <cfRule type="expression" dxfId="163" priority="11">
      <formula>#REF! ="35≠14+15+16+17+22+30+31+32+33+34"</formula>
    </cfRule>
  </conditionalFormatting>
  <conditionalFormatting sqref="E45">
    <cfRule type="expression" dxfId="162" priority="12">
      <formula>#REF! ="46≠35+38+39+40+43+45"</formula>
    </cfRule>
  </conditionalFormatting>
  <conditionalFormatting sqref="L14 O14 AD14 R14 U14 X14 AG14 AJ14 AA14 I14 C14 F14 AL14:AM14 AO14:AP14">
    <cfRule type="expression" dxfId="161" priority="325">
      <formula>#REF! ="14≠11+12+13"</formula>
    </cfRule>
  </conditionalFormatting>
  <conditionalFormatting sqref="L21 O21 AD21 R21 U21 X21 AG21 AJ21 AA21 I21 C21 F21 AL21:AM21 AO21:AP21">
    <cfRule type="expression" dxfId="160" priority="327">
      <formula>#REF! ="22≠19+20+21"</formula>
    </cfRule>
  </conditionalFormatting>
  <conditionalFormatting sqref="AO29:AP29 L29 O29 AD29 R29 U29 X29 AG29 AJ29 AA29 I29 C29 F29 AL29:AM29">
    <cfRule type="expression" dxfId="159" priority="329">
      <formula>#REF! ="30≠24+25+26+27+28+29"</formula>
    </cfRule>
  </conditionalFormatting>
  <conditionalFormatting sqref="AO34:AP34 L34 O34 AD34 R34 U34 X34 AG34 AJ34 AA34 I34 C34 F34 AL34:AM34">
    <cfRule type="expression" dxfId="158" priority="331">
      <formula>#REF! ="35≠14+15+16+17+22+30+31+32+33+34"</formula>
    </cfRule>
  </conditionalFormatting>
  <conditionalFormatting sqref="AO45:AP45 L45 O45 AD45 R45 U45 X45 AG45 AJ45 AA45 I45 C45 F45 AL45:AM45">
    <cfRule type="expression" dxfId="157" priority="333">
      <formula>#REF! ="46≠35+38+39+40+43+45"</formula>
    </cfRule>
  </conditionalFormatting>
  <hyperlinks>
    <hyperlink ref="B1" location="Innhold!A1" display="Tilbake"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H130"/>
  <sheetViews>
    <sheetView showGridLines="0" zoomScale="60" zoomScaleNormal="60" workbookViewId="0">
      <pane xSplit="1" ySplit="8" topLeftCell="B9" activePane="bottomRight" state="frozen"/>
      <selection activeCell="J42" sqref="J42"/>
      <selection pane="topRight" activeCell="J42" sqref="J42"/>
      <selection pane="bottomLeft" activeCell="J42" sqref="J42"/>
      <selection pane="bottomRight" activeCell="A4" sqref="A4"/>
    </sheetView>
  </sheetViews>
  <sheetFormatPr baseColWidth="10" defaultColWidth="11.42578125" defaultRowHeight="12.75" x14ac:dyDescent="0.2"/>
  <cols>
    <col min="1" max="1" width="106.7109375" style="483" customWidth="1"/>
    <col min="2" max="37" width="11.7109375" style="483" customWidth="1"/>
    <col min="38" max="38" width="15.140625" style="483" customWidth="1"/>
    <col min="39" max="39" width="13" style="483" customWidth="1"/>
    <col min="40" max="40" width="11.7109375" style="483" customWidth="1"/>
    <col min="41" max="42" width="13" style="483" customWidth="1"/>
    <col min="43" max="43" width="11.7109375" style="483" customWidth="1"/>
    <col min="44" max="16384" width="11.42578125" style="483"/>
  </cols>
  <sheetData>
    <row r="1" spans="1:60" ht="20.25" customHeight="1" x14ac:dyDescent="0.3">
      <c r="A1" s="488" t="s">
        <v>182</v>
      </c>
      <c r="B1" s="489" t="s">
        <v>52</v>
      </c>
      <c r="C1" s="490"/>
      <c r="D1" s="490"/>
      <c r="E1" s="490"/>
      <c r="F1" s="490"/>
      <c r="G1" s="490"/>
      <c r="H1" s="490"/>
      <c r="I1" s="490"/>
      <c r="J1" s="490"/>
      <c r="AR1" s="491"/>
    </row>
    <row r="2" spans="1:60" ht="20.100000000000001" customHeight="1" x14ac:dyDescent="0.3">
      <c r="A2" s="488" t="s">
        <v>183</v>
      </c>
      <c r="AR2" s="491"/>
    </row>
    <row r="3" spans="1:60" ht="20.100000000000001" customHeight="1" x14ac:dyDescent="0.3">
      <c r="A3" s="492" t="s">
        <v>184</v>
      </c>
      <c r="B3" s="493"/>
      <c r="C3" s="493"/>
      <c r="D3" s="493"/>
      <c r="E3" s="493"/>
      <c r="F3" s="493"/>
      <c r="G3" s="493"/>
      <c r="H3" s="493"/>
      <c r="I3" s="493"/>
      <c r="J3" s="493"/>
      <c r="AR3" s="494"/>
    </row>
    <row r="4" spans="1:60" ht="18.75" customHeight="1" x14ac:dyDescent="0.25">
      <c r="A4" s="495" t="s">
        <v>421</v>
      </c>
      <c r="B4" s="496"/>
      <c r="C4" s="496"/>
      <c r="D4" s="497"/>
      <c r="E4" s="496"/>
      <c r="F4" s="496"/>
      <c r="G4" s="497"/>
      <c r="H4" s="498"/>
      <c r="I4" s="496"/>
      <c r="J4" s="497"/>
      <c r="K4" s="499"/>
      <c r="L4" s="499"/>
      <c r="M4" s="499"/>
      <c r="N4" s="500"/>
      <c r="O4" s="499"/>
      <c r="P4" s="501"/>
      <c r="Q4" s="500"/>
      <c r="R4" s="499"/>
      <c r="S4" s="501"/>
      <c r="T4" s="500"/>
      <c r="U4" s="499"/>
      <c r="V4" s="501"/>
      <c r="W4" s="500"/>
      <c r="X4" s="499"/>
      <c r="Y4" s="501"/>
      <c r="Z4" s="500"/>
      <c r="AA4" s="499"/>
      <c r="AB4" s="501"/>
      <c r="AC4" s="500"/>
      <c r="AD4" s="499"/>
      <c r="AE4" s="501"/>
      <c r="AF4" s="500"/>
      <c r="AG4" s="499"/>
      <c r="AH4" s="501"/>
      <c r="AI4" s="500"/>
      <c r="AJ4" s="499"/>
      <c r="AK4" s="501"/>
      <c r="AL4" s="500"/>
      <c r="AM4" s="499"/>
      <c r="AN4" s="501"/>
      <c r="AO4" s="500"/>
      <c r="AP4" s="499"/>
      <c r="AQ4" s="501"/>
      <c r="AR4" s="502"/>
      <c r="AS4" s="503"/>
      <c r="AT4" s="503"/>
      <c r="AU4" s="503"/>
      <c r="AV4" s="503"/>
      <c r="AW4" s="503"/>
      <c r="AX4" s="503"/>
      <c r="AY4" s="503"/>
      <c r="AZ4" s="503"/>
      <c r="BA4" s="503"/>
      <c r="BB4" s="503"/>
      <c r="BC4" s="503"/>
      <c r="BD4" s="503"/>
      <c r="BE4" s="503"/>
      <c r="BF4" s="503"/>
      <c r="BG4" s="503"/>
      <c r="BH4" s="503"/>
    </row>
    <row r="5" spans="1:60" ht="18.75" customHeight="1" x14ac:dyDescent="0.3">
      <c r="A5" s="504" t="s">
        <v>108</v>
      </c>
      <c r="B5" s="745" t="s">
        <v>185</v>
      </c>
      <c r="C5" s="746"/>
      <c r="D5" s="747"/>
      <c r="E5" s="745" t="s">
        <v>186</v>
      </c>
      <c r="F5" s="746"/>
      <c r="G5" s="747"/>
      <c r="H5" s="745" t="s">
        <v>187</v>
      </c>
      <c r="I5" s="746"/>
      <c r="J5" s="747"/>
      <c r="K5" s="745" t="s">
        <v>188</v>
      </c>
      <c r="L5" s="746"/>
      <c r="M5" s="747"/>
      <c r="N5" s="745" t="s">
        <v>189</v>
      </c>
      <c r="O5" s="746"/>
      <c r="P5" s="747"/>
      <c r="Q5" s="505" t="s">
        <v>189</v>
      </c>
      <c r="R5" s="506"/>
      <c r="S5" s="507"/>
      <c r="T5" s="745" t="s">
        <v>64</v>
      </c>
      <c r="U5" s="746"/>
      <c r="V5" s="747"/>
      <c r="W5" s="505"/>
      <c r="X5" s="506"/>
      <c r="Y5" s="507"/>
      <c r="Z5" s="745" t="s">
        <v>190</v>
      </c>
      <c r="AA5" s="746"/>
      <c r="AB5" s="747"/>
      <c r="AC5" s="505"/>
      <c r="AD5" s="506"/>
      <c r="AE5" s="507"/>
      <c r="AF5" s="745"/>
      <c r="AG5" s="746"/>
      <c r="AH5" s="747"/>
      <c r="AI5" s="745" t="s">
        <v>76</v>
      </c>
      <c r="AJ5" s="746"/>
      <c r="AK5" s="747"/>
      <c r="AL5" s="745" t="s">
        <v>2</v>
      </c>
      <c r="AM5" s="746"/>
      <c r="AN5" s="747"/>
      <c r="AO5" s="745" t="s">
        <v>2</v>
      </c>
      <c r="AP5" s="746"/>
      <c r="AQ5" s="747"/>
      <c r="AR5" s="508"/>
      <c r="AS5" s="509"/>
      <c r="AT5" s="748"/>
      <c r="AU5" s="748"/>
      <c r="AV5" s="748"/>
      <c r="AW5" s="748"/>
      <c r="AX5" s="748"/>
      <c r="AY5" s="748"/>
      <c r="AZ5" s="748"/>
      <c r="BA5" s="748"/>
      <c r="BB5" s="748"/>
      <c r="BC5" s="748"/>
      <c r="BD5" s="748"/>
      <c r="BE5" s="748"/>
      <c r="BF5" s="748"/>
      <c r="BG5" s="748"/>
      <c r="BH5" s="748"/>
    </row>
    <row r="6" spans="1:60" ht="21" customHeight="1" x14ac:dyDescent="0.3">
      <c r="A6" s="510"/>
      <c r="B6" s="749" t="s">
        <v>191</v>
      </c>
      <c r="C6" s="750"/>
      <c r="D6" s="751"/>
      <c r="E6" s="749" t="s">
        <v>192</v>
      </c>
      <c r="F6" s="750"/>
      <c r="G6" s="751"/>
      <c r="H6" s="749" t="s">
        <v>192</v>
      </c>
      <c r="I6" s="750"/>
      <c r="J6" s="751"/>
      <c r="K6" s="749" t="s">
        <v>193</v>
      </c>
      <c r="L6" s="750"/>
      <c r="M6" s="751"/>
      <c r="N6" s="749" t="s">
        <v>95</v>
      </c>
      <c r="O6" s="750"/>
      <c r="P6" s="751"/>
      <c r="Q6" s="749" t="s">
        <v>64</v>
      </c>
      <c r="R6" s="750"/>
      <c r="S6" s="751"/>
      <c r="T6" s="749" t="s">
        <v>194</v>
      </c>
      <c r="U6" s="750"/>
      <c r="V6" s="751"/>
      <c r="W6" s="749" t="s">
        <v>69</v>
      </c>
      <c r="X6" s="750"/>
      <c r="Y6" s="751"/>
      <c r="Z6" s="749" t="s">
        <v>191</v>
      </c>
      <c r="AA6" s="750"/>
      <c r="AB6" s="751"/>
      <c r="AC6" s="749" t="s">
        <v>75</v>
      </c>
      <c r="AD6" s="750"/>
      <c r="AE6" s="751"/>
      <c r="AF6" s="749" t="s">
        <v>71</v>
      </c>
      <c r="AG6" s="750"/>
      <c r="AH6" s="751"/>
      <c r="AI6" s="749" t="s">
        <v>192</v>
      </c>
      <c r="AJ6" s="750"/>
      <c r="AK6" s="751"/>
      <c r="AL6" s="749" t="s">
        <v>195</v>
      </c>
      <c r="AM6" s="750"/>
      <c r="AN6" s="751"/>
      <c r="AO6" s="749" t="s">
        <v>196</v>
      </c>
      <c r="AP6" s="750"/>
      <c r="AQ6" s="751"/>
      <c r="AR6" s="508"/>
      <c r="AS6" s="509"/>
      <c r="AT6" s="748"/>
      <c r="AU6" s="748"/>
      <c r="AV6" s="748"/>
      <c r="AW6" s="748"/>
      <c r="AX6" s="748"/>
      <c r="AY6" s="748"/>
      <c r="AZ6" s="748"/>
      <c r="BA6" s="748"/>
      <c r="BB6" s="748"/>
      <c r="BC6" s="748"/>
      <c r="BD6" s="748"/>
      <c r="BE6" s="748"/>
      <c r="BF6" s="748"/>
      <c r="BG6" s="748"/>
      <c r="BH6" s="748"/>
    </row>
    <row r="7" spans="1:60" ht="18.75" customHeight="1" x14ac:dyDescent="0.3">
      <c r="A7" s="510"/>
      <c r="B7" s="542"/>
      <c r="C7" s="542"/>
      <c r="D7" s="511" t="s">
        <v>84</v>
      </c>
      <c r="E7" s="542"/>
      <c r="F7" s="542"/>
      <c r="G7" s="511" t="s">
        <v>84</v>
      </c>
      <c r="H7" s="542"/>
      <c r="I7" s="542"/>
      <c r="J7" s="511" t="s">
        <v>84</v>
      </c>
      <c r="K7" s="542"/>
      <c r="L7" s="542"/>
      <c r="M7" s="511" t="s">
        <v>84</v>
      </c>
      <c r="N7" s="542"/>
      <c r="O7" s="542"/>
      <c r="P7" s="511" t="s">
        <v>84</v>
      </c>
      <c r="Q7" s="542"/>
      <c r="R7" s="542"/>
      <c r="S7" s="511" t="s">
        <v>84</v>
      </c>
      <c r="T7" s="542"/>
      <c r="U7" s="542"/>
      <c r="V7" s="511" t="s">
        <v>84</v>
      </c>
      <c r="W7" s="542"/>
      <c r="X7" s="542"/>
      <c r="Y7" s="511" t="s">
        <v>84</v>
      </c>
      <c r="Z7" s="542"/>
      <c r="AA7" s="542"/>
      <c r="AB7" s="511" t="s">
        <v>84</v>
      </c>
      <c r="AC7" s="542"/>
      <c r="AD7" s="542"/>
      <c r="AE7" s="511" t="s">
        <v>84</v>
      </c>
      <c r="AF7" s="542"/>
      <c r="AG7" s="542"/>
      <c r="AH7" s="511" t="s">
        <v>84</v>
      </c>
      <c r="AI7" s="542"/>
      <c r="AJ7" s="542"/>
      <c r="AK7" s="511" t="s">
        <v>84</v>
      </c>
      <c r="AL7" s="542"/>
      <c r="AM7" s="542"/>
      <c r="AN7" s="511" t="s">
        <v>84</v>
      </c>
      <c r="AO7" s="542"/>
      <c r="AP7" s="542"/>
      <c r="AQ7" s="511" t="s">
        <v>84</v>
      </c>
      <c r="AR7" s="508"/>
      <c r="AS7" s="509"/>
      <c r="AT7" s="509"/>
      <c r="AU7" s="509"/>
      <c r="AV7" s="509"/>
      <c r="AW7" s="509"/>
      <c r="AX7" s="509"/>
      <c r="AY7" s="509"/>
      <c r="AZ7" s="509"/>
      <c r="BA7" s="509"/>
      <c r="BB7" s="509"/>
      <c r="BC7" s="509"/>
      <c r="BD7" s="509"/>
      <c r="BE7" s="509"/>
      <c r="BF7" s="509"/>
      <c r="BG7" s="509"/>
      <c r="BH7" s="509"/>
    </row>
    <row r="8" spans="1:60" ht="18.75" customHeight="1" x14ac:dyDescent="0.25">
      <c r="A8" s="473" t="s">
        <v>197</v>
      </c>
      <c r="B8" s="630">
        <v>2017</v>
      </c>
      <c r="C8" s="630">
        <v>2018</v>
      </c>
      <c r="D8" s="474" t="s">
        <v>86</v>
      </c>
      <c r="E8" s="630">
        <v>2017</v>
      </c>
      <c r="F8" s="630">
        <v>2018</v>
      </c>
      <c r="G8" s="474" t="s">
        <v>86</v>
      </c>
      <c r="H8" s="630">
        <v>2017</v>
      </c>
      <c r="I8" s="630">
        <v>2018</v>
      </c>
      <c r="J8" s="474" t="s">
        <v>86</v>
      </c>
      <c r="K8" s="630">
        <v>2017</v>
      </c>
      <c r="L8" s="630">
        <v>2018</v>
      </c>
      <c r="M8" s="474" t="s">
        <v>86</v>
      </c>
      <c r="N8" s="630">
        <v>2017</v>
      </c>
      <c r="O8" s="630">
        <v>2018</v>
      </c>
      <c r="P8" s="474" t="s">
        <v>86</v>
      </c>
      <c r="Q8" s="630">
        <v>2017</v>
      </c>
      <c r="R8" s="630">
        <v>2018</v>
      </c>
      <c r="S8" s="474" t="s">
        <v>86</v>
      </c>
      <c r="T8" s="630">
        <v>2017</v>
      </c>
      <c r="U8" s="630">
        <v>2018</v>
      </c>
      <c r="V8" s="474" t="s">
        <v>86</v>
      </c>
      <c r="W8" s="630">
        <v>2017</v>
      </c>
      <c r="X8" s="630">
        <v>2018</v>
      </c>
      <c r="Y8" s="474" t="s">
        <v>86</v>
      </c>
      <c r="Z8" s="630">
        <v>2017</v>
      </c>
      <c r="AA8" s="630">
        <v>2018</v>
      </c>
      <c r="AB8" s="474" t="s">
        <v>86</v>
      </c>
      <c r="AC8" s="630">
        <v>2017</v>
      </c>
      <c r="AD8" s="630">
        <v>2018</v>
      </c>
      <c r="AE8" s="474" t="s">
        <v>86</v>
      </c>
      <c r="AF8" s="630">
        <v>2017</v>
      </c>
      <c r="AG8" s="630">
        <v>2018</v>
      </c>
      <c r="AH8" s="474" t="s">
        <v>86</v>
      </c>
      <c r="AI8" s="630">
        <v>2017</v>
      </c>
      <c r="AJ8" s="630">
        <v>2018</v>
      </c>
      <c r="AK8" s="474" t="s">
        <v>86</v>
      </c>
      <c r="AL8" s="630">
        <v>2017</v>
      </c>
      <c r="AM8" s="630">
        <v>2018</v>
      </c>
      <c r="AN8" s="474" t="s">
        <v>86</v>
      </c>
      <c r="AO8" s="630">
        <v>2017</v>
      </c>
      <c r="AP8" s="630">
        <v>2018</v>
      </c>
      <c r="AQ8" s="474" t="s">
        <v>86</v>
      </c>
      <c r="AR8" s="508"/>
      <c r="AS8" s="512"/>
      <c r="AT8" s="513"/>
      <c r="AU8" s="513"/>
      <c r="AV8" s="512"/>
      <c r="AW8" s="513"/>
      <c r="AX8" s="513"/>
      <c r="AY8" s="512"/>
      <c r="AZ8" s="513"/>
      <c r="BA8" s="513"/>
      <c r="BB8" s="512"/>
      <c r="BC8" s="513"/>
      <c r="BD8" s="513"/>
      <c r="BE8" s="512"/>
      <c r="BF8" s="513"/>
      <c r="BG8" s="513"/>
      <c r="BH8" s="512"/>
    </row>
    <row r="9" spans="1:60" ht="18.75" customHeight="1" x14ac:dyDescent="0.3">
      <c r="A9" s="475"/>
      <c r="B9" s="440"/>
      <c r="C9" s="441"/>
      <c r="D9" s="441"/>
      <c r="E9" s="440"/>
      <c r="F9" s="441"/>
      <c r="G9" s="441"/>
      <c r="H9" s="440"/>
      <c r="I9" s="441"/>
      <c r="J9" s="441"/>
      <c r="K9" s="445"/>
      <c r="L9" s="442"/>
      <c r="M9" s="442"/>
      <c r="N9" s="443"/>
      <c r="O9" s="444"/>
      <c r="P9" s="342"/>
      <c r="Q9" s="445"/>
      <c r="R9" s="442"/>
      <c r="S9" s="342"/>
      <c r="T9" s="445"/>
      <c r="U9" s="442"/>
      <c r="V9" s="342"/>
      <c r="W9" s="445"/>
      <c r="X9" s="442"/>
      <c r="Y9" s="342"/>
      <c r="Z9" s="445"/>
      <c r="AA9" s="442"/>
      <c r="AB9" s="342"/>
      <c r="AC9" s="445"/>
      <c r="AD9" s="442"/>
      <c r="AE9" s="342"/>
      <c r="AF9" s="445"/>
      <c r="AG9" s="442"/>
      <c r="AH9" s="342"/>
      <c r="AI9" s="445"/>
      <c r="AJ9" s="442"/>
      <c r="AK9" s="342"/>
      <c r="AL9" s="445"/>
      <c r="AM9" s="445"/>
      <c r="AN9" s="342"/>
      <c r="AO9" s="445"/>
      <c r="AP9" s="445"/>
      <c r="AQ9" s="342"/>
      <c r="AR9" s="508"/>
      <c r="AS9" s="508"/>
    </row>
    <row r="10" spans="1:60" s="484" customFormat="1" ht="18.75" customHeight="1" x14ac:dyDescent="0.3">
      <c r="A10" s="476" t="s">
        <v>198</v>
      </c>
      <c r="B10" s="446"/>
      <c r="C10" s="447"/>
      <c r="D10" s="447"/>
      <c r="E10" s="446"/>
      <c r="F10" s="447"/>
      <c r="G10" s="447"/>
      <c r="H10" s="446"/>
      <c r="I10" s="447"/>
      <c r="J10" s="447"/>
      <c r="K10" s="445"/>
      <c r="L10" s="442"/>
      <c r="M10" s="442"/>
      <c r="N10" s="443"/>
      <c r="O10" s="444"/>
      <c r="P10" s="342"/>
      <c r="Q10" s="445"/>
      <c r="R10" s="442"/>
      <c r="S10" s="342"/>
      <c r="T10" s="445"/>
      <c r="U10" s="442"/>
      <c r="V10" s="342"/>
      <c r="W10" s="445"/>
      <c r="X10" s="442"/>
      <c r="Y10" s="342"/>
      <c r="Z10" s="445"/>
      <c r="AA10" s="442"/>
      <c r="AB10" s="342"/>
      <c r="AC10" s="445"/>
      <c r="AD10" s="442"/>
      <c r="AE10" s="342"/>
      <c r="AF10" s="445"/>
      <c r="AG10" s="442"/>
      <c r="AH10" s="342"/>
      <c r="AI10" s="445"/>
      <c r="AJ10" s="442"/>
      <c r="AK10" s="342"/>
      <c r="AL10" s="445"/>
      <c r="AM10" s="445"/>
      <c r="AN10" s="342"/>
      <c r="AO10" s="445"/>
      <c r="AP10" s="445"/>
      <c r="AQ10" s="342"/>
      <c r="AR10" s="514"/>
      <c r="AS10" s="514"/>
    </row>
    <row r="11" spans="1:60" s="484" customFormat="1" ht="18.75" customHeight="1" x14ac:dyDescent="0.3">
      <c r="A11" s="477"/>
      <c r="B11" s="446"/>
      <c r="C11" s="447"/>
      <c r="D11" s="447"/>
      <c r="E11" s="446"/>
      <c r="F11" s="447"/>
      <c r="G11" s="447"/>
      <c r="H11" s="446"/>
      <c r="I11" s="447"/>
      <c r="J11" s="447"/>
      <c r="K11" s="445"/>
      <c r="L11" s="442"/>
      <c r="M11" s="442"/>
      <c r="N11" s="443"/>
      <c r="O11" s="444"/>
      <c r="P11" s="342"/>
      <c r="Q11" s="445"/>
      <c r="R11" s="442"/>
      <c r="S11" s="342"/>
      <c r="T11" s="445"/>
      <c r="U11" s="442"/>
      <c r="V11" s="342"/>
      <c r="W11" s="445"/>
      <c r="X11" s="442"/>
      <c r="Y11" s="342"/>
      <c r="Z11" s="445"/>
      <c r="AA11" s="442"/>
      <c r="AB11" s="342"/>
      <c r="AC11" s="445"/>
      <c r="AD11" s="442"/>
      <c r="AE11" s="342"/>
      <c r="AF11" s="445"/>
      <c r="AG11" s="442"/>
      <c r="AH11" s="342"/>
      <c r="AI11" s="445"/>
      <c r="AJ11" s="442"/>
      <c r="AK11" s="342"/>
      <c r="AL11" s="445"/>
      <c r="AM11" s="445"/>
      <c r="AN11" s="342"/>
      <c r="AO11" s="445"/>
      <c r="AP11" s="445"/>
      <c r="AQ11" s="342"/>
      <c r="AR11" s="514"/>
      <c r="AS11" s="514"/>
    </row>
    <row r="12" spans="1:60" s="484" customFormat="1" ht="20.100000000000001" customHeight="1" x14ac:dyDescent="0.3">
      <c r="A12" s="476" t="s">
        <v>199</v>
      </c>
      <c r="B12" s="448"/>
      <c r="C12" s="449"/>
      <c r="D12" s="449"/>
      <c r="E12" s="448"/>
      <c r="F12" s="449"/>
      <c r="G12" s="449"/>
      <c r="H12" s="448"/>
      <c r="I12" s="449"/>
      <c r="J12" s="449"/>
      <c r="K12" s="445"/>
      <c r="L12" s="442"/>
      <c r="M12" s="442"/>
      <c r="N12" s="443"/>
      <c r="O12" s="444"/>
      <c r="P12" s="342"/>
      <c r="Q12" s="445"/>
      <c r="R12" s="442"/>
      <c r="S12" s="342"/>
      <c r="T12" s="445"/>
      <c r="U12" s="442"/>
      <c r="V12" s="342"/>
      <c r="W12" s="445"/>
      <c r="X12" s="442"/>
      <c r="Y12" s="342"/>
      <c r="Z12" s="445"/>
      <c r="AA12" s="442"/>
      <c r="AB12" s="342"/>
      <c r="AC12" s="445"/>
      <c r="AD12" s="442"/>
      <c r="AE12" s="342"/>
      <c r="AF12" s="445"/>
      <c r="AG12" s="442"/>
      <c r="AH12" s="342"/>
      <c r="AI12" s="445"/>
      <c r="AJ12" s="442"/>
      <c r="AK12" s="342"/>
      <c r="AL12" s="445"/>
      <c r="AM12" s="445"/>
      <c r="AN12" s="342"/>
      <c r="AO12" s="445"/>
      <c r="AP12" s="445"/>
      <c r="AQ12" s="342"/>
      <c r="AR12" s="514"/>
      <c r="AS12" s="514"/>
    </row>
    <row r="13" spans="1:60" s="516" customFormat="1" ht="20.100000000000001" customHeight="1" x14ac:dyDescent="0.3">
      <c r="A13" s="476" t="s">
        <v>200</v>
      </c>
      <c r="B13" s="450"/>
      <c r="C13" s="451"/>
      <c r="D13" s="451"/>
      <c r="E13" s="450"/>
      <c r="F13" s="451"/>
      <c r="G13" s="451"/>
      <c r="H13" s="450"/>
      <c r="I13" s="451"/>
      <c r="J13" s="451"/>
      <c r="K13" s="456"/>
      <c r="L13" s="452"/>
      <c r="M13" s="452"/>
      <c r="N13" s="453"/>
      <c r="O13" s="454"/>
      <c r="P13" s="455"/>
      <c r="Q13" s="456"/>
      <c r="R13" s="452"/>
      <c r="S13" s="455"/>
      <c r="T13" s="456"/>
      <c r="U13" s="452"/>
      <c r="V13" s="455"/>
      <c r="W13" s="456"/>
      <c r="X13" s="452"/>
      <c r="Y13" s="455"/>
      <c r="Z13" s="456"/>
      <c r="AA13" s="452"/>
      <c r="AB13" s="455"/>
      <c r="AC13" s="456"/>
      <c r="AD13" s="452"/>
      <c r="AE13" s="455"/>
      <c r="AF13" s="456"/>
      <c r="AG13" s="452"/>
      <c r="AH13" s="455"/>
      <c r="AI13" s="456"/>
      <c r="AJ13" s="452"/>
      <c r="AK13" s="455"/>
      <c r="AL13" s="456"/>
      <c r="AM13" s="456"/>
      <c r="AN13" s="455"/>
      <c r="AO13" s="456"/>
      <c r="AP13" s="456"/>
      <c r="AQ13" s="455"/>
      <c r="AR13" s="515"/>
      <c r="AS13" s="515"/>
    </row>
    <row r="14" spans="1:60" s="516" customFormat="1" ht="20.100000000000001" customHeight="1" x14ac:dyDescent="0.3">
      <c r="A14" s="478" t="s">
        <v>201</v>
      </c>
      <c r="B14" s="457"/>
      <c r="C14" s="455"/>
      <c r="D14" s="455"/>
      <c r="E14" s="457"/>
      <c r="F14" s="455"/>
      <c r="G14" s="455"/>
      <c r="H14" s="457"/>
      <c r="I14" s="455"/>
      <c r="J14" s="455"/>
      <c r="K14" s="456"/>
      <c r="L14" s="452"/>
      <c r="M14" s="452"/>
      <c r="N14" s="453"/>
      <c r="O14" s="454"/>
      <c r="P14" s="455"/>
      <c r="Q14" s="456">
        <v>992.60525874999996</v>
      </c>
      <c r="R14" s="452">
        <v>854.45452875000001</v>
      </c>
      <c r="S14" s="455">
        <f t="shared" ref="S14:S28" si="0">IF(Q14=0, "    ---- ", IF(ABS(ROUND(100/Q14*R14-100,1))&lt;999,ROUND(100/Q14*R14-100,1),IF(ROUND(100/Q14*R14-100,1)&gt;999,999,-999)))</f>
        <v>-13.9</v>
      </c>
      <c r="T14" s="456"/>
      <c r="U14" s="452"/>
      <c r="V14" s="455"/>
      <c r="W14" s="456"/>
      <c r="X14" s="452">
        <v>0</v>
      </c>
      <c r="Y14" s="455"/>
      <c r="Z14" s="456"/>
      <c r="AA14" s="452"/>
      <c r="AB14" s="455"/>
      <c r="AC14" s="456"/>
      <c r="AD14" s="452"/>
      <c r="AE14" s="455"/>
      <c r="AF14" s="456">
        <v>1.605</v>
      </c>
      <c r="AG14" s="452">
        <v>1.599</v>
      </c>
      <c r="AH14" s="455">
        <f t="shared" ref="AH14:AH28" si="1">IF(AF14=0, "    ---- ", IF(ABS(ROUND(100/AF14*AG14-100,1))&lt;999,ROUND(100/AF14*AG14-100,1),IF(ROUND(100/AF14*AG14-100,1)&gt;999,999,-999)))</f>
        <v>-0.4</v>
      </c>
      <c r="AI14" s="456"/>
      <c r="AJ14" s="452"/>
      <c r="AK14" s="455"/>
      <c r="AL14" s="456">
        <f t="shared" ref="AL14:AL29" si="2">B14+E14+H14+K14+Q14+T14+W14+Z14+AF14+AI14</f>
        <v>994.21025874999998</v>
      </c>
      <c r="AM14" s="456">
        <f t="shared" ref="AM14:AM29" si="3">C14+F14+I14+L14+R14+U14+X14+AA14+AG14+AJ14</f>
        <v>856.05352875000005</v>
      </c>
      <c r="AN14" s="455">
        <f t="shared" ref="AN14:AN28" si="4">IF(AL14=0, "    ---- ", IF(ABS(ROUND(100/AL14*AM14-100,1))&lt;999,ROUND(100/AL14*AM14-100,1),IF(ROUND(100/AL14*AM14-100,1)&gt;999,999,-999)))</f>
        <v>-13.9</v>
      </c>
      <c r="AO14" s="456">
        <f t="shared" ref="AO14:AO29" si="5">B14+E14+H14+K14+N14+Q14+T14+W14+Z14+AC14+AF14+AI14</f>
        <v>994.21025874999998</v>
      </c>
      <c r="AP14" s="456">
        <f t="shared" ref="AP14:AP29" si="6">C14+F14+I14+L14+O14+R14+U14+X14+AA14+AD14+AG14+AJ14</f>
        <v>856.05352875000005</v>
      </c>
      <c r="AQ14" s="455">
        <f t="shared" ref="AQ14:AQ29" si="7">IF(AO14=0, "    ---- ", IF(ABS(ROUND(100/AO14*AP14-100,1))&lt;999,ROUND(100/AO14*AP14-100,1),IF(ROUND(100/AO14*AP14-100,1)&gt;999,999,-999)))</f>
        <v>-13.9</v>
      </c>
      <c r="AR14" s="515"/>
      <c r="AS14" s="515"/>
    </row>
    <row r="15" spans="1:60" s="516" customFormat="1" ht="20.100000000000001" customHeight="1" x14ac:dyDescent="0.3">
      <c r="A15" s="478" t="s">
        <v>202</v>
      </c>
      <c r="B15" s="457"/>
      <c r="C15" s="455"/>
      <c r="D15" s="455"/>
      <c r="E15" s="457">
        <v>59.859000000000002</v>
      </c>
      <c r="F15" s="455">
        <v>61.459000000000003</v>
      </c>
      <c r="G15" s="455">
        <f t="shared" ref="G15:G28" si="8">IF(E15=0, "    ---- ", IF(ABS(ROUND(100/E15*F15-100,1))&lt;999,ROUND(100/E15*F15-100,1),IF(ROUND(100/E15*F15-100,1)&gt;999,999,-999)))</f>
        <v>2.7</v>
      </c>
      <c r="H15" s="457"/>
      <c r="I15" s="455"/>
      <c r="J15" s="455"/>
      <c r="K15" s="456"/>
      <c r="L15" s="452"/>
      <c r="M15" s="452"/>
      <c r="N15" s="453"/>
      <c r="O15" s="454"/>
      <c r="P15" s="455"/>
      <c r="Q15" s="456">
        <v>6334.0334657200001</v>
      </c>
      <c r="R15" s="452">
        <v>6623.3599737200002</v>
      </c>
      <c r="S15" s="455">
        <f t="shared" si="0"/>
        <v>4.5999999999999996</v>
      </c>
      <c r="T15" s="456"/>
      <c r="U15" s="452"/>
      <c r="V15" s="455"/>
      <c r="W15" s="456"/>
      <c r="X15" s="452">
        <v>0</v>
      </c>
      <c r="Y15" s="455"/>
      <c r="Z15" s="456">
        <v>983</v>
      </c>
      <c r="AA15" s="452">
        <v>1046</v>
      </c>
      <c r="AB15" s="455">
        <f t="shared" ref="AB15:AB28" si="9">IF(Z15=0, "    ---- ", IF(ABS(ROUND(100/Z15*AA15-100,1))&lt;999,ROUND(100/Z15*AA15-100,1),IF(ROUND(100/Z15*AA15-100,1)&gt;999,999,-999)))</f>
        <v>6.4</v>
      </c>
      <c r="AC15" s="456"/>
      <c r="AD15" s="452"/>
      <c r="AE15" s="455"/>
      <c r="AF15" s="456">
        <v>994.76700000000005</v>
      </c>
      <c r="AG15" s="452">
        <v>1233.086</v>
      </c>
      <c r="AH15" s="455">
        <f t="shared" si="1"/>
        <v>24</v>
      </c>
      <c r="AI15" s="456">
        <v>13038.4</v>
      </c>
      <c r="AJ15" s="452">
        <v>12657.5</v>
      </c>
      <c r="AK15" s="455">
        <f t="shared" ref="AK15:AK28" si="10">IF(AI15=0, "    ---- ", IF(ABS(ROUND(100/AI15*AJ15-100,1))&lt;999,ROUND(100/AI15*AJ15-100,1),IF(ROUND(100/AI15*AJ15-100,1)&gt;999,999,-999)))</f>
        <v>-2.9</v>
      </c>
      <c r="AL15" s="456">
        <f t="shared" si="2"/>
        <v>21410.059465719998</v>
      </c>
      <c r="AM15" s="456">
        <f t="shared" si="3"/>
        <v>21621.40497372</v>
      </c>
      <c r="AN15" s="455">
        <f t="shared" si="4"/>
        <v>1</v>
      </c>
      <c r="AO15" s="456">
        <f t="shared" si="5"/>
        <v>21410.059465719998</v>
      </c>
      <c r="AP15" s="456">
        <f t="shared" si="6"/>
        <v>21621.40497372</v>
      </c>
      <c r="AQ15" s="455">
        <f t="shared" si="7"/>
        <v>1</v>
      </c>
      <c r="AR15" s="515"/>
      <c r="AS15" s="515"/>
    </row>
    <row r="16" spans="1:60" s="516" customFormat="1" ht="20.100000000000001" customHeight="1" x14ac:dyDescent="0.3">
      <c r="A16" s="478" t="s">
        <v>203</v>
      </c>
      <c r="B16" s="457"/>
      <c r="C16" s="455"/>
      <c r="D16" s="455"/>
      <c r="E16" s="457">
        <f>SUM(E17+E19)</f>
        <v>3709.3679999999999</v>
      </c>
      <c r="F16" s="455">
        <f>SUM(F17+F19)</f>
        <v>2565.085</v>
      </c>
      <c r="G16" s="455"/>
      <c r="H16" s="457">
        <f>SUM(H17+H19)</f>
        <v>34.683</v>
      </c>
      <c r="I16" s="455">
        <f>SUM(I17+I19)</f>
        <v>34.524999999999999</v>
      </c>
      <c r="J16" s="455"/>
      <c r="K16" s="456"/>
      <c r="L16" s="452"/>
      <c r="M16" s="452"/>
      <c r="N16" s="453"/>
      <c r="O16" s="454"/>
      <c r="P16" s="455"/>
      <c r="Q16" s="456">
        <f>SUM(Q17+Q19)</f>
        <v>15796.2196401</v>
      </c>
      <c r="R16" s="452">
        <f>SUM(R17+R19)</f>
        <v>17789.346053789999</v>
      </c>
      <c r="S16" s="455">
        <f t="shared" si="0"/>
        <v>12.6</v>
      </c>
      <c r="T16" s="456">
        <f>SUM(T17+T19)</f>
        <v>216.9</v>
      </c>
      <c r="U16" s="452">
        <f>SUM(U17+U19)</f>
        <v>229.6</v>
      </c>
      <c r="V16" s="455"/>
      <c r="W16" s="456"/>
      <c r="X16" s="452">
        <f>SUM(X17+X19)</f>
        <v>0</v>
      </c>
      <c r="Y16" s="455"/>
      <c r="Z16" s="456">
        <f>SUM(Z17+Z19)</f>
        <v>4360</v>
      </c>
      <c r="AA16" s="452">
        <f>SUM(AA17+AA19)</f>
        <v>4517</v>
      </c>
      <c r="AB16" s="455">
        <f t="shared" si="9"/>
        <v>3.6</v>
      </c>
      <c r="AC16" s="456"/>
      <c r="AD16" s="452"/>
      <c r="AE16" s="455"/>
      <c r="AF16" s="456">
        <f>SUM(AF17+AF19)</f>
        <v>1115.4010000000001</v>
      </c>
      <c r="AG16" s="452">
        <f>SUM(AG17+AG19)</f>
        <v>1241.701</v>
      </c>
      <c r="AH16" s="455">
        <f t="shared" si="1"/>
        <v>11.3</v>
      </c>
      <c r="AI16" s="456">
        <f>SUM(AI17+AI19)</f>
        <v>3408</v>
      </c>
      <c r="AJ16" s="452">
        <f>SUM(AJ17+AJ19)</f>
        <v>3505.5</v>
      </c>
      <c r="AK16" s="455">
        <f t="shared" si="10"/>
        <v>2.9</v>
      </c>
      <c r="AL16" s="456">
        <f t="shared" si="2"/>
        <v>28640.571640100003</v>
      </c>
      <c r="AM16" s="456">
        <f t="shared" si="3"/>
        <v>29882.757053789999</v>
      </c>
      <c r="AN16" s="455">
        <f t="shared" si="4"/>
        <v>4.3</v>
      </c>
      <c r="AO16" s="456">
        <f t="shared" si="5"/>
        <v>28640.571640100003</v>
      </c>
      <c r="AP16" s="456">
        <f t="shared" si="6"/>
        <v>29882.757053789999</v>
      </c>
      <c r="AQ16" s="455">
        <f t="shared" si="7"/>
        <v>4.3</v>
      </c>
      <c r="AR16" s="515"/>
      <c r="AS16" s="515"/>
    </row>
    <row r="17" spans="1:46" s="516" customFormat="1" ht="20.100000000000001" customHeight="1" x14ac:dyDescent="0.3">
      <c r="A17" s="478" t="s">
        <v>204</v>
      </c>
      <c r="B17" s="457"/>
      <c r="C17" s="455"/>
      <c r="D17" s="455"/>
      <c r="E17" s="457">
        <v>1863.3989999999999</v>
      </c>
      <c r="F17" s="455">
        <v>732.87199999999996</v>
      </c>
      <c r="G17" s="455"/>
      <c r="H17" s="457">
        <v>34.683</v>
      </c>
      <c r="I17" s="455">
        <v>34.524999999999999</v>
      </c>
      <c r="J17" s="455"/>
      <c r="K17" s="456"/>
      <c r="L17" s="452"/>
      <c r="M17" s="452"/>
      <c r="N17" s="453"/>
      <c r="O17" s="454"/>
      <c r="P17" s="455"/>
      <c r="Q17" s="456">
        <v>6645.4223959700003</v>
      </c>
      <c r="R17" s="452">
        <v>6799.1530381899993</v>
      </c>
      <c r="S17" s="455">
        <f t="shared" si="0"/>
        <v>2.2999999999999998</v>
      </c>
      <c r="T17" s="456">
        <v>0</v>
      </c>
      <c r="U17" s="452"/>
      <c r="V17" s="455"/>
      <c r="W17" s="456"/>
      <c r="X17" s="452">
        <v>0</v>
      </c>
      <c r="Y17" s="455"/>
      <c r="Z17" s="456">
        <v>290</v>
      </c>
      <c r="AA17" s="452">
        <v>172</v>
      </c>
      <c r="AB17" s="455">
        <f t="shared" si="9"/>
        <v>-40.700000000000003</v>
      </c>
      <c r="AC17" s="456"/>
      <c r="AD17" s="452"/>
      <c r="AE17" s="455"/>
      <c r="AF17" s="456">
        <v>141.458</v>
      </c>
      <c r="AG17" s="452">
        <v>129.81</v>
      </c>
      <c r="AH17" s="455">
        <f t="shared" si="1"/>
        <v>-8.1999999999999993</v>
      </c>
      <c r="AI17" s="456"/>
      <c r="AJ17" s="452"/>
      <c r="AK17" s="455"/>
      <c r="AL17" s="456">
        <f t="shared" si="2"/>
        <v>8974.9623959700002</v>
      </c>
      <c r="AM17" s="456">
        <f t="shared" si="3"/>
        <v>7868.3600381899996</v>
      </c>
      <c r="AN17" s="455">
        <f t="shared" si="4"/>
        <v>-12.3</v>
      </c>
      <c r="AO17" s="456">
        <f t="shared" si="5"/>
        <v>8974.9623959700002</v>
      </c>
      <c r="AP17" s="456">
        <f t="shared" si="6"/>
        <v>7868.3600381899996</v>
      </c>
      <c r="AQ17" s="455">
        <f t="shared" si="7"/>
        <v>-12.3</v>
      </c>
      <c r="AR17" s="515"/>
      <c r="AS17" s="515"/>
    </row>
    <row r="18" spans="1:46" s="516" customFormat="1" ht="20.100000000000001" customHeight="1" x14ac:dyDescent="0.3">
      <c r="A18" s="478" t="s">
        <v>205</v>
      </c>
      <c r="B18" s="457"/>
      <c r="C18" s="455"/>
      <c r="D18" s="455"/>
      <c r="E18" s="457">
        <v>1863.3989999999999</v>
      </c>
      <c r="F18" s="455">
        <v>732.87199999999996</v>
      </c>
      <c r="G18" s="455"/>
      <c r="H18" s="457">
        <v>34.683</v>
      </c>
      <c r="I18" s="455">
        <v>34.524999999999999</v>
      </c>
      <c r="J18" s="455"/>
      <c r="K18" s="456"/>
      <c r="L18" s="452"/>
      <c r="M18" s="452"/>
      <c r="N18" s="453"/>
      <c r="O18" s="454"/>
      <c r="P18" s="455"/>
      <c r="Q18" s="456">
        <v>6645.4223959700003</v>
      </c>
      <c r="R18" s="452">
        <v>6799.1530381899993</v>
      </c>
      <c r="S18" s="455">
        <f t="shared" si="0"/>
        <v>2.2999999999999998</v>
      </c>
      <c r="T18" s="456"/>
      <c r="U18" s="452"/>
      <c r="V18" s="455"/>
      <c r="W18" s="456"/>
      <c r="X18" s="452">
        <v>0</v>
      </c>
      <c r="Y18" s="455"/>
      <c r="Z18" s="456"/>
      <c r="AA18" s="452"/>
      <c r="AB18" s="455"/>
      <c r="AC18" s="456"/>
      <c r="AD18" s="452"/>
      <c r="AE18" s="455"/>
      <c r="AF18" s="456">
        <v>27.972692770000016</v>
      </c>
      <c r="AG18" s="452">
        <v>27.982816620000033</v>
      </c>
      <c r="AH18" s="455">
        <f t="shared" si="1"/>
        <v>0</v>
      </c>
      <c r="AI18" s="456"/>
      <c r="AJ18" s="452"/>
      <c r="AK18" s="455"/>
      <c r="AL18" s="456">
        <f t="shared" si="2"/>
        <v>8571.4770887399991</v>
      </c>
      <c r="AM18" s="456">
        <f t="shared" si="3"/>
        <v>7594.5328548099997</v>
      </c>
      <c r="AN18" s="455">
        <f t="shared" si="4"/>
        <v>-11.4</v>
      </c>
      <c r="AO18" s="456">
        <f t="shared" si="5"/>
        <v>8571.4770887399991</v>
      </c>
      <c r="AP18" s="456">
        <f t="shared" si="6"/>
        <v>7594.5328548099997</v>
      </c>
      <c r="AQ18" s="455">
        <f t="shared" si="7"/>
        <v>-11.4</v>
      </c>
      <c r="AR18" s="515"/>
      <c r="AS18" s="515"/>
    </row>
    <row r="19" spans="1:46" s="516" customFormat="1" ht="20.100000000000001" customHeight="1" x14ac:dyDescent="0.3">
      <c r="A19" s="478" t="s">
        <v>206</v>
      </c>
      <c r="B19" s="457"/>
      <c r="C19" s="455"/>
      <c r="D19" s="455"/>
      <c r="E19" s="457">
        <v>1845.9690000000001</v>
      </c>
      <c r="F19" s="455">
        <v>1832.213</v>
      </c>
      <c r="G19" s="455"/>
      <c r="H19" s="457"/>
      <c r="I19" s="455"/>
      <c r="J19" s="455"/>
      <c r="K19" s="456"/>
      <c r="L19" s="452"/>
      <c r="M19" s="452"/>
      <c r="N19" s="453"/>
      <c r="O19" s="454"/>
      <c r="P19" s="455"/>
      <c r="Q19" s="456">
        <v>9150.7972441299989</v>
      </c>
      <c r="R19" s="452">
        <v>10990.1930156</v>
      </c>
      <c r="S19" s="455">
        <f t="shared" si="0"/>
        <v>20.100000000000001</v>
      </c>
      <c r="T19" s="456">
        <v>216.9</v>
      </c>
      <c r="U19" s="452">
        <v>229.6</v>
      </c>
      <c r="V19" s="455"/>
      <c r="W19" s="456"/>
      <c r="X19" s="452">
        <v>0</v>
      </c>
      <c r="Y19" s="455"/>
      <c r="Z19" s="456">
        <v>4070</v>
      </c>
      <c r="AA19" s="452">
        <v>4345</v>
      </c>
      <c r="AB19" s="455">
        <f t="shared" si="9"/>
        <v>6.8</v>
      </c>
      <c r="AC19" s="456"/>
      <c r="AD19" s="452"/>
      <c r="AE19" s="455"/>
      <c r="AF19" s="456">
        <v>973.94299999999998</v>
      </c>
      <c r="AG19" s="452">
        <v>1111.8910000000001</v>
      </c>
      <c r="AH19" s="455">
        <f t="shared" si="1"/>
        <v>14.2</v>
      </c>
      <c r="AI19" s="456">
        <v>3408</v>
      </c>
      <c r="AJ19" s="452">
        <f>3243.5+1+261</f>
        <v>3505.5</v>
      </c>
      <c r="AK19" s="455">
        <f t="shared" si="10"/>
        <v>2.9</v>
      </c>
      <c r="AL19" s="456">
        <f t="shared" si="2"/>
        <v>19665.609244129999</v>
      </c>
      <c r="AM19" s="456">
        <f t="shared" si="3"/>
        <v>22014.3970156</v>
      </c>
      <c r="AN19" s="455">
        <f t="shared" si="4"/>
        <v>11.9</v>
      </c>
      <c r="AO19" s="456">
        <f t="shared" si="5"/>
        <v>19665.609244129999</v>
      </c>
      <c r="AP19" s="456">
        <f t="shared" si="6"/>
        <v>22014.3970156</v>
      </c>
      <c r="AQ19" s="455">
        <f t="shared" si="7"/>
        <v>11.9</v>
      </c>
      <c r="AR19" s="515"/>
      <c r="AS19" s="515"/>
    </row>
    <row r="20" spans="1:46" s="516" customFormat="1" ht="20.100000000000001" customHeight="1" x14ac:dyDescent="0.3">
      <c r="A20" s="478" t="s">
        <v>207</v>
      </c>
      <c r="B20" s="457">
        <f>SUM(B21:B25)</f>
        <v>234.99900000000002</v>
      </c>
      <c r="C20" s="455">
        <f>SUM(C21:C25)</f>
        <v>236.56299999999999</v>
      </c>
      <c r="D20" s="455">
        <f>IF(B20=0, "    ---- ", IF(ABS(ROUND(100/B20*C20-100,1))&lt;999,ROUND(100/B20*C20-100,1),IF(ROUND(100/B20*C20-100,1)&gt;999,999,-999)))</f>
        <v>0.7</v>
      </c>
      <c r="E20" s="457">
        <f>SUM(E21:E25)</f>
        <v>26797.284000000003</v>
      </c>
      <c r="F20" s="455">
        <f>SUM(F21:F25)</f>
        <v>28336.289000000001</v>
      </c>
      <c r="G20" s="455">
        <f t="shared" si="8"/>
        <v>5.7</v>
      </c>
      <c r="H20" s="457">
        <f>SUM(H21:H25)</f>
        <v>178.04800000000003</v>
      </c>
      <c r="I20" s="455">
        <f>SUM(I21:I25)</f>
        <v>152.524</v>
      </c>
      <c r="J20" s="455">
        <f t="shared" ref="J20:J28" si="11">IF(H20=0, "    ---- ", IF(ABS(ROUND(100/H20*I20-100,1))&lt;999,ROUND(100/H20*I20-100,1),IF(ROUND(100/H20*I20-100,1)&gt;999,999,-999)))</f>
        <v>-14.3</v>
      </c>
      <c r="K20" s="456">
        <f>SUM(K21:K25)</f>
        <v>899.2</v>
      </c>
      <c r="L20" s="452">
        <f>SUM(L21:L25)</f>
        <v>995.4</v>
      </c>
      <c r="M20" s="452">
        <f t="shared" ref="M20:M28" si="12">IF(K20=0, "    ---- ", IF(ABS(ROUND(100/K20*L20-100,1))&lt;999,ROUND(100/K20*L20-100,1),IF(ROUND(100/K20*L20-100,1)&gt;999,999,-999)))</f>
        <v>10.7</v>
      </c>
      <c r="N20" s="453"/>
      <c r="O20" s="454"/>
      <c r="P20" s="455"/>
      <c r="Q20" s="456">
        <f>SUM(Q21:Q25)</f>
        <v>11655.846282769999</v>
      </c>
      <c r="R20" s="452">
        <f>SUM(R21:R25)</f>
        <v>12123.15647726</v>
      </c>
      <c r="S20" s="455">
        <f t="shared" si="0"/>
        <v>4</v>
      </c>
      <c r="T20" s="456">
        <f>SUM(T21:T25)</f>
        <v>309.7</v>
      </c>
      <c r="U20" s="452">
        <f>SUM(U21:U25)</f>
        <v>268.89999999999998</v>
      </c>
      <c r="V20" s="455">
        <f t="shared" ref="V20:V28" si="13">IF(T20=0, "    ---- ", IF(ABS(ROUND(100/T20*U20-100,1))&lt;999,ROUND(100/T20*U20-100,1),IF(ROUND(100/T20*U20-100,1)&gt;999,999,-999)))</f>
        <v>-13.2</v>
      </c>
      <c r="W20" s="456">
        <f>SUM(W21:W25)</f>
        <v>9410.64</v>
      </c>
      <c r="X20" s="452">
        <f>SUM(X21:X25)</f>
        <v>9865.92</v>
      </c>
      <c r="Y20" s="455">
        <f t="shared" ref="Y20:Y28" si="14">IF(W20=0, "    ---- ", IF(ABS(ROUND(100/W20*X20-100,1))&lt;999,ROUND(100/W20*X20-100,1),IF(ROUND(100/W20*X20-100,1)&gt;999,999,-999)))</f>
        <v>4.8</v>
      </c>
      <c r="Z20" s="456">
        <f>SUM(Z21:Z25)</f>
        <v>3087</v>
      </c>
      <c r="AA20" s="452">
        <f>SUM(AA21:AA25)</f>
        <v>3349</v>
      </c>
      <c r="AB20" s="455">
        <f t="shared" si="9"/>
        <v>8.5</v>
      </c>
      <c r="AC20" s="456"/>
      <c r="AD20" s="452"/>
      <c r="AE20" s="455"/>
      <c r="AF20" s="456">
        <f>SUM(AF21:AF25)</f>
        <v>3662.16</v>
      </c>
      <c r="AG20" s="452">
        <f>SUM(AG21:AG25)</f>
        <v>3528.5520000000001</v>
      </c>
      <c r="AH20" s="455">
        <f t="shared" si="1"/>
        <v>-3.6</v>
      </c>
      <c r="AI20" s="456">
        <f>SUM(AI21:AI25)</f>
        <v>15804.6</v>
      </c>
      <c r="AJ20" s="452">
        <f>SUM(AJ21:AJ25)</f>
        <v>16494.400000000001</v>
      </c>
      <c r="AK20" s="455">
        <f t="shared" si="10"/>
        <v>4.4000000000000004</v>
      </c>
      <c r="AL20" s="456">
        <f t="shared" si="2"/>
        <v>72039.477282770007</v>
      </c>
      <c r="AM20" s="456">
        <f t="shared" si="3"/>
        <v>75350.704477260006</v>
      </c>
      <c r="AN20" s="455">
        <f t="shared" si="4"/>
        <v>4.5999999999999996</v>
      </c>
      <c r="AO20" s="456">
        <f t="shared" si="5"/>
        <v>72039.477282770007</v>
      </c>
      <c r="AP20" s="456">
        <f t="shared" si="6"/>
        <v>75350.704477260006</v>
      </c>
      <c r="AQ20" s="455">
        <f t="shared" si="7"/>
        <v>4.5999999999999996</v>
      </c>
      <c r="AR20" s="515"/>
      <c r="AS20" s="515"/>
    </row>
    <row r="21" spans="1:46" s="516" customFormat="1" ht="20.100000000000001" customHeight="1" x14ac:dyDescent="0.3">
      <c r="A21" s="478" t="s">
        <v>208</v>
      </c>
      <c r="B21" s="457">
        <v>2.9550000000000001</v>
      </c>
      <c r="C21" s="455">
        <v>5.78</v>
      </c>
      <c r="D21" s="455">
        <f>IF(B21=0, "    ---- ", IF(ABS(ROUND(100/B21*C21-100,1))&lt;999,ROUND(100/B21*C21-100,1),IF(ROUND(100/B21*C21-100,1)&gt;999,999,-999)))</f>
        <v>95.6</v>
      </c>
      <c r="E21" s="457">
        <v>1074.0429999999999</v>
      </c>
      <c r="F21" s="455">
        <v>1091.1489999999999</v>
      </c>
      <c r="G21" s="455">
        <f t="shared" si="8"/>
        <v>1.6</v>
      </c>
      <c r="H21" s="457">
        <v>24.097000000000001</v>
      </c>
      <c r="I21" s="455">
        <v>21.603000000000002</v>
      </c>
      <c r="J21" s="455">
        <f t="shared" si="11"/>
        <v>-10.3</v>
      </c>
      <c r="K21" s="456">
        <v>57.13</v>
      </c>
      <c r="L21" s="452">
        <v>53.7</v>
      </c>
      <c r="M21" s="452">
        <f t="shared" si="12"/>
        <v>-6</v>
      </c>
      <c r="N21" s="453"/>
      <c r="O21" s="454"/>
      <c r="P21" s="455"/>
      <c r="Q21" s="456">
        <v>471.22179999999997</v>
      </c>
      <c r="R21" s="452">
        <v>472.73110844999997</v>
      </c>
      <c r="S21" s="455">
        <f t="shared" si="0"/>
        <v>0.3</v>
      </c>
      <c r="T21" s="456">
        <v>298.5</v>
      </c>
      <c r="U21" s="452">
        <v>266.2</v>
      </c>
      <c r="V21" s="455">
        <f t="shared" si="13"/>
        <v>-10.8</v>
      </c>
      <c r="W21" s="456">
        <v>7.46</v>
      </c>
      <c r="X21" s="452">
        <v>0</v>
      </c>
      <c r="Y21" s="455">
        <f t="shared" si="14"/>
        <v>-100</v>
      </c>
      <c r="Z21" s="456">
        <v>1426</v>
      </c>
      <c r="AA21" s="452">
        <v>1572</v>
      </c>
      <c r="AB21" s="455"/>
      <c r="AC21" s="456"/>
      <c r="AD21" s="452"/>
      <c r="AE21" s="455"/>
      <c r="AF21" s="456">
        <v>0.47799999999999998</v>
      </c>
      <c r="AG21" s="452">
        <v>0.52700000000000002</v>
      </c>
      <c r="AH21" s="455">
        <f t="shared" si="1"/>
        <v>10.3</v>
      </c>
      <c r="AI21" s="456">
        <v>16.399999999999999</v>
      </c>
      <c r="AJ21" s="452">
        <v>19.7</v>
      </c>
      <c r="AK21" s="455">
        <f t="shared" si="10"/>
        <v>20.100000000000001</v>
      </c>
      <c r="AL21" s="456">
        <f t="shared" si="2"/>
        <v>3378.2847999999999</v>
      </c>
      <c r="AM21" s="456">
        <f t="shared" si="3"/>
        <v>3503.3901084499998</v>
      </c>
      <c r="AN21" s="455">
        <f t="shared" si="4"/>
        <v>3.7</v>
      </c>
      <c r="AO21" s="456">
        <f t="shared" si="5"/>
        <v>3378.2847999999999</v>
      </c>
      <c r="AP21" s="456">
        <f t="shared" si="6"/>
        <v>3503.3901084499998</v>
      </c>
      <c r="AQ21" s="455">
        <f t="shared" si="7"/>
        <v>3.7</v>
      </c>
      <c r="AR21" s="515"/>
      <c r="AS21" s="515"/>
    </row>
    <row r="22" spans="1:46" s="516" customFormat="1" ht="20.100000000000001" customHeight="1" x14ac:dyDescent="0.3">
      <c r="A22" s="478" t="s">
        <v>209</v>
      </c>
      <c r="B22" s="457">
        <v>232.04400000000001</v>
      </c>
      <c r="C22" s="455">
        <v>230.78299999999999</v>
      </c>
      <c r="D22" s="455">
        <f>IF(B22=0, "    ---- ", IF(ABS(ROUND(100/B22*C22-100,1))&lt;999,ROUND(100/B22*C22-100,1),IF(ROUND(100/B22*C22-100,1)&gt;999,999,-999)))</f>
        <v>-0.5</v>
      </c>
      <c r="E22" s="457">
        <v>25708.696</v>
      </c>
      <c r="F22" s="455">
        <v>27199.439999999999</v>
      </c>
      <c r="G22" s="455">
        <f t="shared" si="8"/>
        <v>5.8</v>
      </c>
      <c r="H22" s="457">
        <v>133.88900000000001</v>
      </c>
      <c r="I22" s="455">
        <v>106.68600000000001</v>
      </c>
      <c r="J22" s="455">
        <f t="shared" si="11"/>
        <v>-20.3</v>
      </c>
      <c r="K22" s="456">
        <v>745.10599999999999</v>
      </c>
      <c r="L22" s="452">
        <v>843.4</v>
      </c>
      <c r="M22" s="452">
        <f t="shared" si="12"/>
        <v>13.2</v>
      </c>
      <c r="N22" s="453"/>
      <c r="O22" s="454"/>
      <c r="P22" s="455"/>
      <c r="Q22" s="456">
        <v>9081.6802842199995</v>
      </c>
      <c r="R22" s="452">
        <v>9924.8726540900007</v>
      </c>
      <c r="S22" s="455">
        <f t="shared" si="0"/>
        <v>9.3000000000000007</v>
      </c>
      <c r="T22" s="456"/>
      <c r="U22" s="452"/>
      <c r="V22" s="455" t="str">
        <f t="shared" si="13"/>
        <v xml:space="preserve">    ---- </v>
      </c>
      <c r="W22" s="456">
        <v>9227.85</v>
      </c>
      <c r="X22" s="452">
        <v>9865.6</v>
      </c>
      <c r="Y22" s="455">
        <f t="shared" si="14"/>
        <v>6.9</v>
      </c>
      <c r="Z22" s="456">
        <v>1645</v>
      </c>
      <c r="AA22" s="452">
        <v>1769</v>
      </c>
      <c r="AB22" s="455">
        <f t="shared" si="9"/>
        <v>7.5</v>
      </c>
      <c r="AC22" s="456"/>
      <c r="AD22" s="452"/>
      <c r="AE22" s="455"/>
      <c r="AF22" s="456">
        <v>3419.444</v>
      </c>
      <c r="AG22" s="452">
        <v>3167.2040000000002</v>
      </c>
      <c r="AH22" s="455">
        <f t="shared" si="1"/>
        <v>-7.4</v>
      </c>
      <c r="AI22" s="456">
        <v>14829</v>
      </c>
      <c r="AJ22" s="452">
        <v>15567</v>
      </c>
      <c r="AK22" s="455">
        <f t="shared" si="10"/>
        <v>5</v>
      </c>
      <c r="AL22" s="456">
        <f t="shared" si="2"/>
        <v>65022.70928422</v>
      </c>
      <c r="AM22" s="456">
        <f t="shared" si="3"/>
        <v>68673.985654090007</v>
      </c>
      <c r="AN22" s="455">
        <f t="shared" si="4"/>
        <v>5.6</v>
      </c>
      <c r="AO22" s="456">
        <f t="shared" si="5"/>
        <v>65022.70928422</v>
      </c>
      <c r="AP22" s="456">
        <f t="shared" si="6"/>
        <v>68673.985654090007</v>
      </c>
      <c r="AQ22" s="455">
        <f t="shared" si="7"/>
        <v>5.6</v>
      </c>
      <c r="AR22" s="515"/>
      <c r="AS22" s="515"/>
    </row>
    <row r="23" spans="1:46" s="516" customFormat="1" ht="20.100000000000001" customHeight="1" x14ac:dyDescent="0.3">
      <c r="A23" s="478" t="s">
        <v>210</v>
      </c>
      <c r="B23" s="457"/>
      <c r="C23" s="455"/>
      <c r="D23" s="455"/>
      <c r="E23" s="457">
        <v>3.4540000000000002</v>
      </c>
      <c r="F23" s="455">
        <v>25.343</v>
      </c>
      <c r="G23" s="455">
        <f t="shared" si="8"/>
        <v>633.70000000000005</v>
      </c>
      <c r="H23" s="457"/>
      <c r="I23" s="455"/>
      <c r="J23" s="455"/>
      <c r="K23" s="456"/>
      <c r="L23" s="452"/>
      <c r="M23" s="452"/>
      <c r="N23" s="453"/>
      <c r="O23" s="454"/>
      <c r="P23" s="455"/>
      <c r="Q23" s="456">
        <v>1578.4408151</v>
      </c>
      <c r="R23" s="452">
        <v>1250.76534726</v>
      </c>
      <c r="S23" s="455">
        <f t="shared" si="0"/>
        <v>-20.8</v>
      </c>
      <c r="T23" s="456">
        <v>11.2</v>
      </c>
      <c r="U23" s="452">
        <v>2.7</v>
      </c>
      <c r="V23" s="455">
        <f t="shared" si="13"/>
        <v>-75.900000000000006</v>
      </c>
      <c r="W23" s="456">
        <v>160.33000000000001</v>
      </c>
      <c r="X23" s="452">
        <v>0.32</v>
      </c>
      <c r="Y23" s="455">
        <f t="shared" si="14"/>
        <v>-99.8</v>
      </c>
      <c r="Z23" s="456"/>
      <c r="AA23" s="452"/>
      <c r="AB23" s="455" t="str">
        <f t="shared" si="9"/>
        <v xml:space="preserve">    ---- </v>
      </c>
      <c r="AC23" s="456"/>
      <c r="AD23" s="452"/>
      <c r="AE23" s="455"/>
      <c r="AF23" s="456"/>
      <c r="AG23" s="452"/>
      <c r="AH23" s="455"/>
      <c r="AI23" s="456"/>
      <c r="AJ23" s="452"/>
      <c r="AK23" s="455"/>
      <c r="AL23" s="456">
        <f t="shared" si="2"/>
        <v>1753.4248150999999</v>
      </c>
      <c r="AM23" s="456">
        <f t="shared" si="3"/>
        <v>1279.1283472600001</v>
      </c>
      <c r="AN23" s="455">
        <f t="shared" si="4"/>
        <v>-27</v>
      </c>
      <c r="AO23" s="456">
        <f t="shared" si="5"/>
        <v>1753.4248150999999</v>
      </c>
      <c r="AP23" s="456">
        <f t="shared" si="6"/>
        <v>1279.1283472600001</v>
      </c>
      <c r="AQ23" s="455">
        <f t="shared" si="7"/>
        <v>-27</v>
      </c>
      <c r="AR23" s="515"/>
      <c r="AS23" s="515"/>
    </row>
    <row r="24" spans="1:46" s="516" customFormat="1" ht="20.100000000000001" customHeight="1" x14ac:dyDescent="0.3">
      <c r="A24" s="478" t="s">
        <v>211</v>
      </c>
      <c r="B24" s="457"/>
      <c r="C24" s="455"/>
      <c r="D24" s="455"/>
      <c r="E24" s="457"/>
      <c r="F24" s="455"/>
      <c r="G24" s="455"/>
      <c r="H24" s="457"/>
      <c r="I24" s="455"/>
      <c r="J24" s="455"/>
      <c r="K24" s="456"/>
      <c r="L24" s="452"/>
      <c r="M24" s="452"/>
      <c r="N24" s="453"/>
      <c r="O24" s="454"/>
      <c r="P24" s="455"/>
      <c r="Q24" s="456">
        <v>523.82104969</v>
      </c>
      <c r="R24" s="452">
        <v>474.67505175999997</v>
      </c>
      <c r="S24" s="455">
        <f t="shared" si="0"/>
        <v>-9.4</v>
      </c>
      <c r="T24" s="456"/>
      <c r="U24" s="452"/>
      <c r="V24" s="455"/>
      <c r="W24" s="456"/>
      <c r="X24" s="452">
        <v>0</v>
      </c>
      <c r="Y24" s="455"/>
      <c r="Z24" s="456">
        <v>16</v>
      </c>
      <c r="AA24" s="452">
        <v>8</v>
      </c>
      <c r="AB24" s="455">
        <f t="shared" si="9"/>
        <v>-50</v>
      </c>
      <c r="AC24" s="456"/>
      <c r="AD24" s="452"/>
      <c r="AE24" s="455"/>
      <c r="AF24" s="456">
        <v>4.8000000000000001E-2</v>
      </c>
      <c r="AG24" s="452">
        <v>7.6609999999999996</v>
      </c>
      <c r="AH24" s="455">
        <f t="shared" si="1"/>
        <v>999</v>
      </c>
      <c r="AI24" s="456">
        <v>959.2</v>
      </c>
      <c r="AJ24" s="452">
        <v>907.7</v>
      </c>
      <c r="AK24" s="455">
        <f t="shared" si="10"/>
        <v>-5.4</v>
      </c>
      <c r="AL24" s="456">
        <f t="shared" si="2"/>
        <v>1499.0690496900002</v>
      </c>
      <c r="AM24" s="456">
        <f t="shared" si="3"/>
        <v>1398.03605176</v>
      </c>
      <c r="AN24" s="455">
        <f t="shared" si="4"/>
        <v>-6.7</v>
      </c>
      <c r="AO24" s="456">
        <f t="shared" si="5"/>
        <v>1499.0690496900002</v>
      </c>
      <c r="AP24" s="456">
        <f t="shared" si="6"/>
        <v>1398.03605176</v>
      </c>
      <c r="AQ24" s="455">
        <f t="shared" si="7"/>
        <v>-6.7</v>
      </c>
      <c r="AR24" s="515"/>
      <c r="AS24" s="515"/>
    </row>
    <row r="25" spans="1:46" s="516" customFormat="1" ht="20.100000000000001" customHeight="1" x14ac:dyDescent="0.3">
      <c r="A25" s="478" t="s">
        <v>212</v>
      </c>
      <c r="B25" s="457"/>
      <c r="C25" s="455"/>
      <c r="D25" s="455"/>
      <c r="E25" s="457">
        <v>11.090999999999999</v>
      </c>
      <c r="F25" s="455">
        <v>20.356999999999999</v>
      </c>
      <c r="G25" s="455">
        <f t="shared" si="8"/>
        <v>83.5</v>
      </c>
      <c r="H25" s="457">
        <v>20.062000000000001</v>
      </c>
      <c r="I25" s="455">
        <v>24.234999999999999</v>
      </c>
      <c r="J25" s="455">
        <f t="shared" si="11"/>
        <v>20.8</v>
      </c>
      <c r="K25" s="456">
        <v>96.963999999999999</v>
      </c>
      <c r="L25" s="452">
        <v>98.3</v>
      </c>
      <c r="M25" s="452"/>
      <c r="N25" s="453"/>
      <c r="O25" s="454"/>
      <c r="P25" s="455"/>
      <c r="Q25" s="456">
        <v>0.68233376000000001</v>
      </c>
      <c r="R25" s="452">
        <v>0.11231569999999999</v>
      </c>
      <c r="S25" s="455">
        <f t="shared" si="0"/>
        <v>-83.5</v>
      </c>
      <c r="T25" s="456"/>
      <c r="U25" s="452"/>
      <c r="V25" s="455"/>
      <c r="W25" s="456">
        <v>15</v>
      </c>
      <c r="X25" s="452">
        <v>0</v>
      </c>
      <c r="Y25" s="455"/>
      <c r="Z25" s="456"/>
      <c r="AA25" s="452"/>
      <c r="AB25" s="455"/>
      <c r="AC25" s="456"/>
      <c r="AD25" s="452"/>
      <c r="AE25" s="455"/>
      <c r="AF25" s="456">
        <v>242.19</v>
      </c>
      <c r="AG25" s="452">
        <v>353.16</v>
      </c>
      <c r="AH25" s="455">
        <f t="shared" si="1"/>
        <v>45.8</v>
      </c>
      <c r="AI25" s="456"/>
      <c r="AJ25" s="452"/>
      <c r="AK25" s="455"/>
      <c r="AL25" s="456">
        <f t="shared" si="2"/>
        <v>385.98933376000002</v>
      </c>
      <c r="AM25" s="456">
        <f t="shared" si="3"/>
        <v>496.16431570000003</v>
      </c>
      <c r="AN25" s="455">
        <f t="shared" si="4"/>
        <v>28.5</v>
      </c>
      <c r="AO25" s="456">
        <f t="shared" si="5"/>
        <v>385.98933376000002</v>
      </c>
      <c r="AP25" s="456">
        <f t="shared" si="6"/>
        <v>496.16431570000003</v>
      </c>
      <c r="AQ25" s="455">
        <f t="shared" si="7"/>
        <v>28.5</v>
      </c>
      <c r="AR25" s="515"/>
      <c r="AS25" s="515"/>
    </row>
    <row r="26" spans="1:46" s="516" customFormat="1" ht="20.100000000000001" customHeight="1" x14ac:dyDescent="0.3">
      <c r="A26" s="478" t="s">
        <v>213</v>
      </c>
      <c r="B26" s="457"/>
      <c r="C26" s="455"/>
      <c r="D26" s="455"/>
      <c r="E26" s="457"/>
      <c r="F26" s="455"/>
      <c r="G26" s="455"/>
      <c r="H26" s="457"/>
      <c r="I26" s="455"/>
      <c r="J26" s="455"/>
      <c r="K26" s="456"/>
      <c r="L26" s="452"/>
      <c r="M26" s="452"/>
      <c r="N26" s="453"/>
      <c r="O26" s="454"/>
      <c r="P26" s="455"/>
      <c r="Q26" s="456"/>
      <c r="R26" s="452"/>
      <c r="S26" s="455"/>
      <c r="T26" s="456"/>
      <c r="U26" s="452"/>
      <c r="V26" s="455"/>
      <c r="W26" s="456"/>
      <c r="X26" s="452">
        <v>0</v>
      </c>
      <c r="Y26" s="455"/>
      <c r="Z26" s="456"/>
      <c r="AA26" s="452"/>
      <c r="AB26" s="455"/>
      <c r="AC26" s="456"/>
      <c r="AD26" s="452"/>
      <c r="AE26" s="455"/>
      <c r="AF26" s="456"/>
      <c r="AG26" s="452"/>
      <c r="AH26" s="455"/>
      <c r="AI26" s="456"/>
      <c r="AJ26" s="452"/>
      <c r="AK26" s="455"/>
      <c r="AL26" s="456">
        <f t="shared" si="2"/>
        <v>0</v>
      </c>
      <c r="AM26" s="456">
        <f t="shared" si="3"/>
        <v>0</v>
      </c>
      <c r="AN26" s="455" t="str">
        <f t="shared" si="4"/>
        <v xml:space="preserve">    ---- </v>
      </c>
      <c r="AO26" s="456">
        <f t="shared" si="5"/>
        <v>0</v>
      </c>
      <c r="AP26" s="456">
        <f t="shared" si="6"/>
        <v>0</v>
      </c>
      <c r="AQ26" s="455" t="str">
        <f t="shared" si="7"/>
        <v xml:space="preserve">    ---- </v>
      </c>
      <c r="AR26" s="515"/>
      <c r="AS26" s="515"/>
    </row>
    <row r="27" spans="1:46" s="516" customFormat="1" ht="20.100000000000001" customHeight="1" x14ac:dyDescent="0.3">
      <c r="A27" s="479" t="s">
        <v>214</v>
      </c>
      <c r="B27" s="457">
        <f>SUM(B14+B15+B16+B20+B26)</f>
        <v>234.99900000000002</v>
      </c>
      <c r="C27" s="455">
        <f>SUM(C14+C15+C16+C20+C26)</f>
        <v>236.56299999999999</v>
      </c>
      <c r="D27" s="455">
        <f>IF(B27=0, "    ---- ", IF(ABS(ROUND(100/B27*C27-100,1))&lt;999,ROUND(100/B27*C27-100,1),IF(ROUND(100/B27*C27-100,1)&gt;999,999,-999)))</f>
        <v>0.7</v>
      </c>
      <c r="E27" s="457">
        <f>SUM(E14+E15+E16+E20+E26)</f>
        <v>30566.511000000002</v>
      </c>
      <c r="F27" s="455">
        <f>SUM(F14+F15+F16+F20+F26)</f>
        <v>30962.832999999999</v>
      </c>
      <c r="G27" s="455">
        <f t="shared" si="8"/>
        <v>1.3</v>
      </c>
      <c r="H27" s="457">
        <f>SUM(H14+H15+H16+H20+H26)</f>
        <v>212.73100000000002</v>
      </c>
      <c r="I27" s="455">
        <f>SUM(I14+I15+I16+I20+I26)</f>
        <v>187.04900000000001</v>
      </c>
      <c r="J27" s="455">
        <f t="shared" si="11"/>
        <v>-12.1</v>
      </c>
      <c r="K27" s="456">
        <f>SUM(K14+K15+K16+K20+K26)</f>
        <v>899.2</v>
      </c>
      <c r="L27" s="452">
        <f>SUM(L14+L15+L16+L20+L26)</f>
        <v>995.4</v>
      </c>
      <c r="M27" s="452">
        <f t="shared" si="12"/>
        <v>10.7</v>
      </c>
      <c r="N27" s="453"/>
      <c r="O27" s="454">
        <f>SUM(O14+O15+O16+O20+O26)</f>
        <v>0</v>
      </c>
      <c r="P27" s="455" t="str">
        <f t="shared" ref="P27:P28" si="15">IF(N27=0, "    ---- ", IF(ABS(ROUND(100/N27*O27-100,1))&lt;999,ROUND(100/N27*O27-100,1),IF(ROUND(100/N27*O27-100,1)&gt;999,999,-999)))</f>
        <v xml:space="preserve">    ---- </v>
      </c>
      <c r="Q27" s="456">
        <f>SUM(Q14+Q15+Q16+Q20+Q26)</f>
        <v>34778.704647339997</v>
      </c>
      <c r="R27" s="452">
        <f>SUM(R14+R15+R16+R20+R26)</f>
        <v>37390.317033519997</v>
      </c>
      <c r="S27" s="455">
        <f t="shared" si="0"/>
        <v>7.5</v>
      </c>
      <c r="T27" s="456">
        <f>SUM(T14+T15+T16+T20+T26)</f>
        <v>526.6</v>
      </c>
      <c r="U27" s="452">
        <f>SUM(U14+U15+U16+U20+U26)</f>
        <v>498.5</v>
      </c>
      <c r="V27" s="455">
        <f t="shared" si="13"/>
        <v>-5.3</v>
      </c>
      <c r="W27" s="456">
        <f>SUM(W14+W15+W16+W20+W26)</f>
        <v>9410.64</v>
      </c>
      <c r="X27" s="452">
        <f>SUM(X14+X15+X16+X20+X26)</f>
        <v>9865.92</v>
      </c>
      <c r="Y27" s="455">
        <f t="shared" si="14"/>
        <v>4.8</v>
      </c>
      <c r="Z27" s="456">
        <f>SUM(Z14+Z15+Z16+Z20+Z26)</f>
        <v>8430</v>
      </c>
      <c r="AA27" s="452">
        <f>SUM(AA14+AA15+AA16+AA20+AA26)</f>
        <v>8912</v>
      </c>
      <c r="AB27" s="455">
        <f t="shared" si="9"/>
        <v>5.7</v>
      </c>
      <c r="AC27" s="456"/>
      <c r="AD27" s="452"/>
      <c r="AE27" s="455"/>
      <c r="AF27" s="456">
        <f>SUM(AF14+AF15+AF16+AF20+AF26)</f>
        <v>5773.933</v>
      </c>
      <c r="AG27" s="452">
        <f>SUM(AG14+AG15+AG16+AG20+AG26)</f>
        <v>6004.9380000000001</v>
      </c>
      <c r="AH27" s="455">
        <f t="shared" si="1"/>
        <v>4</v>
      </c>
      <c r="AI27" s="456">
        <f>SUM(AI14+AI15+AI16+AI20+AI26)</f>
        <v>32251</v>
      </c>
      <c r="AJ27" s="452">
        <f>SUM(AJ14+AJ15+AJ16+AJ20+AJ26)</f>
        <v>32657.4</v>
      </c>
      <c r="AK27" s="455">
        <f t="shared" si="10"/>
        <v>1.3</v>
      </c>
      <c r="AL27" s="456">
        <f t="shared" si="2"/>
        <v>123084.31864734001</v>
      </c>
      <c r="AM27" s="456">
        <f t="shared" si="3"/>
        <v>127710.92003352</v>
      </c>
      <c r="AN27" s="455">
        <f t="shared" si="4"/>
        <v>3.8</v>
      </c>
      <c r="AO27" s="456">
        <f t="shared" si="5"/>
        <v>123084.31864734001</v>
      </c>
      <c r="AP27" s="456">
        <f t="shared" si="6"/>
        <v>127710.92003352</v>
      </c>
      <c r="AQ27" s="455">
        <f t="shared" si="7"/>
        <v>3.8</v>
      </c>
      <c r="AR27" s="515"/>
      <c r="AS27" s="515"/>
    </row>
    <row r="28" spans="1:46" s="516" customFormat="1" ht="20.100000000000001" customHeight="1" x14ac:dyDescent="0.3">
      <c r="A28" s="478" t="s">
        <v>215</v>
      </c>
      <c r="B28" s="457">
        <v>196.12799999999999</v>
      </c>
      <c r="C28" s="455">
        <f>46.749+209.012+1.38</f>
        <v>257.14100000000002</v>
      </c>
      <c r="D28" s="455">
        <f>IF(B28=0, "    ---- ", IF(ABS(ROUND(100/B28*C28-100,1))&lt;999,ROUND(100/B28*C28-100,1),IF(ROUND(100/B28*C28-100,1)&gt;999,999,-999)))</f>
        <v>31.1</v>
      </c>
      <c r="E28" s="457">
        <v>779</v>
      </c>
      <c r="F28" s="455">
        <v>954.44799999999998</v>
      </c>
      <c r="G28" s="455">
        <f t="shared" si="8"/>
        <v>22.5</v>
      </c>
      <c r="H28" s="457">
        <v>212.637</v>
      </c>
      <c r="I28" s="455">
        <v>258.18200000000002</v>
      </c>
      <c r="J28" s="455">
        <f t="shared" si="11"/>
        <v>21.4</v>
      </c>
      <c r="K28" s="456">
        <v>204.10599999999999</v>
      </c>
      <c r="L28" s="452">
        <v>245.6</v>
      </c>
      <c r="M28" s="452">
        <f t="shared" si="12"/>
        <v>20.3</v>
      </c>
      <c r="N28" s="453">
        <v>140</v>
      </c>
      <c r="O28" s="454">
        <v>147</v>
      </c>
      <c r="P28" s="455">
        <f t="shared" si="15"/>
        <v>5</v>
      </c>
      <c r="Q28" s="456">
        <v>10005.29963781</v>
      </c>
      <c r="R28" s="452">
        <v>14617.838298470002</v>
      </c>
      <c r="S28" s="455">
        <f t="shared" si="0"/>
        <v>46.1</v>
      </c>
      <c r="T28" s="456">
        <v>23.8</v>
      </c>
      <c r="U28" s="452">
        <v>32.299999999999997</v>
      </c>
      <c r="V28" s="455">
        <f t="shared" si="13"/>
        <v>35.700000000000003</v>
      </c>
      <c r="W28" s="456">
        <v>195.5</v>
      </c>
      <c r="X28" s="452">
        <v>547</v>
      </c>
      <c r="Y28" s="455">
        <f t="shared" si="14"/>
        <v>179.8</v>
      </c>
      <c r="Z28" s="456">
        <v>1144</v>
      </c>
      <c r="AA28" s="452">
        <f>62+1280+37+6</f>
        <v>1385</v>
      </c>
      <c r="AB28" s="455">
        <f t="shared" si="9"/>
        <v>21.1</v>
      </c>
      <c r="AC28" s="456">
        <v>43</v>
      </c>
      <c r="AD28" s="452">
        <v>57</v>
      </c>
      <c r="AE28" s="455">
        <f>IF(AC28=0, "    ---- ", IF(ABS(ROUND(100/AC28*AD28-100,1))&lt;999,ROUND(100/AC28*AD28-100,1),IF(ROUND(100/AC28*AD28-100,1)&gt;999,999,-999)))</f>
        <v>32.6</v>
      </c>
      <c r="AF28" s="456">
        <v>560.10199999999998</v>
      </c>
      <c r="AG28" s="452">
        <v>513.38</v>
      </c>
      <c r="AH28" s="455">
        <f t="shared" si="1"/>
        <v>-8.3000000000000007</v>
      </c>
      <c r="AI28" s="456">
        <v>2197</v>
      </c>
      <c r="AJ28" s="452">
        <f>350+1030.1+1110.75+44</f>
        <v>2534.85</v>
      </c>
      <c r="AK28" s="455">
        <f t="shared" si="10"/>
        <v>15.4</v>
      </c>
      <c r="AL28" s="456">
        <f t="shared" si="2"/>
        <v>15517.572637809999</v>
      </c>
      <c r="AM28" s="456">
        <f t="shared" si="3"/>
        <v>21345.739298470002</v>
      </c>
      <c r="AN28" s="455">
        <f t="shared" si="4"/>
        <v>37.6</v>
      </c>
      <c r="AO28" s="456">
        <f t="shared" si="5"/>
        <v>15700.572637809999</v>
      </c>
      <c r="AP28" s="456">
        <f t="shared" si="6"/>
        <v>21549.739298470002</v>
      </c>
      <c r="AQ28" s="455">
        <f t="shared" si="7"/>
        <v>37.299999999999997</v>
      </c>
      <c r="AR28" s="515"/>
      <c r="AS28" s="515"/>
    </row>
    <row r="29" spans="1:46" s="516" customFormat="1" ht="20.100000000000001" customHeight="1" x14ac:dyDescent="0.3">
      <c r="A29" s="478" t="s">
        <v>216</v>
      </c>
      <c r="B29" s="457">
        <f>SUM(B27+B28)</f>
        <v>431.12700000000001</v>
      </c>
      <c r="C29" s="455">
        <f>SUM(C27+C28)</f>
        <v>493.70400000000001</v>
      </c>
      <c r="D29" s="455">
        <f>IF(B29=0, "    ---- ", IF(ABS(ROUND(100/B29*C29-100,1))&lt;999,ROUND(100/B29*C29-100,1),IF(ROUND(100/B29*C29-100,1)&gt;999,999,-999)))</f>
        <v>14.5</v>
      </c>
      <c r="E29" s="457">
        <f>SUM(E27+E28)</f>
        <v>31345.511000000002</v>
      </c>
      <c r="F29" s="455">
        <f>SUM(F27+F28)</f>
        <v>31917.280999999999</v>
      </c>
      <c r="G29" s="455">
        <f>IF(E29=0, "    ---- ", IF(ABS(ROUND(100/E29*F29-100,1))&lt;999,ROUND(100/E29*F29-100,1),IF(ROUND(100/E29*F29-100,1)&gt;999,999,-999)))</f>
        <v>1.8</v>
      </c>
      <c r="H29" s="457">
        <f>SUM(H27+H28)</f>
        <v>425.36800000000005</v>
      </c>
      <c r="I29" s="455">
        <f>SUM(I27+I28)</f>
        <v>445.23099999999999</v>
      </c>
      <c r="J29" s="455">
        <f>IF(H29=0, "    ---- ", IF(ABS(ROUND(100/H29*I29-100,1))&lt;999,ROUND(100/H29*I29-100,1),IF(ROUND(100/H29*I29-100,1)&gt;999,999,-999)))</f>
        <v>4.7</v>
      </c>
      <c r="K29" s="457">
        <f>SUM(K27+K28)</f>
        <v>1103.306</v>
      </c>
      <c r="L29" s="455">
        <f>SUM(L27+L28)</f>
        <v>1241</v>
      </c>
      <c r="M29" s="455">
        <f>IF(K29=0, "    ---- ", IF(ABS(ROUND(100/K29*L29-100,1))&lt;999,ROUND(100/K29*L29-100,1),IF(ROUND(100/K29*L29-100,1)&gt;999,999,-999)))</f>
        <v>12.5</v>
      </c>
      <c r="N29" s="457">
        <f>SUM(N27+N28)</f>
        <v>140</v>
      </c>
      <c r="O29" s="455">
        <f>SUM(O27+O28)</f>
        <v>147</v>
      </c>
      <c r="P29" s="455">
        <f>IF(N29=0, "    ---- ", IF(ABS(ROUND(100/N29*O29-100,1))&lt;999,ROUND(100/N29*O29-100,1),IF(ROUND(100/N29*O29-100,1)&gt;999,999,-999)))</f>
        <v>5</v>
      </c>
      <c r="Q29" s="457">
        <f>SUM(Q27+Q28)</f>
        <v>44784.004285149997</v>
      </c>
      <c r="R29" s="455">
        <f>SUM(R27+R28)</f>
        <v>52008.155331989998</v>
      </c>
      <c r="S29" s="455">
        <f>IF(Q29=0, "    ---- ", IF(ABS(ROUND(100/Q29*R29-100,1))&lt;999,ROUND(100/Q29*R29-100,1),IF(ROUND(100/Q29*R29-100,1)&gt;999,999,-999)))</f>
        <v>16.100000000000001</v>
      </c>
      <c r="T29" s="457">
        <f>SUM(T27+T28)</f>
        <v>550.4</v>
      </c>
      <c r="U29" s="455">
        <f>SUM(U27+U28)</f>
        <v>530.79999999999995</v>
      </c>
      <c r="V29" s="455">
        <f>IF(T29=0, "    ---- ", IF(ABS(ROUND(100/T29*U29-100,1))&lt;999,ROUND(100/T29*U29-100,1),IF(ROUND(100/T29*U29-100,1)&gt;999,999,-999)))</f>
        <v>-3.6</v>
      </c>
      <c r="W29" s="457">
        <f>SUM(W27+W28)</f>
        <v>9606.14</v>
      </c>
      <c r="X29" s="455">
        <f>SUM(X27+X28)</f>
        <v>10412.92</v>
      </c>
      <c r="Y29" s="455">
        <f>IF(W29=0, "    ---- ", IF(ABS(ROUND(100/W29*X29-100,1))&lt;999,ROUND(100/W29*X29-100,1),IF(ROUND(100/W29*X29-100,1)&gt;999,999,-999)))</f>
        <v>8.4</v>
      </c>
      <c r="Z29" s="457">
        <f>SUM(Z27+Z28)</f>
        <v>9574</v>
      </c>
      <c r="AA29" s="455">
        <f>SUM(AA27+AA28)</f>
        <v>10297</v>
      </c>
      <c r="AB29" s="455">
        <f>IF(Z29=0, "    ---- ", IF(ABS(ROUND(100/Z29*AA29-100,1))&lt;999,ROUND(100/Z29*AA29-100,1),IF(ROUND(100/Z29*AA29-100,1)&gt;999,999,-999)))</f>
        <v>7.6</v>
      </c>
      <c r="AC29" s="457">
        <f>SUM(AC27+AC28)</f>
        <v>43</v>
      </c>
      <c r="AD29" s="455">
        <f>SUM(AD27+AD28)</f>
        <v>57</v>
      </c>
      <c r="AE29" s="455">
        <f>IF(AC29=0, "    ---- ", IF(ABS(ROUND(100/AC29*AD29-100,1))&lt;999,ROUND(100/AC29*AD29-100,1),IF(ROUND(100/AC29*AD29-100,1)&gt;999,999,-999)))</f>
        <v>32.6</v>
      </c>
      <c r="AF29" s="457">
        <f>SUM(AF27+AF28)</f>
        <v>6334.0349999999999</v>
      </c>
      <c r="AG29" s="455">
        <f>SUM(AG27+AG28)</f>
        <v>6518.3180000000002</v>
      </c>
      <c r="AH29" s="455">
        <f>IF(AF29=0, "    ---- ", IF(ABS(ROUND(100/AF29*AG29-100,1))&lt;999,ROUND(100/AF29*AG29-100,1),IF(ROUND(100/AF29*AG29-100,1)&gt;999,999,-999)))</f>
        <v>2.9</v>
      </c>
      <c r="AI29" s="457">
        <f>SUM(AI27+AI28)</f>
        <v>34448</v>
      </c>
      <c r="AJ29" s="455">
        <f>SUM(AJ27+AJ28)</f>
        <v>35192.25</v>
      </c>
      <c r="AK29" s="455">
        <f>IF(AI29=0, "    ---- ", IF(ABS(ROUND(100/AI29*AJ29-100,1))&lt;999,ROUND(100/AI29*AJ29-100,1),IF(ROUND(100/AI29*AJ29-100,1)&gt;999,999,-999)))</f>
        <v>2.2000000000000002</v>
      </c>
      <c r="AL29" s="456">
        <f t="shared" si="2"/>
        <v>138601.89128514999</v>
      </c>
      <c r="AM29" s="456">
        <f t="shared" si="3"/>
        <v>149056.65933199</v>
      </c>
      <c r="AN29" s="455">
        <f>IF(AL29=0, "    ---- ", IF(ABS(ROUND(100/AL29*AM29-100,1))&lt;999,ROUND(100/AL29*AM29-100,1),IF(ROUND(100/AL29*AM29-100,1)&gt;999,999,-999)))</f>
        <v>7.5</v>
      </c>
      <c r="AO29" s="456">
        <f t="shared" si="5"/>
        <v>138784.89128514999</v>
      </c>
      <c r="AP29" s="456">
        <f t="shared" si="6"/>
        <v>149260.65933199</v>
      </c>
      <c r="AQ29" s="458">
        <f t="shared" si="7"/>
        <v>7.5</v>
      </c>
      <c r="AR29" s="515"/>
      <c r="AS29" s="515"/>
      <c r="AT29" s="517"/>
    </row>
    <row r="30" spans="1:46" s="484" customFormat="1" ht="20.100000000000001" customHeight="1" x14ac:dyDescent="0.3">
      <c r="A30" s="478"/>
      <c r="B30" s="445"/>
      <c r="C30" s="442"/>
      <c r="D30" s="459"/>
      <c r="E30" s="445"/>
      <c r="F30" s="442"/>
      <c r="G30" s="459"/>
      <c r="H30" s="445"/>
      <c r="I30" s="442"/>
      <c r="J30" s="459"/>
      <c r="K30" s="461"/>
      <c r="L30" s="459"/>
      <c r="M30" s="442"/>
      <c r="N30" s="445"/>
      <c r="O30" s="442"/>
      <c r="P30" s="342"/>
      <c r="Q30" s="445"/>
      <c r="R30" s="442"/>
      <c r="S30" s="342"/>
      <c r="T30" s="445"/>
      <c r="U30" s="442"/>
      <c r="V30" s="342"/>
      <c r="W30" s="445"/>
      <c r="X30" s="442"/>
      <c r="Y30" s="342"/>
      <c r="Z30" s="445"/>
      <c r="AA30" s="442"/>
      <c r="AB30" s="342"/>
      <c r="AC30" s="445"/>
      <c r="AD30" s="442"/>
      <c r="AE30" s="342"/>
      <c r="AF30" s="445"/>
      <c r="AG30" s="442"/>
      <c r="AH30" s="342"/>
      <c r="AI30" s="445"/>
      <c r="AJ30" s="442"/>
      <c r="AK30" s="342"/>
      <c r="AL30" s="445"/>
      <c r="AM30" s="445"/>
      <c r="AN30" s="342"/>
      <c r="AO30" s="445"/>
      <c r="AP30" s="445"/>
      <c r="AQ30" s="460"/>
      <c r="AR30" s="514"/>
      <c r="AS30" s="514"/>
    </row>
    <row r="31" spans="1:46" s="484" customFormat="1" ht="20.100000000000001" customHeight="1" x14ac:dyDescent="0.3">
      <c r="A31" s="476" t="s">
        <v>217</v>
      </c>
      <c r="B31" s="461"/>
      <c r="C31" s="459"/>
      <c r="D31" s="459"/>
      <c r="E31" s="461"/>
      <c r="F31" s="459"/>
      <c r="G31" s="459"/>
      <c r="H31" s="461"/>
      <c r="I31" s="459"/>
      <c r="J31" s="459"/>
      <c r="K31" s="461"/>
      <c r="L31" s="459"/>
      <c r="M31" s="442"/>
      <c r="N31" s="461"/>
      <c r="O31" s="459"/>
      <c r="P31" s="342"/>
      <c r="Q31" s="461"/>
      <c r="R31" s="459"/>
      <c r="S31" s="342"/>
      <c r="T31" s="461"/>
      <c r="U31" s="459"/>
      <c r="V31" s="342"/>
      <c r="W31" s="461"/>
      <c r="X31" s="459"/>
      <c r="Y31" s="342"/>
      <c r="Z31" s="461"/>
      <c r="AA31" s="459"/>
      <c r="AB31" s="342"/>
      <c r="AC31" s="461"/>
      <c r="AD31" s="459"/>
      <c r="AE31" s="342"/>
      <c r="AF31" s="461"/>
      <c r="AG31" s="459"/>
      <c r="AH31" s="342"/>
      <c r="AI31" s="461"/>
      <c r="AJ31" s="459"/>
      <c r="AK31" s="342"/>
      <c r="AL31" s="445"/>
      <c r="AM31" s="445"/>
      <c r="AN31" s="342"/>
      <c r="AO31" s="445"/>
      <c r="AP31" s="445"/>
      <c r="AQ31" s="460"/>
      <c r="AR31" s="514"/>
      <c r="AS31" s="514"/>
    </row>
    <row r="32" spans="1:46" s="484" customFormat="1" ht="20.100000000000001" customHeight="1" x14ac:dyDescent="0.3">
      <c r="A32" s="476" t="s">
        <v>218</v>
      </c>
      <c r="B32" s="461"/>
      <c r="C32" s="459"/>
      <c r="D32" s="342"/>
      <c r="E32" s="461"/>
      <c r="F32" s="459"/>
      <c r="G32" s="342"/>
      <c r="H32" s="461"/>
      <c r="I32" s="459"/>
      <c r="J32" s="342"/>
      <c r="K32" s="461"/>
      <c r="L32" s="459"/>
      <c r="M32" s="442"/>
      <c r="N32" s="461"/>
      <c r="O32" s="459"/>
      <c r="P32" s="342"/>
      <c r="Q32" s="461"/>
      <c r="R32" s="459"/>
      <c r="S32" s="342"/>
      <c r="T32" s="461"/>
      <c r="U32" s="459"/>
      <c r="V32" s="342"/>
      <c r="W32" s="461"/>
      <c r="X32" s="459"/>
      <c r="Y32" s="342"/>
      <c r="Z32" s="461"/>
      <c r="AA32" s="459"/>
      <c r="AB32" s="342"/>
      <c r="AC32" s="461"/>
      <c r="AD32" s="459"/>
      <c r="AE32" s="342"/>
      <c r="AF32" s="461"/>
      <c r="AG32" s="459"/>
      <c r="AH32" s="342"/>
      <c r="AI32" s="461"/>
      <c r="AJ32" s="459"/>
      <c r="AK32" s="342"/>
      <c r="AL32" s="445"/>
      <c r="AM32" s="445"/>
      <c r="AN32" s="342"/>
      <c r="AO32" s="445"/>
      <c r="AP32" s="445"/>
      <c r="AQ32" s="460"/>
      <c r="AR32" s="514"/>
      <c r="AS32" s="514"/>
    </row>
    <row r="33" spans="1:46" s="484" customFormat="1" ht="20.100000000000001" customHeight="1" x14ac:dyDescent="0.3">
      <c r="A33" s="478" t="s">
        <v>219</v>
      </c>
      <c r="B33" s="461"/>
      <c r="C33" s="459"/>
      <c r="D33" s="459"/>
      <c r="E33" s="461">
        <v>33.582000000000001</v>
      </c>
      <c r="F33" s="459">
        <v>33.491</v>
      </c>
      <c r="G33" s="459">
        <f t="shared" ref="G33:G91" si="16">IF(E33=0, "    ---- ", IF(ABS(ROUND(100/E33*F33-100,1))&lt;999,ROUND(100/E33*F33-100,1),IF(ROUND(100/E33*F33-100,1)&gt;999,999,-999)))</f>
        <v>-0.3</v>
      </c>
      <c r="H33" s="461"/>
      <c r="I33" s="459"/>
      <c r="J33" s="459"/>
      <c r="K33" s="461"/>
      <c r="L33" s="459"/>
      <c r="M33" s="442"/>
      <c r="N33" s="461"/>
      <c r="O33" s="459"/>
      <c r="P33" s="342"/>
      <c r="Q33" s="461"/>
      <c r="R33" s="459"/>
      <c r="S33" s="342"/>
      <c r="T33" s="461"/>
      <c r="U33" s="459"/>
      <c r="V33" s="342"/>
      <c r="W33" s="461"/>
      <c r="X33" s="459">
        <v>1.9699999999999998E-6</v>
      </c>
      <c r="Y33" s="342"/>
      <c r="Z33" s="461"/>
      <c r="AA33" s="459"/>
      <c r="AB33" s="342"/>
      <c r="AC33" s="461"/>
      <c r="AD33" s="459"/>
      <c r="AE33" s="342"/>
      <c r="AF33" s="461">
        <v>0.98099999999999998</v>
      </c>
      <c r="AG33" s="459">
        <v>0.98599999999999999</v>
      </c>
      <c r="AH33" s="342">
        <f t="shared" ref="AH33:AH91" si="17">IF(AF33=0, "    ---- ", IF(ABS(ROUND(100/AF33*AG33-100,1))&lt;999,ROUND(100/AF33*AG33-100,1),IF(ROUND(100/AF33*AG33-100,1)&gt;999,999,-999)))</f>
        <v>0.5</v>
      </c>
      <c r="AI33" s="461"/>
      <c r="AJ33" s="459"/>
      <c r="AK33" s="342"/>
      <c r="AL33" s="445">
        <f t="shared" ref="AL33:AL46" si="18">B33+E33+H33+K33+Q33+T33+W33+Z33+AF33+AI33</f>
        <v>34.563000000000002</v>
      </c>
      <c r="AM33" s="445">
        <f t="shared" ref="AM33:AM46" si="19">C33+F33+I33+L33+R33+U33+X33+AA33+AG33+AJ33</f>
        <v>34.477001969999996</v>
      </c>
      <c r="AN33" s="342">
        <f t="shared" ref="AN33:AN91" si="20">IF(AL33=0, "    ---- ", IF(ABS(ROUND(100/AL33*AM33-100,1))&lt;999,ROUND(100/AL33*AM33-100,1),IF(ROUND(100/AL33*AM33-100,1)&gt;999,999,-999)))</f>
        <v>-0.2</v>
      </c>
      <c r="AO33" s="445">
        <f t="shared" ref="AO33:AO46" si="21">B33+E33+H33+K33+N33+Q33+T33+W33+Z33+AC33+AF33+AI33</f>
        <v>34.563000000000002</v>
      </c>
      <c r="AP33" s="445">
        <f t="shared" ref="AP33:AP46" si="22">C33+F33+I33+L33+O33+R33+U33+X33+AA33+AD33+AG33+AJ33</f>
        <v>34.477001969999996</v>
      </c>
      <c r="AQ33" s="460">
        <f t="shared" ref="AQ33:AQ91" si="23">IF(AO33=0, "    ---- ", IF(ABS(ROUND(100/AO33*AP33-100,1))&lt;999,ROUND(100/AO33*AP33-100,1),IF(ROUND(100/AO33*AP33-100,1)&gt;999,999,-999)))</f>
        <v>-0.2</v>
      </c>
      <c r="AR33" s="514"/>
      <c r="AS33" s="514"/>
      <c r="AT33" s="518"/>
    </row>
    <row r="34" spans="1:46" s="484" customFormat="1" ht="20.100000000000001" customHeight="1" x14ac:dyDescent="0.3">
      <c r="A34" s="478" t="s">
        <v>220</v>
      </c>
      <c r="B34" s="461"/>
      <c r="C34" s="459"/>
      <c r="D34" s="459"/>
      <c r="E34" s="461">
        <v>21222.58</v>
      </c>
      <c r="F34" s="459">
        <v>21523.383999999998</v>
      </c>
      <c r="G34" s="459">
        <f t="shared" si="16"/>
        <v>1.4</v>
      </c>
      <c r="H34" s="461"/>
      <c r="I34" s="459"/>
      <c r="J34" s="459"/>
      <c r="K34" s="461"/>
      <c r="L34" s="459">
        <v>895.9</v>
      </c>
      <c r="M34" s="442"/>
      <c r="N34" s="461"/>
      <c r="O34" s="459"/>
      <c r="P34" s="342"/>
      <c r="Q34" s="461">
        <v>56310.662799720005</v>
      </c>
      <c r="R34" s="459">
        <v>60999.486212120006</v>
      </c>
      <c r="S34" s="342">
        <f>IF(Q34=0, "    ---- ", IF(ABS(ROUND(100/Q34*R34-100,1))&lt;999,ROUND(100/Q34*R34-100,1),IF(ROUND(100/Q34*R34-100,1)&gt;999,999,-999)))</f>
        <v>8.3000000000000007</v>
      </c>
      <c r="T34" s="461">
        <v>191.3</v>
      </c>
      <c r="U34" s="459">
        <v>205.4</v>
      </c>
      <c r="V34" s="342">
        <f>IF(T34=0, "    ---- ", IF(ABS(ROUND(100/T34*U34-100,1))&lt;999,ROUND(100/T34*U34-100,1),IF(ROUND(100/T34*U34-100,1)&gt;999,999,-999)))</f>
        <v>7.4</v>
      </c>
      <c r="W34" s="461">
        <v>5269.2790937999998</v>
      </c>
      <c r="X34" s="459">
        <v>6359.4371270199999</v>
      </c>
      <c r="Y34" s="342">
        <f t="shared" ref="Y34:Y91" si="24">IF(W34=0, "    ---- ", IF(ABS(ROUND(100/W34*X34-100,1))&lt;999,ROUND(100/W34*X34-100,1),IF(ROUND(100/W34*X34-100,1)&gt;999,999,-999)))</f>
        <v>20.7</v>
      </c>
      <c r="Z34" s="461">
        <v>13312</v>
      </c>
      <c r="AA34" s="459">
        <f>13516+456</f>
        <v>13972</v>
      </c>
      <c r="AB34" s="342">
        <f t="shared" ref="AB34:AB42" si="25">IF(Z34=0, "    ---- ", IF(ABS(ROUND(100/Z34*AA34-100,1))&lt;999,ROUND(100/Z34*AA34-100,1),IF(ROUND(100/Z34*AA34-100,1)&gt;999,999,-999)))</f>
        <v>5</v>
      </c>
      <c r="AC34" s="461"/>
      <c r="AD34" s="459"/>
      <c r="AE34" s="342"/>
      <c r="AF34" s="461">
        <v>3620.201</v>
      </c>
      <c r="AG34" s="459">
        <v>4234.7700000000004</v>
      </c>
      <c r="AH34" s="342">
        <f t="shared" si="17"/>
        <v>17</v>
      </c>
      <c r="AI34" s="461">
        <v>21496</v>
      </c>
      <c r="AJ34" s="459">
        <v>19708</v>
      </c>
      <c r="AK34" s="342">
        <f t="shared" ref="AK34:AK91" si="26">IF(AI34=0, "    ---- ", IF(ABS(ROUND(100/AI34*AJ34-100,1))&lt;999,ROUND(100/AI34*AJ34-100,1),IF(ROUND(100/AI34*AJ34-100,1)&gt;999,999,-999)))</f>
        <v>-8.3000000000000007</v>
      </c>
      <c r="AL34" s="445">
        <f t="shared" si="18"/>
        <v>121422.02289352</v>
      </c>
      <c r="AM34" s="445">
        <f t="shared" si="19"/>
        <v>127898.37733914</v>
      </c>
      <c r="AN34" s="342">
        <f t="shared" si="20"/>
        <v>5.3</v>
      </c>
      <c r="AO34" s="445">
        <f t="shared" si="21"/>
        <v>121422.02289352</v>
      </c>
      <c r="AP34" s="445">
        <f t="shared" si="22"/>
        <v>127898.37733914</v>
      </c>
      <c r="AQ34" s="460">
        <f t="shared" si="23"/>
        <v>5.3</v>
      </c>
      <c r="AR34" s="514"/>
      <c r="AS34" s="514"/>
      <c r="AT34" s="518"/>
    </row>
    <row r="35" spans="1:46" s="484" customFormat="1" ht="20.100000000000001" customHeight="1" x14ac:dyDescent="0.3">
      <c r="A35" s="478" t="s">
        <v>221</v>
      </c>
      <c r="B35" s="461"/>
      <c r="C35" s="459"/>
      <c r="D35" s="459"/>
      <c r="E35" s="461">
        <f>SUM(E36+E38)</f>
        <v>109593.93100000001</v>
      </c>
      <c r="F35" s="459">
        <f>SUM(F36+F38)</f>
        <v>107907.08900000001</v>
      </c>
      <c r="G35" s="459">
        <f t="shared" si="16"/>
        <v>-1.5</v>
      </c>
      <c r="H35" s="461">
        <f>SUM(H36+H38)</f>
        <v>143.506</v>
      </c>
      <c r="I35" s="459">
        <f>SUM(I36+I38)</f>
        <v>178.755</v>
      </c>
      <c r="J35" s="459"/>
      <c r="K35" s="461">
        <f>SUM(K36+K38)</f>
        <v>4464.1350000000002</v>
      </c>
      <c r="L35" s="459">
        <f>SUM(L36+L38)</f>
        <v>4946.2000000000007</v>
      </c>
      <c r="M35" s="442">
        <f>IF(K35=0, "    ---- ", IF(ABS(ROUND(100/K35*L35-100,1))&lt;999,ROUND(100/K35*L35-100,1),IF(ROUND(100/K35*L35-100,1)&gt;999,999,-999)))</f>
        <v>10.8</v>
      </c>
      <c r="N35" s="461"/>
      <c r="O35" s="459"/>
      <c r="P35" s="342"/>
      <c r="Q35" s="461">
        <f>SUM(Q36+Q38)</f>
        <v>182347.53102997001</v>
      </c>
      <c r="R35" s="459">
        <f>SUM(R36+R38)</f>
        <v>202409.84620408001</v>
      </c>
      <c r="S35" s="342">
        <f>IF(Q35=0, "    ---- ", IF(ABS(ROUND(100/Q35*R35-100,1))&lt;999,ROUND(100/Q35*R35-100,1),IF(ROUND(100/Q35*R35-100,1)&gt;999,999,-999)))</f>
        <v>11</v>
      </c>
      <c r="T35" s="461">
        <f>SUM(T36+T38)</f>
        <v>791.40000000000009</v>
      </c>
      <c r="U35" s="459">
        <f>SUM(U36+U38)</f>
        <v>1275.9000000000001</v>
      </c>
      <c r="V35" s="342">
        <f>IF(T35=0, "    ---- ", IF(ABS(ROUND(100/T35*U35-100,1))&lt;999,ROUND(100/T35*U35-100,1),IF(ROUND(100/T35*U35-100,1)&gt;999,999,-999)))</f>
        <v>61.2</v>
      </c>
      <c r="W35" s="461">
        <f>SUM(W36+W38)</f>
        <v>28631.294195160001</v>
      </c>
      <c r="X35" s="459">
        <f>SUM(X36+X38)</f>
        <v>30943.675017480004</v>
      </c>
      <c r="Y35" s="342">
        <f t="shared" si="24"/>
        <v>8.1</v>
      </c>
      <c r="Z35" s="461">
        <f>SUM(Z36+Z38)</f>
        <v>21186</v>
      </c>
      <c r="AA35" s="459">
        <f>SUM(AA36+AA38)</f>
        <v>23810</v>
      </c>
      <c r="AB35" s="342">
        <f t="shared" si="25"/>
        <v>12.4</v>
      </c>
      <c r="AC35" s="461"/>
      <c r="AD35" s="459"/>
      <c r="AE35" s="342"/>
      <c r="AF35" s="461">
        <f>SUM(AF36+AF38)</f>
        <v>8009.5819999999994</v>
      </c>
      <c r="AG35" s="459">
        <f>SUM(AG36+AG38)</f>
        <v>8555.3819999999996</v>
      </c>
      <c r="AH35" s="342">
        <f t="shared" si="17"/>
        <v>6.8</v>
      </c>
      <c r="AI35" s="461">
        <f>SUM(AI36+AI38)</f>
        <v>120803</v>
      </c>
      <c r="AJ35" s="459">
        <f>SUM(AJ36+AJ38)</f>
        <v>130165.90000000001</v>
      </c>
      <c r="AK35" s="342">
        <f t="shared" si="26"/>
        <v>7.8</v>
      </c>
      <c r="AL35" s="445">
        <f t="shared" si="18"/>
        <v>475970.37922513002</v>
      </c>
      <c r="AM35" s="445">
        <f t="shared" si="19"/>
        <v>510192.74722156004</v>
      </c>
      <c r="AN35" s="342">
        <f t="shared" si="20"/>
        <v>7.2</v>
      </c>
      <c r="AO35" s="445">
        <f t="shared" si="21"/>
        <v>475970.37922513002</v>
      </c>
      <c r="AP35" s="445">
        <f t="shared" si="22"/>
        <v>510192.74722156004</v>
      </c>
      <c r="AQ35" s="460">
        <f t="shared" si="23"/>
        <v>7.2</v>
      </c>
      <c r="AR35" s="514"/>
      <c r="AS35" s="514"/>
      <c r="AT35" s="518"/>
    </row>
    <row r="36" spans="1:46" s="484" customFormat="1" ht="20.100000000000001" customHeight="1" x14ac:dyDescent="0.3">
      <c r="A36" s="478" t="s">
        <v>222</v>
      </c>
      <c r="B36" s="461"/>
      <c r="C36" s="459"/>
      <c r="D36" s="342"/>
      <c r="E36" s="461">
        <v>75691.122000000003</v>
      </c>
      <c r="F36" s="459">
        <v>73486.851999999999</v>
      </c>
      <c r="G36" s="342">
        <f t="shared" si="16"/>
        <v>-2.9</v>
      </c>
      <c r="H36" s="461">
        <v>143.506</v>
      </c>
      <c r="I36" s="459">
        <v>178.755</v>
      </c>
      <c r="J36" s="342"/>
      <c r="K36" s="461">
        <v>30.082000000000001</v>
      </c>
      <c r="L36" s="459">
        <v>30.1</v>
      </c>
      <c r="M36" s="442">
        <f>IF(K36=0, "    ---- ", IF(ABS(ROUND(100/K36*L36-100,1))&lt;999,ROUND(100/K36*L36-100,1),IF(ROUND(100/K36*L36-100,1)&gt;999,999,-999)))</f>
        <v>0.1</v>
      </c>
      <c r="N36" s="461"/>
      <c r="O36" s="459"/>
      <c r="P36" s="342"/>
      <c r="Q36" s="461">
        <v>25435.78120397</v>
      </c>
      <c r="R36" s="459">
        <v>23175.52676488</v>
      </c>
      <c r="S36" s="342">
        <f>IF(Q36=0, "    ---- ", IF(ABS(ROUND(100/Q36*R36-100,1))&lt;999,ROUND(100/Q36*R36-100,1),IF(ROUND(100/Q36*R36-100,1)&gt;999,999,-999)))</f>
        <v>-8.9</v>
      </c>
      <c r="T36" s="461">
        <v>82.7</v>
      </c>
      <c r="U36" s="459">
        <v>122.5</v>
      </c>
      <c r="V36" s="342">
        <f>IF(T36=0, "    ---- ", IF(ABS(ROUND(100/T36*U36-100,1))&lt;999,ROUND(100/T36*U36-100,1),IF(ROUND(100/T36*U36-100,1)&gt;999,999,-999)))</f>
        <v>48.1</v>
      </c>
      <c r="W36" s="461">
        <v>799.81528402999993</v>
      </c>
      <c r="X36" s="459">
        <v>786.21902069000009</v>
      </c>
      <c r="Y36" s="342">
        <f t="shared" si="24"/>
        <v>-1.7</v>
      </c>
      <c r="Z36" s="461">
        <v>1861</v>
      </c>
      <c r="AA36" s="459">
        <v>983</v>
      </c>
      <c r="AB36" s="342">
        <f t="shared" si="25"/>
        <v>-47.2</v>
      </c>
      <c r="AC36" s="461"/>
      <c r="AD36" s="459"/>
      <c r="AE36" s="342"/>
      <c r="AF36" s="461">
        <v>1426.0840000000001</v>
      </c>
      <c r="AG36" s="459">
        <v>1109.846</v>
      </c>
      <c r="AH36" s="342">
        <f t="shared" si="17"/>
        <v>-22.2</v>
      </c>
      <c r="AI36" s="461">
        <v>15720</v>
      </c>
      <c r="AJ36" s="459">
        <v>14468.6</v>
      </c>
      <c r="AK36" s="342">
        <f t="shared" si="26"/>
        <v>-8</v>
      </c>
      <c r="AL36" s="445">
        <f t="shared" si="18"/>
        <v>121190.09048799999</v>
      </c>
      <c r="AM36" s="445">
        <f t="shared" si="19"/>
        <v>114341.39878557003</v>
      </c>
      <c r="AN36" s="342">
        <f t="shared" si="20"/>
        <v>-5.7</v>
      </c>
      <c r="AO36" s="445">
        <f t="shared" si="21"/>
        <v>121190.09048799999</v>
      </c>
      <c r="AP36" s="445">
        <f t="shared" si="22"/>
        <v>114341.39878557003</v>
      </c>
      <c r="AQ36" s="460">
        <f t="shared" si="23"/>
        <v>-5.7</v>
      </c>
      <c r="AR36" s="514"/>
      <c r="AS36" s="514"/>
      <c r="AT36" s="518"/>
    </row>
    <row r="37" spans="1:46" s="484" customFormat="1" ht="20.100000000000001" customHeight="1" x14ac:dyDescent="0.3">
      <c r="A37" s="478" t="s">
        <v>205</v>
      </c>
      <c r="B37" s="461"/>
      <c r="C37" s="459"/>
      <c r="D37" s="459"/>
      <c r="E37" s="461">
        <v>75691.122000000003</v>
      </c>
      <c r="F37" s="459">
        <v>73486.851999999999</v>
      </c>
      <c r="G37" s="459">
        <f t="shared" si="16"/>
        <v>-2.9</v>
      </c>
      <c r="H37" s="461">
        <v>143.506</v>
      </c>
      <c r="I37" s="459">
        <v>178.755</v>
      </c>
      <c r="J37" s="459"/>
      <c r="K37" s="461">
        <v>30.082000000000001</v>
      </c>
      <c r="L37" s="459">
        <v>30.1</v>
      </c>
      <c r="M37" s="442">
        <f>IF(K37=0, "    ---- ", IF(ABS(ROUND(100/K37*L37-100,1))&lt;999,ROUND(100/K37*L37-100,1),IF(ROUND(100/K37*L37-100,1)&gt;999,999,-999)))</f>
        <v>0.1</v>
      </c>
      <c r="N37" s="461"/>
      <c r="O37" s="459"/>
      <c r="P37" s="342"/>
      <c r="Q37" s="461">
        <v>25435.78120397</v>
      </c>
      <c r="R37" s="459">
        <v>23175.52676488</v>
      </c>
      <c r="S37" s="342">
        <f>IF(Q37=0, "    ---- ", IF(ABS(ROUND(100/Q37*R37-100,1))&lt;999,ROUND(100/Q37*R37-100,1),IF(ROUND(100/Q37*R37-100,1)&gt;999,999,-999)))</f>
        <v>-8.9</v>
      </c>
      <c r="T37" s="461"/>
      <c r="U37" s="459"/>
      <c r="V37" s="342"/>
      <c r="W37" s="461">
        <v>799.81528402999993</v>
      </c>
      <c r="X37" s="459">
        <v>786.21902069000009</v>
      </c>
      <c r="Y37" s="342">
        <f t="shared" si="24"/>
        <v>-1.7</v>
      </c>
      <c r="Z37" s="461"/>
      <c r="AA37" s="459"/>
      <c r="AB37" s="342"/>
      <c r="AC37" s="461"/>
      <c r="AD37" s="459"/>
      <c r="AE37" s="342"/>
      <c r="AF37" s="461">
        <v>180.96280496999915</v>
      </c>
      <c r="AG37" s="459">
        <v>180.96607009000041</v>
      </c>
      <c r="AH37" s="342">
        <f t="shared" si="17"/>
        <v>0</v>
      </c>
      <c r="AI37" s="461">
        <v>15720</v>
      </c>
      <c r="AJ37" s="459">
        <v>14468.6</v>
      </c>
      <c r="AK37" s="342">
        <f t="shared" si="26"/>
        <v>-8</v>
      </c>
      <c r="AL37" s="445">
        <f t="shared" si="18"/>
        <v>118001.26929296998</v>
      </c>
      <c r="AM37" s="445">
        <f t="shared" si="19"/>
        <v>112307.01885566002</v>
      </c>
      <c r="AN37" s="342">
        <f t="shared" si="20"/>
        <v>-4.8</v>
      </c>
      <c r="AO37" s="445">
        <f t="shared" si="21"/>
        <v>118001.26929296998</v>
      </c>
      <c r="AP37" s="445">
        <f t="shared" si="22"/>
        <v>112307.01885566002</v>
      </c>
      <c r="AQ37" s="460">
        <f t="shared" si="23"/>
        <v>-4.8</v>
      </c>
      <c r="AR37" s="514"/>
      <c r="AS37" s="514"/>
      <c r="AT37" s="518"/>
    </row>
    <row r="38" spans="1:46" s="484" customFormat="1" ht="20.100000000000001" customHeight="1" x14ac:dyDescent="0.3">
      <c r="A38" s="478" t="s">
        <v>223</v>
      </c>
      <c r="B38" s="461"/>
      <c r="C38" s="459"/>
      <c r="D38" s="459"/>
      <c r="E38" s="461">
        <v>33902.809000000001</v>
      </c>
      <c r="F38" s="459">
        <v>34420.237000000001</v>
      </c>
      <c r="G38" s="459"/>
      <c r="H38" s="461"/>
      <c r="I38" s="459"/>
      <c r="J38" s="459"/>
      <c r="K38" s="461">
        <v>4434.0529999999999</v>
      </c>
      <c r="L38" s="459">
        <v>4916.1000000000004</v>
      </c>
      <c r="M38" s="442">
        <f t="shared" ref="M38:M57" si="27">IF(K38=0, "    ---- ", IF(ABS(ROUND(100/K38*L38-100,1))&lt;999,ROUND(100/K38*L38-100,1),IF(ROUND(100/K38*L38-100,1)&gt;999,999,-999)))</f>
        <v>10.9</v>
      </c>
      <c r="N38" s="461"/>
      <c r="O38" s="459"/>
      <c r="P38" s="342"/>
      <c r="Q38" s="461">
        <v>156911.74982600001</v>
      </c>
      <c r="R38" s="459">
        <v>179234.31943920002</v>
      </c>
      <c r="S38" s="342">
        <f t="shared" ref="S38:S45" si="28">IF(Q38=0, "    ---- ", IF(ABS(ROUND(100/Q38*R38-100,1))&lt;999,ROUND(100/Q38*R38-100,1),IF(ROUND(100/Q38*R38-100,1)&gt;999,999,-999)))</f>
        <v>14.2</v>
      </c>
      <c r="T38" s="461">
        <v>708.7</v>
      </c>
      <c r="U38" s="459">
        <v>1153.4000000000001</v>
      </c>
      <c r="V38" s="342">
        <f>IF(T38=0, "    ---- ", IF(ABS(ROUND(100/T38*U38-100,1))&lt;999,ROUND(100/T38*U38-100,1),IF(ROUND(100/T38*U38-100,1)&gt;999,999,-999)))</f>
        <v>62.7</v>
      </c>
      <c r="W38" s="461">
        <v>27831.478911130002</v>
      </c>
      <c r="X38" s="459">
        <v>30157.455996790002</v>
      </c>
      <c r="Y38" s="342">
        <f t="shared" si="24"/>
        <v>8.4</v>
      </c>
      <c r="Z38" s="461">
        <v>19325</v>
      </c>
      <c r="AA38" s="459">
        <v>22827</v>
      </c>
      <c r="AB38" s="342">
        <f t="shared" si="25"/>
        <v>18.100000000000001</v>
      </c>
      <c r="AC38" s="461"/>
      <c r="AD38" s="459"/>
      <c r="AE38" s="342"/>
      <c r="AF38" s="461">
        <v>6583.4979999999996</v>
      </c>
      <c r="AG38" s="459">
        <v>7445.5360000000001</v>
      </c>
      <c r="AH38" s="342">
        <f t="shared" si="17"/>
        <v>13.1</v>
      </c>
      <c r="AI38" s="461">
        <v>105083</v>
      </c>
      <c r="AJ38" s="459">
        <f>88544.2+24710.5+2442.6</f>
        <v>115697.3</v>
      </c>
      <c r="AK38" s="342">
        <f t="shared" si="26"/>
        <v>10.1</v>
      </c>
      <c r="AL38" s="445">
        <f t="shared" si="18"/>
        <v>354780.28873713</v>
      </c>
      <c r="AM38" s="445">
        <f t="shared" si="19"/>
        <v>395851.34843599005</v>
      </c>
      <c r="AN38" s="342">
        <f t="shared" si="20"/>
        <v>11.6</v>
      </c>
      <c r="AO38" s="445">
        <f t="shared" si="21"/>
        <v>354780.28873713</v>
      </c>
      <c r="AP38" s="445">
        <f t="shared" si="22"/>
        <v>395851.34843599005</v>
      </c>
      <c r="AQ38" s="460">
        <f t="shared" si="23"/>
        <v>11.6</v>
      </c>
      <c r="AR38" s="514"/>
      <c r="AS38" s="514"/>
      <c r="AT38" s="518"/>
    </row>
    <row r="39" spans="1:46" s="484" customFormat="1" ht="20.100000000000001" customHeight="1" x14ac:dyDescent="0.3">
      <c r="A39" s="478" t="s">
        <v>224</v>
      </c>
      <c r="B39" s="461">
        <f>SUM(B40:B44)</f>
        <v>1007.1450000000001</v>
      </c>
      <c r="C39" s="459">
        <f>SUM(C40:C44)</f>
        <v>1087.596</v>
      </c>
      <c r="D39" s="459">
        <f>IF(B39=0, "    ---- ", IF(ABS(ROUND(100/B39*C39-100,1))&lt;999,ROUND(100/B39*C39-100,1),IF(ROUND(100/B39*C39-100,1)&gt;999,999,-999)))</f>
        <v>8</v>
      </c>
      <c r="E39" s="461">
        <f>SUM(E40:E44)</f>
        <v>79003.539000000004</v>
      </c>
      <c r="F39" s="459">
        <f>SUM(F40:F44)</f>
        <v>78675.888000000006</v>
      </c>
      <c r="G39" s="459">
        <f t="shared" si="16"/>
        <v>-0.4</v>
      </c>
      <c r="H39" s="461">
        <f>SUM(H40:H44)</f>
        <v>736.69299999999998</v>
      </c>
      <c r="I39" s="459">
        <f>SUM(I40:I44)</f>
        <v>789.7109999999999</v>
      </c>
      <c r="J39" s="459">
        <f t="shared" ref="J39:J46" si="29">IF(H39=0, "    ---- ", IF(ABS(ROUND(100/H39*I39-100,1))&lt;999,ROUND(100/H39*I39-100,1),IF(ROUND(100/H39*I39-100,1)&gt;999,999,-999)))</f>
        <v>7.2</v>
      </c>
      <c r="K39" s="461">
        <f>SUM(K40:K44)</f>
        <v>1383.4690000000001</v>
      </c>
      <c r="L39" s="459">
        <f>SUM(L40:L44)</f>
        <v>598.4</v>
      </c>
      <c r="M39" s="442">
        <f t="shared" si="27"/>
        <v>-56.7</v>
      </c>
      <c r="N39" s="461"/>
      <c r="O39" s="459"/>
      <c r="P39" s="342"/>
      <c r="Q39" s="461">
        <f>SUM(Q40:Q44)</f>
        <v>241716.82828933001</v>
      </c>
      <c r="R39" s="459">
        <f>SUM(R40:R44)</f>
        <v>245636.66238130999</v>
      </c>
      <c r="S39" s="342">
        <f t="shared" si="28"/>
        <v>1.6</v>
      </c>
      <c r="T39" s="461">
        <f>SUM(T40:T44)</f>
        <v>626.69999999999993</v>
      </c>
      <c r="U39" s="459">
        <f>SUM(U40:U44)</f>
        <v>252.79999999999998</v>
      </c>
      <c r="V39" s="342">
        <f>IF(T39=0, "    ---- ", IF(ABS(ROUND(100/T39*U39-100,1))&lt;999,ROUND(100/T39*U39-100,1),IF(ROUND(100/T39*U39-100,1)&gt;999,999,-999)))</f>
        <v>-59.7</v>
      </c>
      <c r="W39" s="461">
        <f>SUM(W40:W44)</f>
        <v>16762.251791639901</v>
      </c>
      <c r="X39" s="459">
        <f>SUM(X40:X44)</f>
        <v>13411.714200519998</v>
      </c>
      <c r="Y39" s="342">
        <f t="shared" si="24"/>
        <v>-20</v>
      </c>
      <c r="Z39" s="461">
        <f>SUM(Z40:Z44)</f>
        <v>45626</v>
      </c>
      <c r="AA39" s="459">
        <f>SUM(AA40:AA44)</f>
        <v>49140</v>
      </c>
      <c r="AB39" s="342">
        <f t="shared" si="25"/>
        <v>7.7</v>
      </c>
      <c r="AC39" s="461"/>
      <c r="AD39" s="459"/>
      <c r="AE39" s="342"/>
      <c r="AF39" s="461">
        <f>SUM(AF40:AF44)</f>
        <v>10290.647999999999</v>
      </c>
      <c r="AG39" s="459">
        <f>SUM(AG40:AG44)</f>
        <v>10405.874</v>
      </c>
      <c r="AH39" s="342">
        <f t="shared" si="17"/>
        <v>1.1000000000000001</v>
      </c>
      <c r="AI39" s="461">
        <f>SUM(AI40:AI44)</f>
        <v>44107</v>
      </c>
      <c r="AJ39" s="459">
        <f>SUM(AJ40:AJ44)</f>
        <v>39810.9</v>
      </c>
      <c r="AK39" s="342">
        <f t="shared" si="26"/>
        <v>-9.6999999999999993</v>
      </c>
      <c r="AL39" s="445">
        <f t="shared" si="18"/>
        <v>441260.27408096992</v>
      </c>
      <c r="AM39" s="445">
        <f t="shared" si="19"/>
        <v>439809.54558183003</v>
      </c>
      <c r="AN39" s="342">
        <f t="shared" si="20"/>
        <v>-0.3</v>
      </c>
      <c r="AO39" s="445">
        <f t="shared" si="21"/>
        <v>441260.27408096992</v>
      </c>
      <c r="AP39" s="445">
        <f t="shared" si="22"/>
        <v>439809.54558183003</v>
      </c>
      <c r="AQ39" s="460">
        <f t="shared" si="23"/>
        <v>-0.3</v>
      </c>
      <c r="AR39" s="514"/>
      <c r="AS39" s="514"/>
      <c r="AT39" s="518"/>
    </row>
    <row r="40" spans="1:46" s="484" customFormat="1" ht="20.100000000000001" customHeight="1" x14ac:dyDescent="0.3">
      <c r="A40" s="478" t="s">
        <v>225</v>
      </c>
      <c r="B40" s="461">
        <v>24.701000000000001</v>
      </c>
      <c r="C40" s="459">
        <v>48.695999999999998</v>
      </c>
      <c r="D40" s="342">
        <f>IF(B40=0, "    ---- ", IF(ABS(ROUND(100/B40*C40-100,1))&lt;999,ROUND(100/B40*C40-100,1),IF(ROUND(100/B40*C40-100,1)&gt;999,999,-999)))</f>
        <v>97.1</v>
      </c>
      <c r="E40" s="461">
        <v>15283.816000000001</v>
      </c>
      <c r="F40" s="459">
        <v>20594.819</v>
      </c>
      <c r="G40" s="342">
        <f t="shared" si="16"/>
        <v>34.700000000000003</v>
      </c>
      <c r="H40" s="461">
        <v>99.703999999999994</v>
      </c>
      <c r="I40" s="459">
        <v>111.85299999999999</v>
      </c>
      <c r="J40" s="342">
        <f t="shared" si="29"/>
        <v>12.2</v>
      </c>
      <c r="K40" s="461">
        <v>758.13400000000001</v>
      </c>
      <c r="L40" s="459"/>
      <c r="M40" s="442"/>
      <c r="N40" s="461"/>
      <c r="O40" s="459"/>
      <c r="P40" s="342"/>
      <c r="Q40" s="461">
        <v>103749.01836574</v>
      </c>
      <c r="R40" s="459">
        <v>117986.02609639999</v>
      </c>
      <c r="S40" s="342">
        <f t="shared" si="28"/>
        <v>13.7</v>
      </c>
      <c r="T40" s="461">
        <v>206.2</v>
      </c>
      <c r="U40" s="459">
        <v>51.2</v>
      </c>
      <c r="V40" s="342">
        <f>IF(T40=0, "    ---- ", IF(ABS(ROUND(100/T40*U40-100,1))&lt;999,ROUND(100/T40*U40-100,1),IF(ROUND(100/T40*U40-100,1)&gt;999,999,-999)))</f>
        <v>-75.2</v>
      </c>
      <c r="W40" s="461">
        <v>5319.4300994799996</v>
      </c>
      <c r="X40" s="459">
        <v>5053.5463923999996</v>
      </c>
      <c r="Y40" s="342">
        <f t="shared" si="24"/>
        <v>-5</v>
      </c>
      <c r="Z40" s="461">
        <v>24986</v>
      </c>
      <c r="AA40" s="459">
        <v>29051</v>
      </c>
      <c r="AB40" s="342">
        <f t="shared" si="25"/>
        <v>16.3</v>
      </c>
      <c r="AC40" s="461"/>
      <c r="AD40" s="459"/>
      <c r="AE40" s="342"/>
      <c r="AF40" s="461">
        <v>2939.7550000000001</v>
      </c>
      <c r="AG40" s="459">
        <v>3282.3159999999998</v>
      </c>
      <c r="AH40" s="342">
        <f t="shared" si="17"/>
        <v>11.7</v>
      </c>
      <c r="AI40" s="461">
        <v>12827.3</v>
      </c>
      <c r="AJ40" s="459">
        <v>14976.4</v>
      </c>
      <c r="AK40" s="342">
        <f t="shared" si="26"/>
        <v>16.8</v>
      </c>
      <c r="AL40" s="445">
        <f t="shared" si="18"/>
        <v>166194.05846521998</v>
      </c>
      <c r="AM40" s="445">
        <f t="shared" si="19"/>
        <v>191155.85648879997</v>
      </c>
      <c r="AN40" s="342">
        <f t="shared" si="20"/>
        <v>15</v>
      </c>
      <c r="AO40" s="445">
        <f t="shared" si="21"/>
        <v>166194.05846521998</v>
      </c>
      <c r="AP40" s="445">
        <f t="shared" si="22"/>
        <v>191155.85648879997</v>
      </c>
      <c r="AQ40" s="460">
        <f t="shared" si="23"/>
        <v>15</v>
      </c>
      <c r="AR40" s="514"/>
      <c r="AS40" s="514"/>
      <c r="AT40" s="518"/>
    </row>
    <row r="41" spans="1:46" s="484" customFormat="1" ht="20.100000000000001" customHeight="1" x14ac:dyDescent="0.3">
      <c r="A41" s="478" t="s">
        <v>226</v>
      </c>
      <c r="B41" s="461">
        <v>924.66800000000001</v>
      </c>
      <c r="C41" s="459">
        <v>982.29399999999998</v>
      </c>
      <c r="D41" s="459">
        <f>IF(B41=0, "    ---- ", IF(ABS(ROUND(100/B41*C41-100,1))&lt;999,ROUND(100/B41*C41-100,1),IF(ROUND(100/B41*C41-100,1)&gt;999,999,-999)))</f>
        <v>6.2</v>
      </c>
      <c r="E41" s="461">
        <v>59921.279000000002</v>
      </c>
      <c r="F41" s="459">
        <v>54898.260999999999</v>
      </c>
      <c r="G41" s="459">
        <f t="shared" si="16"/>
        <v>-8.4</v>
      </c>
      <c r="H41" s="461">
        <v>553.97900000000004</v>
      </c>
      <c r="I41" s="459">
        <v>552.37699999999995</v>
      </c>
      <c r="J41" s="459">
        <f>IF(H41=0, "    ---- ", IF(ABS(ROUND(100/H41*I41-100,1))&lt;999,ROUND(100/H41*I41-100,1),IF(ROUND(100/H41*I41-100,1)&gt;999,999,-999)))</f>
        <v>-0.3</v>
      </c>
      <c r="K41" s="461">
        <v>591.83100000000002</v>
      </c>
      <c r="L41" s="459">
        <v>557.4</v>
      </c>
      <c r="M41" s="442">
        <f t="shared" si="27"/>
        <v>-5.8</v>
      </c>
      <c r="N41" s="461"/>
      <c r="O41" s="459"/>
      <c r="P41" s="342"/>
      <c r="Q41" s="461">
        <v>124554.33144947</v>
      </c>
      <c r="R41" s="459">
        <v>120085.12065299001</v>
      </c>
      <c r="S41" s="342">
        <f t="shared" si="28"/>
        <v>-3.6</v>
      </c>
      <c r="T41" s="461">
        <v>409.6</v>
      </c>
      <c r="U41" s="459">
        <v>140.5</v>
      </c>
      <c r="V41" s="342">
        <f>IF(T41=0, "    ---- ", IF(ABS(ROUND(100/T41*U41-100,1))&lt;999,ROUND(100/T41*U41-100,1),IF(ROUND(100/T41*U41-100,1)&gt;999,999,-999)))</f>
        <v>-65.7</v>
      </c>
      <c r="W41" s="461">
        <v>10889.2173563099</v>
      </c>
      <c r="X41" s="459">
        <v>8082.1927470600003</v>
      </c>
      <c r="Y41" s="342">
        <f t="shared" si="24"/>
        <v>-25.8</v>
      </c>
      <c r="Z41" s="461">
        <v>18373</v>
      </c>
      <c r="AA41" s="459">
        <v>17833</v>
      </c>
      <c r="AB41" s="342">
        <f t="shared" si="25"/>
        <v>-2.9</v>
      </c>
      <c r="AC41" s="461"/>
      <c r="AD41" s="459"/>
      <c r="AE41" s="342"/>
      <c r="AF41" s="461">
        <v>7217.6139999999996</v>
      </c>
      <c r="AG41" s="459">
        <v>6885.1459999999997</v>
      </c>
      <c r="AH41" s="342">
        <f t="shared" si="17"/>
        <v>-4.5999999999999996</v>
      </c>
      <c r="AI41" s="461">
        <v>30914.400000000001</v>
      </c>
      <c r="AJ41" s="459">
        <v>24470.1</v>
      </c>
      <c r="AK41" s="342">
        <f t="shared" si="26"/>
        <v>-20.8</v>
      </c>
      <c r="AL41" s="445">
        <f t="shared" si="18"/>
        <v>254349.91980577991</v>
      </c>
      <c r="AM41" s="445">
        <f t="shared" si="19"/>
        <v>234486.39140005002</v>
      </c>
      <c r="AN41" s="342">
        <f t="shared" si="20"/>
        <v>-7.8</v>
      </c>
      <c r="AO41" s="445">
        <f t="shared" si="21"/>
        <v>254349.91980577991</v>
      </c>
      <c r="AP41" s="445">
        <f t="shared" si="22"/>
        <v>234486.39140005002</v>
      </c>
      <c r="AQ41" s="460">
        <f t="shared" si="23"/>
        <v>-7.8</v>
      </c>
      <c r="AR41" s="514"/>
      <c r="AS41" s="514"/>
      <c r="AT41" s="518"/>
    </row>
    <row r="42" spans="1:46" s="484" customFormat="1" ht="20.100000000000001" customHeight="1" x14ac:dyDescent="0.3">
      <c r="A42" s="478" t="s">
        <v>227</v>
      </c>
      <c r="B42" s="461"/>
      <c r="C42" s="459"/>
      <c r="D42" s="459"/>
      <c r="E42" s="461">
        <v>2776.5610000000001</v>
      </c>
      <c r="F42" s="459">
        <v>2241.6480000000001</v>
      </c>
      <c r="G42" s="459">
        <f t="shared" si="16"/>
        <v>-19.3</v>
      </c>
      <c r="H42" s="461"/>
      <c r="I42" s="459"/>
      <c r="J42" s="459"/>
      <c r="K42" s="461">
        <v>2.75</v>
      </c>
      <c r="L42" s="459"/>
      <c r="M42" s="442">
        <f t="shared" si="27"/>
        <v>-100</v>
      </c>
      <c r="N42" s="461"/>
      <c r="O42" s="459"/>
      <c r="P42" s="342"/>
      <c r="Q42" s="461">
        <v>8500.9135274300006</v>
      </c>
      <c r="R42" s="459">
        <v>5640.4502003100006</v>
      </c>
      <c r="S42" s="342">
        <f t="shared" si="28"/>
        <v>-33.6</v>
      </c>
      <c r="T42" s="461">
        <v>10.9</v>
      </c>
      <c r="U42" s="459">
        <v>11</v>
      </c>
      <c r="V42" s="342">
        <f>IF(T42=0, "    ---- ", IF(ABS(ROUND(100/T42*U42-100,1))&lt;999,ROUND(100/T42*U42-100,1),IF(ROUND(100/T42*U42-100,1)&gt;999,999,-999)))</f>
        <v>0.9</v>
      </c>
      <c r="W42" s="461"/>
      <c r="X42" s="459">
        <v>0</v>
      </c>
      <c r="Y42" s="342"/>
      <c r="Z42" s="461">
        <v>53</v>
      </c>
      <c r="AA42" s="459">
        <v>52</v>
      </c>
      <c r="AB42" s="342">
        <f t="shared" si="25"/>
        <v>-1.9</v>
      </c>
      <c r="AC42" s="461"/>
      <c r="AD42" s="459"/>
      <c r="AE42" s="342"/>
      <c r="AF42" s="461"/>
      <c r="AG42" s="459"/>
      <c r="AH42" s="342"/>
      <c r="AI42" s="461"/>
      <c r="AJ42" s="459"/>
      <c r="AK42" s="342"/>
      <c r="AL42" s="445">
        <f t="shared" si="18"/>
        <v>11344.12452743</v>
      </c>
      <c r="AM42" s="445">
        <f t="shared" si="19"/>
        <v>7945.0982003100007</v>
      </c>
      <c r="AN42" s="342">
        <f t="shared" si="20"/>
        <v>-30</v>
      </c>
      <c r="AO42" s="445">
        <f t="shared" si="21"/>
        <v>11344.12452743</v>
      </c>
      <c r="AP42" s="445">
        <f t="shared" si="22"/>
        <v>7945.0982003100007</v>
      </c>
      <c r="AQ42" s="460">
        <f t="shared" si="23"/>
        <v>-30</v>
      </c>
      <c r="AR42" s="514"/>
      <c r="AS42" s="514"/>
      <c r="AT42" s="518"/>
    </row>
    <row r="43" spans="1:46" s="484" customFormat="1" ht="20.100000000000001" customHeight="1" x14ac:dyDescent="0.3">
      <c r="A43" s="478" t="s">
        <v>228</v>
      </c>
      <c r="B43" s="461">
        <v>0.47399999999999998</v>
      </c>
      <c r="C43" s="459">
        <v>0.10199999999999999</v>
      </c>
      <c r="D43" s="459">
        <f>IF(B43=0, "    ---- ", IF(ABS(ROUND(100/B43*C43-100,1))&lt;999,ROUND(100/B43*C43-100,1),IF(ROUND(100/B43*C43-100,1)&gt;999,999,-999)))</f>
        <v>-78.5</v>
      </c>
      <c r="E43" s="461">
        <v>203.80099999999999</v>
      </c>
      <c r="F43" s="459">
        <v>390.625</v>
      </c>
      <c r="G43" s="459">
        <f t="shared" si="16"/>
        <v>91.7</v>
      </c>
      <c r="H43" s="461"/>
      <c r="I43" s="459"/>
      <c r="J43" s="459"/>
      <c r="K43" s="461"/>
      <c r="L43" s="459"/>
      <c r="M43" s="442"/>
      <c r="N43" s="461"/>
      <c r="O43" s="459"/>
      <c r="P43" s="342"/>
      <c r="Q43" s="461">
        <v>1545.10504169</v>
      </c>
      <c r="R43" s="459">
        <v>1379.8890229000001</v>
      </c>
      <c r="S43" s="342">
        <f t="shared" si="28"/>
        <v>-10.7</v>
      </c>
      <c r="T43" s="461"/>
      <c r="U43" s="459"/>
      <c r="V43" s="342"/>
      <c r="W43" s="461">
        <v>134.92660905000002</v>
      </c>
      <c r="X43" s="459">
        <v>44.42183593</v>
      </c>
      <c r="Y43" s="342">
        <f t="shared" si="24"/>
        <v>-67.099999999999994</v>
      </c>
      <c r="Z43" s="461">
        <v>105</v>
      </c>
      <c r="AA43" s="459">
        <v>478</v>
      </c>
      <c r="AB43" s="342">
        <f>IF(Z43=0, "    ---- ", IF(ABS(ROUND(100/Z43*AA43-100,1))&lt;999,ROUND(100/Z43*AA43-100,1),IF(ROUND(100/Z43*AA43-100,1)&gt;999,999,-999)))</f>
        <v>355.2</v>
      </c>
      <c r="AC43" s="461"/>
      <c r="AD43" s="459"/>
      <c r="AE43" s="342"/>
      <c r="AF43" s="461">
        <v>5.556</v>
      </c>
      <c r="AG43" s="459">
        <v>80.025999999999996</v>
      </c>
      <c r="AH43" s="342">
        <f t="shared" si="17"/>
        <v>999</v>
      </c>
      <c r="AI43" s="461">
        <v>365.3</v>
      </c>
      <c r="AJ43" s="459">
        <v>364.4</v>
      </c>
      <c r="AK43" s="342">
        <f t="shared" si="26"/>
        <v>-0.2</v>
      </c>
      <c r="AL43" s="445">
        <f t="shared" si="18"/>
        <v>2360.1626507400001</v>
      </c>
      <c r="AM43" s="445">
        <f t="shared" si="19"/>
        <v>2737.4638588299999</v>
      </c>
      <c r="AN43" s="342">
        <f t="shared" si="20"/>
        <v>16</v>
      </c>
      <c r="AO43" s="445">
        <f t="shared" si="21"/>
        <v>2360.1626507400001</v>
      </c>
      <c r="AP43" s="445">
        <f t="shared" si="22"/>
        <v>2737.4638588299999</v>
      </c>
      <c r="AQ43" s="460">
        <f t="shared" si="23"/>
        <v>16</v>
      </c>
      <c r="AR43" s="514"/>
      <c r="AS43" s="514"/>
      <c r="AT43" s="518"/>
    </row>
    <row r="44" spans="1:46" s="484" customFormat="1" ht="20.100000000000001" customHeight="1" x14ac:dyDescent="0.3">
      <c r="A44" s="478" t="s">
        <v>229</v>
      </c>
      <c r="B44" s="461">
        <v>57.302</v>
      </c>
      <c r="C44" s="459">
        <v>56.503999999999998</v>
      </c>
      <c r="D44" s="459">
        <f>IF(B44=0, "    ---- ", IF(ABS(ROUND(100/B44*C44-100,1))&lt;999,ROUND(100/B44*C44-100,1),IF(ROUND(100/B44*C44-100,1)&gt;999,999,-999)))</f>
        <v>-1.4</v>
      </c>
      <c r="E44" s="461">
        <v>818.08199999999999</v>
      </c>
      <c r="F44" s="459">
        <v>550.53499999999997</v>
      </c>
      <c r="G44" s="459">
        <f t="shared" si="16"/>
        <v>-32.700000000000003</v>
      </c>
      <c r="H44" s="461">
        <v>83.01</v>
      </c>
      <c r="I44" s="459">
        <v>125.48099999999999</v>
      </c>
      <c r="J44" s="459">
        <f t="shared" si="29"/>
        <v>51.2</v>
      </c>
      <c r="K44" s="461">
        <v>30.754000000000001</v>
      </c>
      <c r="L44" s="459">
        <v>41</v>
      </c>
      <c r="M44" s="442">
        <f t="shared" si="27"/>
        <v>33.299999999999997</v>
      </c>
      <c r="N44" s="461"/>
      <c r="O44" s="459"/>
      <c r="P44" s="342"/>
      <c r="Q44" s="461">
        <v>3367.4599050000002</v>
      </c>
      <c r="R44" s="459">
        <v>545.17640871000003</v>
      </c>
      <c r="S44" s="342">
        <f t="shared" si="28"/>
        <v>-83.8</v>
      </c>
      <c r="T44" s="461"/>
      <c r="U44" s="459">
        <v>50.1</v>
      </c>
      <c r="V44" s="342"/>
      <c r="W44" s="461">
        <v>418.67772680000002</v>
      </c>
      <c r="X44" s="459">
        <v>231.55322512999999</v>
      </c>
      <c r="Y44" s="342">
        <f t="shared" si="24"/>
        <v>-44.7</v>
      </c>
      <c r="Z44" s="461">
        <v>2109</v>
      </c>
      <c r="AA44" s="459">
        <v>1726</v>
      </c>
      <c r="AB44" s="342">
        <f>IF(Z44=0, "    ---- ", IF(ABS(ROUND(100/Z44*AA44-100,1))&lt;999,ROUND(100/Z44*AA44-100,1),IF(ROUND(100/Z44*AA44-100,1)&gt;999,999,-999)))</f>
        <v>-18.2</v>
      </c>
      <c r="AC44" s="461"/>
      <c r="AD44" s="459"/>
      <c r="AE44" s="342"/>
      <c r="AF44" s="461">
        <v>127.723</v>
      </c>
      <c r="AG44" s="459">
        <v>158.386</v>
      </c>
      <c r="AH44" s="342">
        <f t="shared" si="17"/>
        <v>24</v>
      </c>
      <c r="AI44" s="461"/>
      <c r="AJ44" s="459"/>
      <c r="AK44" s="342"/>
      <c r="AL44" s="445">
        <f t="shared" si="18"/>
        <v>7012.0086317999994</v>
      </c>
      <c r="AM44" s="445">
        <f t="shared" si="19"/>
        <v>3484.73563384</v>
      </c>
      <c r="AN44" s="342">
        <f t="shared" si="20"/>
        <v>-50.3</v>
      </c>
      <c r="AO44" s="445">
        <f t="shared" si="21"/>
        <v>7012.0086317999994</v>
      </c>
      <c r="AP44" s="445">
        <f t="shared" si="22"/>
        <v>3484.73563384</v>
      </c>
      <c r="AQ44" s="460">
        <f t="shared" si="23"/>
        <v>-50.3</v>
      </c>
      <c r="AR44" s="514"/>
      <c r="AS44" s="514"/>
      <c r="AT44" s="518"/>
    </row>
    <row r="45" spans="1:46" s="484" customFormat="1" ht="20.100000000000001" customHeight="1" x14ac:dyDescent="0.3">
      <c r="A45" s="479" t="s">
        <v>230</v>
      </c>
      <c r="B45" s="461">
        <f>SUM(B33+B34+B35+B39)</f>
        <v>1007.1450000000001</v>
      </c>
      <c r="C45" s="459">
        <f>SUM(C33+C34+C35+C39)</f>
        <v>1087.596</v>
      </c>
      <c r="D45" s="342">
        <f>IF(B45=0, "    ---- ", IF(ABS(ROUND(100/B45*C45-100,1))&lt;999,ROUND(100/B45*C45-100,1),IF(ROUND(100/B45*C45-100,1)&gt;999,999,-999)))</f>
        <v>8</v>
      </c>
      <c r="E45" s="461">
        <f>SUM(E33+E34+E35+E39)</f>
        <v>209853.63200000001</v>
      </c>
      <c r="F45" s="459">
        <f>SUM(F33+F34+F35+F39)</f>
        <v>208139.85200000001</v>
      </c>
      <c r="G45" s="342">
        <f t="shared" si="16"/>
        <v>-0.8</v>
      </c>
      <c r="H45" s="461">
        <f>SUM(H33+H34+H35+H39)</f>
        <v>880.19899999999996</v>
      </c>
      <c r="I45" s="459">
        <f>SUM(I33+I34+I35+I39)</f>
        <v>968.46599999999989</v>
      </c>
      <c r="J45" s="342">
        <f t="shared" si="29"/>
        <v>10</v>
      </c>
      <c r="K45" s="461">
        <f>SUM(K33+K34+K35+K39)</f>
        <v>5847.6040000000003</v>
      </c>
      <c r="L45" s="459">
        <f>SUM(L33+L34+L35+L39)</f>
        <v>6440.5</v>
      </c>
      <c r="M45" s="442">
        <f t="shared" si="27"/>
        <v>10.1</v>
      </c>
      <c r="N45" s="461"/>
      <c r="O45" s="459"/>
      <c r="P45" s="342"/>
      <c r="Q45" s="461">
        <f>SUM(Q33+Q34+Q35+Q39)</f>
        <v>480375.02211902</v>
      </c>
      <c r="R45" s="459">
        <f>SUM(R33+R34+R35+R39)</f>
        <v>509045.99479750998</v>
      </c>
      <c r="S45" s="342">
        <f t="shared" si="28"/>
        <v>6</v>
      </c>
      <c r="T45" s="461">
        <f>SUM(T33+T34+T35+T39)</f>
        <v>1609.4</v>
      </c>
      <c r="U45" s="459">
        <f>SUM(U33+U34+U35+U39)</f>
        <v>1734.1000000000001</v>
      </c>
      <c r="V45" s="342">
        <f>IF(T45=0, "    ---- ", IF(ABS(ROUND(100/T45*U45-100,1))&lt;999,ROUND(100/T45*U45-100,1),IF(ROUND(100/T45*U45-100,1)&gt;999,999,-999)))</f>
        <v>7.7</v>
      </c>
      <c r="W45" s="461">
        <f>SUM(W33+W34+W35+W39)</f>
        <v>50662.825080599905</v>
      </c>
      <c r="X45" s="459">
        <f>SUM(X33+X34+X35+X39)</f>
        <v>50714.826346990005</v>
      </c>
      <c r="Y45" s="342">
        <f t="shared" si="24"/>
        <v>0.1</v>
      </c>
      <c r="Z45" s="461">
        <f>SUM(Z33+Z34+Z35+Z39)</f>
        <v>80124</v>
      </c>
      <c r="AA45" s="459">
        <f>SUM(AA33+AA34+AA35+AA39)</f>
        <v>86922</v>
      </c>
      <c r="AB45" s="342">
        <f>IF(Z45=0, "    ---- ", IF(ABS(ROUND(100/Z45*AA45-100,1))&lt;999,ROUND(100/Z45*AA45-100,1),IF(ROUND(100/Z45*AA45-100,1)&gt;999,999,-999)))</f>
        <v>8.5</v>
      </c>
      <c r="AC45" s="461"/>
      <c r="AD45" s="459"/>
      <c r="AE45" s="342"/>
      <c r="AF45" s="461">
        <f>SUM(AF33+AF34+AF35+AF39)</f>
        <v>21921.411999999997</v>
      </c>
      <c r="AG45" s="459">
        <f>SUM(AG33+AG34+AG35+AG39)</f>
        <v>23197.011999999999</v>
      </c>
      <c r="AH45" s="342">
        <f t="shared" si="17"/>
        <v>5.8</v>
      </c>
      <c r="AI45" s="461">
        <f>SUM(AI33+AI34+AI35+AI39)</f>
        <v>186406</v>
      </c>
      <c r="AJ45" s="459">
        <f>SUM(AJ33+AJ34+AJ35+AJ39)</f>
        <v>189684.80000000002</v>
      </c>
      <c r="AK45" s="342">
        <f t="shared" si="26"/>
        <v>1.8</v>
      </c>
      <c r="AL45" s="445">
        <f t="shared" si="18"/>
        <v>1038687.2391996199</v>
      </c>
      <c r="AM45" s="445">
        <f t="shared" si="19"/>
        <v>1077935.1471444999</v>
      </c>
      <c r="AN45" s="342">
        <f t="shared" si="20"/>
        <v>3.8</v>
      </c>
      <c r="AO45" s="445">
        <f t="shared" si="21"/>
        <v>1038687.2391996199</v>
      </c>
      <c r="AP45" s="445">
        <f t="shared" si="22"/>
        <v>1077935.1471444999</v>
      </c>
      <c r="AQ45" s="460">
        <f t="shared" si="23"/>
        <v>3.8</v>
      </c>
      <c r="AR45" s="514"/>
      <c r="AS45" s="514"/>
      <c r="AT45" s="518"/>
    </row>
    <row r="46" spans="1:46" s="484" customFormat="1" ht="20.100000000000001" customHeight="1" x14ac:dyDescent="0.3">
      <c r="A46" s="476" t="s">
        <v>349</v>
      </c>
      <c r="B46" s="461">
        <v>120.384</v>
      </c>
      <c r="C46" s="459">
        <v>122.986</v>
      </c>
      <c r="D46" s="342">
        <f>IF(B46=0, "    ---- ", IF(ABS(ROUND(100/B46*C46-100,1))&lt;999,ROUND(100/B46*C46-100,1),IF(ROUND(100/B46*C46-100,1)&gt;999,999,-999)))</f>
        <v>2.2000000000000002</v>
      </c>
      <c r="E46" s="461"/>
      <c r="F46" s="459"/>
      <c r="G46" s="342"/>
      <c r="H46" s="461">
        <v>102.71</v>
      </c>
      <c r="I46" s="459">
        <v>113.485</v>
      </c>
      <c r="J46" s="342">
        <f t="shared" si="29"/>
        <v>10.5</v>
      </c>
      <c r="K46" s="461">
        <v>26.878</v>
      </c>
      <c r="L46" s="459">
        <v>60.1</v>
      </c>
      <c r="M46" s="442"/>
      <c r="N46" s="461"/>
      <c r="O46" s="459"/>
      <c r="P46" s="342"/>
      <c r="Q46" s="461"/>
      <c r="R46" s="459"/>
      <c r="S46" s="342"/>
      <c r="T46" s="461"/>
      <c r="U46" s="459"/>
      <c r="V46" s="342"/>
      <c r="W46" s="461">
        <v>93.3</v>
      </c>
      <c r="X46" s="459">
        <v>99.15</v>
      </c>
      <c r="Y46" s="342">
        <f t="shared" si="24"/>
        <v>6.3</v>
      </c>
      <c r="Z46" s="461"/>
      <c r="AA46" s="459"/>
      <c r="AB46" s="342"/>
      <c r="AC46" s="461"/>
      <c r="AD46" s="459"/>
      <c r="AE46" s="342"/>
      <c r="AF46" s="461">
        <v>429.25200000000001</v>
      </c>
      <c r="AG46" s="459">
        <v>442.69400000000002</v>
      </c>
      <c r="AH46" s="342">
        <f t="shared" si="17"/>
        <v>3.1</v>
      </c>
      <c r="AI46" s="461">
        <v>71</v>
      </c>
      <c r="AJ46" s="459">
        <v>55.7</v>
      </c>
      <c r="AK46" s="342"/>
      <c r="AL46" s="445">
        <f t="shared" si="18"/>
        <v>843.524</v>
      </c>
      <c r="AM46" s="445">
        <f t="shared" si="19"/>
        <v>894.11500000000001</v>
      </c>
      <c r="AN46" s="342">
        <f t="shared" si="20"/>
        <v>6</v>
      </c>
      <c r="AO46" s="445">
        <f t="shared" si="21"/>
        <v>843.524</v>
      </c>
      <c r="AP46" s="445">
        <f t="shared" si="22"/>
        <v>894.11500000000001</v>
      </c>
      <c r="AQ46" s="460">
        <f t="shared" si="23"/>
        <v>6</v>
      </c>
      <c r="AR46" s="514"/>
      <c r="AS46" s="514"/>
      <c r="AT46" s="518"/>
    </row>
    <row r="47" spans="1:46" s="484" customFormat="1" ht="20.100000000000001" customHeight="1" x14ac:dyDescent="0.3">
      <c r="A47" s="476" t="s">
        <v>231</v>
      </c>
      <c r="B47" s="461"/>
      <c r="C47" s="459"/>
      <c r="D47" s="459"/>
      <c r="E47" s="461"/>
      <c r="F47" s="459"/>
      <c r="G47" s="459"/>
      <c r="H47" s="461"/>
      <c r="I47" s="459"/>
      <c r="J47" s="459"/>
      <c r="K47" s="461"/>
      <c r="L47" s="459"/>
      <c r="M47" s="442"/>
      <c r="N47" s="461"/>
      <c r="O47" s="459"/>
      <c r="P47" s="342"/>
      <c r="Q47" s="461"/>
      <c r="R47" s="459"/>
      <c r="S47" s="342"/>
      <c r="T47" s="461"/>
      <c r="U47" s="459"/>
      <c r="V47" s="342"/>
      <c r="W47" s="461"/>
      <c r="X47" s="459"/>
      <c r="Y47" s="342"/>
      <c r="Z47" s="461"/>
      <c r="AA47" s="459"/>
      <c r="AB47" s="342"/>
      <c r="AC47" s="461"/>
      <c r="AD47" s="459"/>
      <c r="AE47" s="342"/>
      <c r="AF47" s="461"/>
      <c r="AG47" s="459"/>
      <c r="AH47" s="342"/>
      <c r="AI47" s="461"/>
      <c r="AJ47" s="459"/>
      <c r="AK47" s="342"/>
      <c r="AL47" s="445"/>
      <c r="AM47" s="445"/>
      <c r="AN47" s="342"/>
      <c r="AO47" s="445"/>
      <c r="AP47" s="445"/>
      <c r="AQ47" s="460"/>
      <c r="AR47" s="514"/>
      <c r="AS47" s="514"/>
      <c r="AT47" s="518"/>
    </row>
    <row r="48" spans="1:46" s="484" customFormat="1" ht="20.100000000000001" customHeight="1" x14ac:dyDescent="0.3">
      <c r="A48" s="478" t="s">
        <v>232</v>
      </c>
      <c r="B48" s="461"/>
      <c r="C48" s="459"/>
      <c r="D48" s="459"/>
      <c r="E48" s="461"/>
      <c r="F48" s="459"/>
      <c r="G48" s="459"/>
      <c r="H48" s="461"/>
      <c r="I48" s="459"/>
      <c r="J48" s="459"/>
      <c r="K48" s="461"/>
      <c r="L48" s="459"/>
      <c r="M48" s="442"/>
      <c r="N48" s="461"/>
      <c r="O48" s="459"/>
      <c r="P48" s="342"/>
      <c r="Q48" s="461"/>
      <c r="R48" s="459"/>
      <c r="S48" s="342"/>
      <c r="T48" s="461"/>
      <c r="U48" s="459"/>
      <c r="V48" s="342"/>
      <c r="W48" s="461"/>
      <c r="X48" s="459"/>
      <c r="Y48" s="342"/>
      <c r="Z48" s="461"/>
      <c r="AA48" s="459"/>
      <c r="AB48" s="342"/>
      <c r="AC48" s="461"/>
      <c r="AD48" s="459"/>
      <c r="AE48" s="342"/>
      <c r="AF48" s="461"/>
      <c r="AG48" s="459"/>
      <c r="AH48" s="342"/>
      <c r="AI48" s="461"/>
      <c r="AJ48" s="459"/>
      <c r="AK48" s="342"/>
      <c r="AL48" s="445">
        <f t="shared" ref="AL48:AL62" si="30">B48+E48+H48+K48+Q48+T48+W48+Z48+AF48+AI48</f>
        <v>0</v>
      </c>
      <c r="AM48" s="445">
        <f t="shared" ref="AM48:AM62" si="31">C48+F48+I48+L48+R48+U48+X48+AA48+AG48+AJ48</f>
        <v>0</v>
      </c>
      <c r="AN48" s="342" t="str">
        <f t="shared" si="20"/>
        <v xml:space="preserve">    ---- </v>
      </c>
      <c r="AO48" s="445">
        <f t="shared" ref="AO48:AO62" si="32">B48+E48+H48+K48+N48+Q48+T48+W48+Z48+AC48+AF48+AI48</f>
        <v>0</v>
      </c>
      <c r="AP48" s="445">
        <f t="shared" ref="AP48:AP62" si="33">C48+F48+I48+L48+O48+R48+U48+X48+AA48+AD48+AG48+AJ48</f>
        <v>0</v>
      </c>
      <c r="AQ48" s="460" t="str">
        <f t="shared" si="23"/>
        <v xml:space="preserve">    ---- </v>
      </c>
      <c r="AR48" s="514"/>
      <c r="AS48" s="514"/>
      <c r="AT48" s="518"/>
    </row>
    <row r="49" spans="1:46" s="484" customFormat="1" ht="20.100000000000001" customHeight="1" x14ac:dyDescent="0.3">
      <c r="A49" s="478" t="s">
        <v>233</v>
      </c>
      <c r="B49" s="461"/>
      <c r="C49" s="459"/>
      <c r="D49" s="459"/>
      <c r="E49" s="461"/>
      <c r="F49" s="459"/>
      <c r="G49" s="459"/>
      <c r="H49" s="461"/>
      <c r="I49" s="459"/>
      <c r="J49" s="459"/>
      <c r="K49" s="461"/>
      <c r="L49" s="459"/>
      <c r="M49" s="442"/>
      <c r="N49" s="461"/>
      <c r="O49" s="459"/>
      <c r="P49" s="342"/>
      <c r="Q49" s="461">
        <v>275.18829588</v>
      </c>
      <c r="R49" s="459">
        <v>296.78788487999998</v>
      </c>
      <c r="S49" s="342">
        <f t="shared" ref="S49:S60" si="34">IF(Q49=0, "    ---- ", IF(ABS(ROUND(100/Q49*R49-100,1))&lt;999,ROUND(100/Q49*R49-100,1),IF(ROUND(100/Q49*R49-100,1)&gt;999,999,-999)))</f>
        <v>7.8</v>
      </c>
      <c r="T49" s="461"/>
      <c r="U49" s="459"/>
      <c r="V49" s="342"/>
      <c r="W49" s="461"/>
      <c r="X49" s="459"/>
      <c r="Y49" s="342"/>
      <c r="Z49" s="461"/>
      <c r="AA49" s="459"/>
      <c r="AB49" s="342"/>
      <c r="AC49" s="461"/>
      <c r="AD49" s="459"/>
      <c r="AE49" s="342"/>
      <c r="AF49" s="461"/>
      <c r="AG49" s="459"/>
      <c r="AH49" s="342"/>
      <c r="AI49" s="461">
        <v>3673</v>
      </c>
      <c r="AJ49" s="459">
        <v>4179</v>
      </c>
      <c r="AK49" s="342">
        <f t="shared" si="26"/>
        <v>13.8</v>
      </c>
      <c r="AL49" s="445">
        <f t="shared" si="30"/>
        <v>3948.1882958800002</v>
      </c>
      <c r="AM49" s="445">
        <f t="shared" si="31"/>
        <v>4475.7878848800001</v>
      </c>
      <c r="AN49" s="342">
        <f t="shared" si="20"/>
        <v>13.4</v>
      </c>
      <c r="AO49" s="445">
        <f t="shared" si="32"/>
        <v>3948.1882958800002</v>
      </c>
      <c r="AP49" s="445">
        <f t="shared" si="33"/>
        <v>4475.7878848800001</v>
      </c>
      <c r="AQ49" s="460">
        <f t="shared" si="23"/>
        <v>13.4</v>
      </c>
      <c r="AR49" s="514"/>
      <c r="AS49" s="514"/>
      <c r="AT49" s="518"/>
    </row>
    <row r="50" spans="1:46" s="484" customFormat="1" ht="20.100000000000001" customHeight="1" x14ac:dyDescent="0.3">
      <c r="A50" s="478" t="s">
        <v>234</v>
      </c>
      <c r="B50" s="461"/>
      <c r="C50" s="459"/>
      <c r="D50" s="459"/>
      <c r="E50" s="461"/>
      <c r="F50" s="459"/>
      <c r="G50" s="459"/>
      <c r="H50" s="461"/>
      <c r="I50" s="459"/>
      <c r="J50" s="459"/>
      <c r="K50" s="461"/>
      <c r="L50" s="459"/>
      <c r="M50" s="442"/>
      <c r="N50" s="461"/>
      <c r="O50" s="459"/>
      <c r="P50" s="342"/>
      <c r="Q50" s="461">
        <f>SUM(Q51+Q53)</f>
        <v>784.63334423999993</v>
      </c>
      <c r="R50" s="459">
        <f>SUM(R51+R53)</f>
        <v>868.87723305000009</v>
      </c>
      <c r="S50" s="342">
        <f t="shared" si="34"/>
        <v>10.7</v>
      </c>
      <c r="T50" s="461"/>
      <c r="U50" s="459"/>
      <c r="V50" s="342"/>
      <c r="W50" s="461"/>
      <c r="X50" s="459"/>
      <c r="Y50" s="342"/>
      <c r="Z50" s="461"/>
      <c r="AA50" s="459"/>
      <c r="AB50" s="342"/>
      <c r="AC50" s="461"/>
      <c r="AD50" s="459"/>
      <c r="AE50" s="342"/>
      <c r="AF50" s="461"/>
      <c r="AG50" s="459"/>
      <c r="AH50" s="342"/>
      <c r="AI50" s="461">
        <f>SUM(AI51+AI53)</f>
        <v>1110</v>
      </c>
      <c r="AJ50" s="459">
        <f>SUM(AJ51+AJ53)</f>
        <v>354.5</v>
      </c>
      <c r="AK50" s="342"/>
      <c r="AL50" s="445">
        <f t="shared" si="30"/>
        <v>1894.63334424</v>
      </c>
      <c r="AM50" s="445">
        <f t="shared" si="31"/>
        <v>1223.3772330500001</v>
      </c>
      <c r="AN50" s="342">
        <f t="shared" si="20"/>
        <v>-35.4</v>
      </c>
      <c r="AO50" s="445">
        <f t="shared" si="32"/>
        <v>1894.63334424</v>
      </c>
      <c r="AP50" s="445">
        <f t="shared" si="33"/>
        <v>1223.3772330500001</v>
      </c>
      <c r="AQ50" s="460">
        <f t="shared" si="23"/>
        <v>-35.4</v>
      </c>
      <c r="AR50" s="514"/>
      <c r="AS50" s="514"/>
      <c r="AT50" s="518"/>
    </row>
    <row r="51" spans="1:46" s="484" customFormat="1" ht="20.100000000000001" customHeight="1" x14ac:dyDescent="0.3">
      <c r="A51" s="478" t="s">
        <v>235</v>
      </c>
      <c r="B51" s="461"/>
      <c r="C51" s="459"/>
      <c r="D51" s="342"/>
      <c r="E51" s="461"/>
      <c r="F51" s="459"/>
      <c r="G51" s="342"/>
      <c r="H51" s="461"/>
      <c r="I51" s="459"/>
      <c r="J51" s="342"/>
      <c r="K51" s="461"/>
      <c r="L51" s="459"/>
      <c r="M51" s="442"/>
      <c r="N51" s="461"/>
      <c r="O51" s="459"/>
      <c r="P51" s="342"/>
      <c r="Q51" s="461">
        <v>111.74407906</v>
      </c>
      <c r="R51" s="459">
        <v>81.460600480000011</v>
      </c>
      <c r="S51" s="342">
        <f t="shared" si="34"/>
        <v>-27.1</v>
      </c>
      <c r="T51" s="461"/>
      <c r="U51" s="459"/>
      <c r="V51" s="342"/>
      <c r="W51" s="461"/>
      <c r="X51" s="459"/>
      <c r="Y51" s="342"/>
      <c r="Z51" s="461"/>
      <c r="AA51" s="459"/>
      <c r="AB51" s="342"/>
      <c r="AC51" s="461"/>
      <c r="AD51" s="459"/>
      <c r="AE51" s="342"/>
      <c r="AF51" s="461"/>
      <c r="AG51" s="459"/>
      <c r="AH51" s="342"/>
      <c r="AI51" s="461"/>
      <c r="AJ51" s="459"/>
      <c r="AK51" s="342"/>
      <c r="AL51" s="445">
        <f t="shared" si="30"/>
        <v>111.74407906</v>
      </c>
      <c r="AM51" s="445">
        <f t="shared" si="31"/>
        <v>81.460600480000011</v>
      </c>
      <c r="AN51" s="342">
        <f t="shared" si="20"/>
        <v>-27.1</v>
      </c>
      <c r="AO51" s="445">
        <f t="shared" si="32"/>
        <v>111.74407906</v>
      </c>
      <c r="AP51" s="445">
        <f t="shared" si="33"/>
        <v>81.460600480000011</v>
      </c>
      <c r="AQ51" s="460">
        <f t="shared" si="23"/>
        <v>-27.1</v>
      </c>
      <c r="AR51" s="514"/>
      <c r="AS51" s="514"/>
      <c r="AT51" s="518"/>
    </row>
    <row r="52" spans="1:46" s="516" customFormat="1" ht="20.100000000000001" customHeight="1" x14ac:dyDescent="0.3">
      <c r="A52" s="478" t="s">
        <v>205</v>
      </c>
      <c r="B52" s="457"/>
      <c r="C52" s="455"/>
      <c r="D52" s="455"/>
      <c r="E52" s="457"/>
      <c r="F52" s="455"/>
      <c r="G52" s="455"/>
      <c r="H52" s="457"/>
      <c r="I52" s="455"/>
      <c r="J52" s="455"/>
      <c r="K52" s="457"/>
      <c r="L52" s="455"/>
      <c r="M52" s="452"/>
      <c r="N52" s="457"/>
      <c r="O52" s="455"/>
      <c r="P52" s="455"/>
      <c r="Q52" s="457"/>
      <c r="R52" s="455"/>
      <c r="S52" s="455"/>
      <c r="T52" s="457"/>
      <c r="U52" s="455"/>
      <c r="V52" s="455"/>
      <c r="W52" s="457"/>
      <c r="X52" s="455"/>
      <c r="Y52" s="455"/>
      <c r="Z52" s="457"/>
      <c r="AA52" s="455"/>
      <c r="AB52" s="455"/>
      <c r="AC52" s="457"/>
      <c r="AD52" s="455"/>
      <c r="AE52" s="455"/>
      <c r="AF52" s="457"/>
      <c r="AG52" s="455"/>
      <c r="AH52" s="455"/>
      <c r="AI52" s="457"/>
      <c r="AJ52" s="455"/>
      <c r="AK52" s="455"/>
      <c r="AL52" s="456">
        <f t="shared" si="30"/>
        <v>0</v>
      </c>
      <c r="AM52" s="456">
        <f t="shared" si="31"/>
        <v>0</v>
      </c>
      <c r="AN52" s="455" t="str">
        <f t="shared" si="20"/>
        <v xml:space="preserve">    ---- </v>
      </c>
      <c r="AO52" s="456">
        <f t="shared" si="32"/>
        <v>0</v>
      </c>
      <c r="AP52" s="456">
        <f t="shared" si="33"/>
        <v>0</v>
      </c>
      <c r="AQ52" s="458" t="str">
        <f t="shared" si="23"/>
        <v xml:space="preserve">    ---- </v>
      </c>
      <c r="AR52" s="515"/>
      <c r="AS52" s="515"/>
      <c r="AT52" s="517"/>
    </row>
    <row r="53" spans="1:46" s="484" customFormat="1" ht="20.100000000000001" customHeight="1" x14ac:dyDescent="0.3">
      <c r="A53" s="478" t="s">
        <v>236</v>
      </c>
      <c r="B53" s="461"/>
      <c r="C53" s="459"/>
      <c r="D53" s="459"/>
      <c r="E53" s="461"/>
      <c r="F53" s="459"/>
      <c r="G53" s="459"/>
      <c r="H53" s="461"/>
      <c r="I53" s="459"/>
      <c r="J53" s="459"/>
      <c r="K53" s="461"/>
      <c r="L53" s="459"/>
      <c r="M53" s="442"/>
      <c r="N53" s="461"/>
      <c r="O53" s="459"/>
      <c r="P53" s="342"/>
      <c r="Q53" s="461">
        <v>672.88926517999994</v>
      </c>
      <c r="R53" s="459">
        <v>787.41663257000005</v>
      </c>
      <c r="S53" s="342">
        <f t="shared" si="34"/>
        <v>17</v>
      </c>
      <c r="T53" s="461"/>
      <c r="U53" s="459"/>
      <c r="V53" s="342"/>
      <c r="W53" s="461"/>
      <c r="X53" s="459"/>
      <c r="Y53" s="342"/>
      <c r="Z53" s="461"/>
      <c r="AA53" s="459"/>
      <c r="AB53" s="342"/>
      <c r="AC53" s="461"/>
      <c r="AD53" s="459"/>
      <c r="AE53" s="342"/>
      <c r="AF53" s="461"/>
      <c r="AG53" s="459"/>
      <c r="AH53" s="342"/>
      <c r="AI53" s="461">
        <v>1110</v>
      </c>
      <c r="AJ53" s="459">
        <v>354.5</v>
      </c>
      <c r="AK53" s="342"/>
      <c r="AL53" s="445">
        <f t="shared" si="30"/>
        <v>1782.8892651799999</v>
      </c>
      <c r="AM53" s="445">
        <f t="shared" si="31"/>
        <v>1141.91663257</v>
      </c>
      <c r="AN53" s="342">
        <f t="shared" si="20"/>
        <v>-36</v>
      </c>
      <c r="AO53" s="445">
        <f t="shared" si="32"/>
        <v>1782.8892651799999</v>
      </c>
      <c r="AP53" s="445">
        <f t="shared" si="33"/>
        <v>1141.91663257</v>
      </c>
      <c r="AQ53" s="460">
        <f t="shared" si="23"/>
        <v>-36</v>
      </c>
      <c r="AR53" s="514"/>
      <c r="AS53" s="514"/>
      <c r="AT53" s="518"/>
    </row>
    <row r="54" spans="1:46" s="484" customFormat="1" ht="20.100000000000001" customHeight="1" x14ac:dyDescent="0.3">
      <c r="A54" s="478" t="s">
        <v>237</v>
      </c>
      <c r="B54" s="461">
        <f>SUM(B55:B59)</f>
        <v>16087.298000000001</v>
      </c>
      <c r="C54" s="459">
        <f>SUM(C55:C59)</f>
        <v>17958.436000000005</v>
      </c>
      <c r="D54" s="459">
        <f>IF(B54=0, "    ---- ", IF(ABS(ROUND(100/B54*C54-100,1))&lt;999,ROUND(100/B54*C54-100,1),IF(ROUND(100/B54*C54-100,1)&gt;999,999,-999)))</f>
        <v>11.6</v>
      </c>
      <c r="E54" s="461">
        <f>SUM(E55:E59)</f>
        <v>70689.760999999999</v>
      </c>
      <c r="F54" s="459">
        <f>SUM(F55:F59)</f>
        <v>82380.383999999991</v>
      </c>
      <c r="G54" s="459">
        <f t="shared" si="16"/>
        <v>16.5</v>
      </c>
      <c r="H54" s="461">
        <f>SUM(H55:H59)</f>
        <v>3022.5279999999998</v>
      </c>
      <c r="I54" s="459">
        <f>SUM(I55:I59)</f>
        <v>3471.864</v>
      </c>
      <c r="J54" s="459">
        <f>IF(H54=0, "    ---- ", IF(ABS(ROUND(100/H54*I54-100,1))&lt;999,ROUND(100/H54*I54-100,1),IF(ROUND(100/H54*I54-100,1)&gt;999,999,-999)))</f>
        <v>14.9</v>
      </c>
      <c r="K54" s="461">
        <f>SUM(K55:K59)</f>
        <v>21451.220999999998</v>
      </c>
      <c r="L54" s="459">
        <f>SUM(L55:L59)</f>
        <v>25237.200000000001</v>
      </c>
      <c r="M54" s="442">
        <f t="shared" si="27"/>
        <v>17.600000000000001</v>
      </c>
      <c r="N54" s="461"/>
      <c r="O54" s="459"/>
      <c r="P54" s="342"/>
      <c r="Q54" s="461">
        <f>SUM(Q55:Q59)</f>
        <v>1269.54631432</v>
      </c>
      <c r="R54" s="459">
        <f>SUM(R55:R59)</f>
        <v>1312.5598392299999</v>
      </c>
      <c r="S54" s="342">
        <f t="shared" si="34"/>
        <v>3.4</v>
      </c>
      <c r="T54" s="461">
        <f>SUM(T55:T59)</f>
        <v>2432.5</v>
      </c>
      <c r="U54" s="459">
        <f>SUM(U55:U59)</f>
        <v>3406.2</v>
      </c>
      <c r="V54" s="342">
        <f>IF(T54=0, "    ---- ", IF(ABS(ROUND(100/T54*U54-100,1))&lt;999,ROUND(100/T54*U54-100,1),IF(ROUND(100/T54*U54-100,1)&gt;999,999,-999)))</f>
        <v>40</v>
      </c>
      <c r="W54" s="461">
        <f>SUM(W55:W59)</f>
        <v>54647.56</v>
      </c>
      <c r="X54" s="459">
        <f>SUM(X55:X59)</f>
        <v>62133.829999999994</v>
      </c>
      <c r="Y54" s="342">
        <f t="shared" si="24"/>
        <v>13.7</v>
      </c>
      <c r="Z54" s="461"/>
      <c r="AA54" s="459"/>
      <c r="AB54" s="342"/>
      <c r="AC54" s="461">
        <f>SUM(AC55:AC59)</f>
        <v>1949</v>
      </c>
      <c r="AD54" s="459">
        <f>SUM(AD55:AD59)</f>
        <v>2250</v>
      </c>
      <c r="AE54" s="342">
        <f>IF(AC54=0, "    ---- ", IF(ABS(ROUND(100/AC54*AD54-100,1))&lt;999,ROUND(100/AC54*AD54-100,1),IF(ROUND(100/AC54*AD54-100,1)&gt;999,999,-999)))</f>
        <v>15.4</v>
      </c>
      <c r="AF54" s="461">
        <f>SUM(AF55:AF59)</f>
        <v>23610.829000000002</v>
      </c>
      <c r="AG54" s="459">
        <f>SUM(AG55:AG59)</f>
        <v>29550.934000000001</v>
      </c>
      <c r="AH54" s="342">
        <f t="shared" si="17"/>
        <v>25.2</v>
      </c>
      <c r="AI54" s="461">
        <f>SUM(AI55:AI59)</f>
        <v>70915</v>
      </c>
      <c r="AJ54" s="459">
        <f>SUM(AJ55:AJ59)</f>
        <v>93727.8</v>
      </c>
      <c r="AK54" s="342">
        <f t="shared" si="26"/>
        <v>32.200000000000003</v>
      </c>
      <c r="AL54" s="445">
        <f t="shared" si="30"/>
        <v>264126.24331431999</v>
      </c>
      <c r="AM54" s="445">
        <f t="shared" si="31"/>
        <v>319179.20783923002</v>
      </c>
      <c r="AN54" s="342">
        <f t="shared" si="20"/>
        <v>20.8</v>
      </c>
      <c r="AO54" s="445">
        <f t="shared" si="32"/>
        <v>266075.24331431999</v>
      </c>
      <c r="AP54" s="445">
        <f t="shared" si="33"/>
        <v>321429.20783923002</v>
      </c>
      <c r="AQ54" s="460">
        <f t="shared" si="23"/>
        <v>20.8</v>
      </c>
      <c r="AR54" s="514"/>
      <c r="AS54" s="514"/>
      <c r="AT54" s="518"/>
    </row>
    <row r="55" spans="1:46" s="484" customFormat="1" ht="20.100000000000001" customHeight="1" x14ac:dyDescent="0.3">
      <c r="A55" s="478" t="s">
        <v>238</v>
      </c>
      <c r="B55" s="461">
        <v>9572.7309999999998</v>
      </c>
      <c r="C55" s="459">
        <v>10856.33</v>
      </c>
      <c r="D55" s="459">
        <f>IF(B55=0, "    ---- ", IF(ABS(ROUND(100/B55*C55-100,1))&lt;999,ROUND(100/B55*C55-100,1),IF(ROUND(100/B55*C55-100,1)&gt;999,999,-999)))</f>
        <v>13.4</v>
      </c>
      <c r="E55" s="461">
        <v>37847.123</v>
      </c>
      <c r="F55" s="459">
        <v>45133.036</v>
      </c>
      <c r="G55" s="459">
        <f t="shared" si="16"/>
        <v>19.3</v>
      </c>
      <c r="H55" s="461">
        <v>1973.4529999999997</v>
      </c>
      <c r="I55" s="459">
        <f>3471.864-I59</f>
        <v>2300.1030000000001</v>
      </c>
      <c r="J55" s="459">
        <f>IF(H55=0, "    ---- ", IF(ABS(ROUND(100/H55*I55-100,1))&lt;999,ROUND(100/H55*I55-100,1),IF(ROUND(100/H55*I55-100,1)&gt;999,999,-999)))</f>
        <v>16.600000000000001</v>
      </c>
      <c r="K55" s="461">
        <v>18976.904999999999</v>
      </c>
      <c r="L55" s="459">
        <v>22043.5</v>
      </c>
      <c r="M55" s="442">
        <f t="shared" si="27"/>
        <v>16.2</v>
      </c>
      <c r="N55" s="461"/>
      <c r="O55" s="459"/>
      <c r="P55" s="342"/>
      <c r="Q55" s="461">
        <v>599.69890402999999</v>
      </c>
      <c r="R55" s="459">
        <v>669.57040792999999</v>
      </c>
      <c r="S55" s="342">
        <f t="shared" si="34"/>
        <v>11.7</v>
      </c>
      <c r="T55" s="461">
        <v>2424.8000000000002</v>
      </c>
      <c r="U55" s="459">
        <v>3390.6</v>
      </c>
      <c r="V55" s="342">
        <f>IF(T55=0, "    ---- ", IF(ABS(ROUND(100/T55*U55-100,1))&lt;999,ROUND(100/T55*U55-100,1),IF(ROUND(100/T55*U55-100,1)&gt;999,999,-999)))</f>
        <v>39.799999999999997</v>
      </c>
      <c r="W55" s="461">
        <v>54630.95</v>
      </c>
      <c r="X55" s="459">
        <v>61627.27</v>
      </c>
      <c r="Y55" s="342">
        <f t="shared" si="24"/>
        <v>12.8</v>
      </c>
      <c r="Z55" s="461"/>
      <c r="AA55" s="459"/>
      <c r="AB55" s="342"/>
      <c r="AC55" s="461">
        <v>1949</v>
      </c>
      <c r="AD55" s="459">
        <v>2250</v>
      </c>
      <c r="AE55" s="342">
        <f>IF(AC55=0, "    ---- ", IF(ABS(ROUND(100/AC55*AD55-100,1))&lt;999,ROUND(100/AC55*AD55-100,1),IF(ROUND(100/AC55*AD55-100,1)&gt;999,999,-999)))</f>
        <v>15.4</v>
      </c>
      <c r="AF55" s="461">
        <v>13824.271000000001</v>
      </c>
      <c r="AG55" s="459">
        <v>17650.882000000001</v>
      </c>
      <c r="AH55" s="342">
        <f t="shared" si="17"/>
        <v>27.7</v>
      </c>
      <c r="AI55" s="461">
        <v>46385</v>
      </c>
      <c r="AJ55" s="459">
        <v>59081</v>
      </c>
      <c r="AK55" s="342">
        <f t="shared" si="26"/>
        <v>27.4</v>
      </c>
      <c r="AL55" s="445">
        <f t="shared" si="30"/>
        <v>186234.93190403</v>
      </c>
      <c r="AM55" s="445">
        <f t="shared" si="31"/>
        <v>222752.29140793002</v>
      </c>
      <c r="AN55" s="342">
        <f t="shared" si="20"/>
        <v>19.600000000000001</v>
      </c>
      <c r="AO55" s="445">
        <f t="shared" si="32"/>
        <v>188183.93190403</v>
      </c>
      <c r="AP55" s="445">
        <f t="shared" si="33"/>
        <v>225002.29140793002</v>
      </c>
      <c r="AQ55" s="460">
        <f t="shared" si="23"/>
        <v>19.600000000000001</v>
      </c>
      <c r="AR55" s="514"/>
      <c r="AS55" s="514"/>
      <c r="AT55" s="518"/>
    </row>
    <row r="56" spans="1:46" s="484" customFormat="1" ht="20.100000000000001" customHeight="1" x14ac:dyDescent="0.3">
      <c r="A56" s="478" t="s">
        <v>239</v>
      </c>
      <c r="B56" s="461">
        <v>6455.183</v>
      </c>
      <c r="C56" s="459">
        <v>6621.7330000000002</v>
      </c>
      <c r="D56" s="459">
        <f>IF(B56=0, "    ---- ", IF(ABS(ROUND(100/B56*C56-100,1))&lt;999,ROUND(100/B56*C56-100,1),IF(ROUND(100/B56*C56-100,1)&gt;999,999,-999)))</f>
        <v>2.6</v>
      </c>
      <c r="E56" s="461">
        <v>31250.539000000001</v>
      </c>
      <c r="F56" s="459">
        <v>35712.146999999997</v>
      </c>
      <c r="G56" s="459">
        <f t="shared" si="16"/>
        <v>14.3</v>
      </c>
      <c r="H56" s="461"/>
      <c r="I56" s="459"/>
      <c r="J56" s="459"/>
      <c r="K56" s="461">
        <v>2365.9630000000002</v>
      </c>
      <c r="L56" s="459">
        <v>3134.7</v>
      </c>
      <c r="M56" s="442">
        <f t="shared" si="27"/>
        <v>32.5</v>
      </c>
      <c r="N56" s="461"/>
      <c r="O56" s="459"/>
      <c r="P56" s="342"/>
      <c r="Q56" s="461">
        <v>599.83286462000001</v>
      </c>
      <c r="R56" s="459">
        <v>575.04298857000003</v>
      </c>
      <c r="S56" s="342">
        <f t="shared" si="34"/>
        <v>-4.0999999999999996</v>
      </c>
      <c r="T56" s="461"/>
      <c r="U56" s="459"/>
      <c r="V56" s="342"/>
      <c r="W56" s="461"/>
      <c r="X56" s="459"/>
      <c r="Y56" s="342"/>
      <c r="Z56" s="461"/>
      <c r="AA56" s="459"/>
      <c r="AB56" s="342"/>
      <c r="AC56" s="461"/>
      <c r="AD56" s="459"/>
      <c r="AE56" s="342"/>
      <c r="AF56" s="461">
        <v>9672.5149999999994</v>
      </c>
      <c r="AG56" s="459">
        <v>11640.191999999999</v>
      </c>
      <c r="AH56" s="342">
        <f t="shared" si="17"/>
        <v>20.3</v>
      </c>
      <c r="AI56" s="461">
        <v>24445</v>
      </c>
      <c r="AJ56" s="459">
        <v>33906.6</v>
      </c>
      <c r="AK56" s="342">
        <f t="shared" si="26"/>
        <v>38.700000000000003</v>
      </c>
      <c r="AL56" s="445">
        <f t="shared" si="30"/>
        <v>74789.032864620007</v>
      </c>
      <c r="AM56" s="445">
        <f t="shared" si="31"/>
        <v>91590.414988570003</v>
      </c>
      <c r="AN56" s="342">
        <f t="shared" si="20"/>
        <v>22.5</v>
      </c>
      <c r="AO56" s="445">
        <f t="shared" si="32"/>
        <v>74789.032864620007</v>
      </c>
      <c r="AP56" s="445">
        <f t="shared" si="33"/>
        <v>91590.414988570003</v>
      </c>
      <c r="AQ56" s="460">
        <f t="shared" si="23"/>
        <v>22.5</v>
      </c>
      <c r="AR56" s="514"/>
      <c r="AS56" s="514"/>
      <c r="AT56" s="518"/>
    </row>
    <row r="57" spans="1:46" s="484" customFormat="1" ht="20.100000000000001" customHeight="1" x14ac:dyDescent="0.3">
      <c r="A57" s="478" t="s">
        <v>240</v>
      </c>
      <c r="B57" s="461"/>
      <c r="C57" s="459"/>
      <c r="D57" s="342"/>
      <c r="E57" s="461">
        <v>1592.0989999999999</v>
      </c>
      <c r="F57" s="459">
        <v>1535.201</v>
      </c>
      <c r="G57" s="342">
        <f t="shared" si="16"/>
        <v>-3.6</v>
      </c>
      <c r="H57" s="461"/>
      <c r="I57" s="459"/>
      <c r="J57" s="342"/>
      <c r="K57" s="461">
        <v>35.698</v>
      </c>
      <c r="L57" s="459">
        <v>42.7</v>
      </c>
      <c r="M57" s="342">
        <f t="shared" si="27"/>
        <v>19.600000000000001</v>
      </c>
      <c r="N57" s="461"/>
      <c r="O57" s="459"/>
      <c r="P57" s="342"/>
      <c r="Q57" s="461">
        <v>59.500607430000002</v>
      </c>
      <c r="R57" s="459">
        <v>43.691834799999995</v>
      </c>
      <c r="S57" s="342">
        <f t="shared" si="34"/>
        <v>-26.6</v>
      </c>
      <c r="T57" s="461">
        <v>7.7</v>
      </c>
      <c r="U57" s="459">
        <v>15.6</v>
      </c>
      <c r="V57" s="342">
        <f>IF(T57=0, "    ---- ", IF(ABS(ROUND(100/T57*U57-100,1))&lt;999,ROUND(100/T57*U57-100,1),IF(ROUND(100/T57*U57-100,1)&gt;999,999,-999)))</f>
        <v>102.6</v>
      </c>
      <c r="W57" s="461"/>
      <c r="X57" s="459"/>
      <c r="Y57" s="342"/>
      <c r="Z57" s="461"/>
      <c r="AA57" s="459"/>
      <c r="AB57" s="342"/>
      <c r="AC57" s="461"/>
      <c r="AD57" s="459"/>
      <c r="AE57" s="342"/>
      <c r="AF57" s="461"/>
      <c r="AG57" s="459"/>
      <c r="AH57" s="342"/>
      <c r="AI57" s="461"/>
      <c r="AJ57" s="459">
        <v>341.7</v>
      </c>
      <c r="AK57" s="342" t="str">
        <f t="shared" si="26"/>
        <v xml:space="preserve">    ---- </v>
      </c>
      <c r="AL57" s="445">
        <f t="shared" si="30"/>
        <v>1694.99760743</v>
      </c>
      <c r="AM57" s="445">
        <f t="shared" si="31"/>
        <v>1978.8928347999999</v>
      </c>
      <c r="AN57" s="342">
        <f t="shared" si="20"/>
        <v>16.7</v>
      </c>
      <c r="AO57" s="445">
        <f t="shared" si="32"/>
        <v>1694.99760743</v>
      </c>
      <c r="AP57" s="445">
        <f t="shared" si="33"/>
        <v>1978.8928347999999</v>
      </c>
      <c r="AQ57" s="460">
        <f t="shared" si="23"/>
        <v>16.7</v>
      </c>
      <c r="AR57" s="514"/>
      <c r="AS57" s="514"/>
      <c r="AT57" s="518"/>
    </row>
    <row r="58" spans="1:46" s="484" customFormat="1" ht="20.100000000000001" customHeight="1" x14ac:dyDescent="0.3">
      <c r="A58" s="478" t="s">
        <v>241</v>
      </c>
      <c r="B58" s="461"/>
      <c r="C58" s="459">
        <v>-1.85</v>
      </c>
      <c r="D58" s="342" t="str">
        <f>IF(B58=0, "    ---- ", IF(ABS(ROUND(100/B58*C58-100,1))&lt;999,ROUND(100/B58*C58-100,1),IF(ROUND(100/B58*C58-100,1)&gt;999,999,-999)))</f>
        <v xml:space="preserve">    ---- </v>
      </c>
      <c r="E58" s="461"/>
      <c r="F58" s="459"/>
      <c r="G58" s="342"/>
      <c r="H58" s="461"/>
      <c r="I58" s="459"/>
      <c r="J58" s="342"/>
      <c r="K58" s="461"/>
      <c r="L58" s="459"/>
      <c r="M58" s="342"/>
      <c r="N58" s="461"/>
      <c r="O58" s="459"/>
      <c r="P58" s="342"/>
      <c r="Q58" s="461">
        <v>7.0462466600000004</v>
      </c>
      <c r="R58" s="459">
        <v>8.1407513700000003</v>
      </c>
      <c r="S58" s="342">
        <f t="shared" si="34"/>
        <v>15.5</v>
      </c>
      <c r="T58" s="461"/>
      <c r="U58" s="459"/>
      <c r="V58" s="342"/>
      <c r="W58" s="461"/>
      <c r="X58" s="459"/>
      <c r="Y58" s="342"/>
      <c r="Z58" s="461"/>
      <c r="AA58" s="459"/>
      <c r="AB58" s="342"/>
      <c r="AC58" s="461"/>
      <c r="AD58" s="459"/>
      <c r="AE58" s="342"/>
      <c r="AF58" s="461">
        <v>0</v>
      </c>
      <c r="AG58" s="459">
        <v>147.90100000000001</v>
      </c>
      <c r="AH58" s="342" t="str">
        <f t="shared" si="17"/>
        <v xml:space="preserve">    ---- </v>
      </c>
      <c r="AI58" s="461">
        <v>85</v>
      </c>
      <c r="AJ58" s="459">
        <v>398.5</v>
      </c>
      <c r="AK58" s="342">
        <f t="shared" si="26"/>
        <v>368.8</v>
      </c>
      <c r="AL58" s="445">
        <f t="shared" si="30"/>
        <v>92.046246659999994</v>
      </c>
      <c r="AM58" s="445">
        <f t="shared" si="31"/>
        <v>552.69175137000002</v>
      </c>
      <c r="AN58" s="342">
        <f t="shared" si="20"/>
        <v>500.5</v>
      </c>
      <c r="AO58" s="445">
        <f t="shared" si="32"/>
        <v>92.046246659999994</v>
      </c>
      <c r="AP58" s="445">
        <f t="shared" si="33"/>
        <v>552.69175137000002</v>
      </c>
      <c r="AQ58" s="460">
        <f t="shared" si="23"/>
        <v>500.5</v>
      </c>
      <c r="AR58" s="514"/>
      <c r="AS58" s="514"/>
      <c r="AT58" s="518"/>
    </row>
    <row r="59" spans="1:46" s="484" customFormat="1" ht="20.100000000000001" customHeight="1" x14ac:dyDescent="0.3">
      <c r="A59" s="478" t="s">
        <v>242</v>
      </c>
      <c r="B59" s="461">
        <v>59.384</v>
      </c>
      <c r="C59" s="459">
        <f>108.594+373.629</f>
        <v>482.22300000000001</v>
      </c>
      <c r="D59" s="342">
        <f>IF(B59=0, "    ---- ", IF(ABS(ROUND(100/B59*C59-100,1))&lt;999,ROUND(100/B59*C59-100,1),IF(ROUND(100/B59*C59-100,1)&gt;999,999,-999)))</f>
        <v>712</v>
      </c>
      <c r="E59" s="461"/>
      <c r="F59" s="459"/>
      <c r="G59" s="342"/>
      <c r="H59" s="461">
        <v>1049.075</v>
      </c>
      <c r="I59" s="459">
        <v>1171.761</v>
      </c>
      <c r="J59" s="342">
        <f>IF(H59=0, "    ---- ", IF(ABS(ROUND(100/H59*I59-100,1))&lt;999,ROUND(100/H59*I59-100,1),IF(ROUND(100/H59*I59-100,1)&gt;999,999,-999)))</f>
        <v>11.7</v>
      </c>
      <c r="K59" s="461">
        <v>72.655000000000001</v>
      </c>
      <c r="L59" s="459">
        <v>16.3</v>
      </c>
      <c r="M59" s="342">
        <f>IF(K59=0, "    ---- ", IF(ABS(ROUND(100/K59*L59-100,1))&lt;999,ROUND(100/K59*L59-100,1),IF(ROUND(100/K59*L59-100,1)&gt;999,999,-999)))</f>
        <v>-77.599999999999994</v>
      </c>
      <c r="N59" s="461"/>
      <c r="O59" s="459"/>
      <c r="P59" s="342"/>
      <c r="Q59" s="461">
        <v>3.4676915799999999</v>
      </c>
      <c r="R59" s="459">
        <v>16.113856560000002</v>
      </c>
      <c r="S59" s="342">
        <f t="shared" si="34"/>
        <v>364.7</v>
      </c>
      <c r="T59" s="461"/>
      <c r="U59" s="459"/>
      <c r="V59" s="342"/>
      <c r="W59" s="461">
        <v>16.61</v>
      </c>
      <c r="X59" s="459">
        <v>506.56</v>
      </c>
      <c r="Y59" s="342">
        <f t="shared" si="24"/>
        <v>999</v>
      </c>
      <c r="Z59" s="461"/>
      <c r="AA59" s="459"/>
      <c r="AB59" s="342"/>
      <c r="AC59" s="461"/>
      <c r="AD59" s="459"/>
      <c r="AE59" s="342"/>
      <c r="AF59" s="461">
        <v>114.04300000000001</v>
      </c>
      <c r="AG59" s="459">
        <v>111.959</v>
      </c>
      <c r="AH59" s="342">
        <f t="shared" si="17"/>
        <v>-1.8</v>
      </c>
      <c r="AI59" s="461"/>
      <c r="AJ59" s="459"/>
      <c r="AK59" s="342" t="str">
        <f t="shared" si="26"/>
        <v xml:space="preserve">    ---- </v>
      </c>
      <c r="AL59" s="445">
        <f t="shared" si="30"/>
        <v>1315.2346915799999</v>
      </c>
      <c r="AM59" s="445">
        <f t="shared" si="31"/>
        <v>2304.9168565599998</v>
      </c>
      <c r="AN59" s="342">
        <f t="shared" si="20"/>
        <v>75.2</v>
      </c>
      <c r="AO59" s="445">
        <f t="shared" si="32"/>
        <v>1315.2346915799999</v>
      </c>
      <c r="AP59" s="445">
        <f t="shared" si="33"/>
        <v>2304.9168565599998</v>
      </c>
      <c r="AQ59" s="460">
        <f t="shared" si="23"/>
        <v>75.2</v>
      </c>
      <c r="AR59" s="514"/>
      <c r="AS59" s="514"/>
      <c r="AT59" s="518"/>
    </row>
    <row r="60" spans="1:46" s="484" customFormat="1" ht="20.100000000000001" customHeight="1" x14ac:dyDescent="0.3">
      <c r="A60" s="479" t="s">
        <v>243</v>
      </c>
      <c r="B60" s="461">
        <f>SUM(B48+B49+B50+B54)</f>
        <v>16087.298000000001</v>
      </c>
      <c r="C60" s="459">
        <f>SUM(C48+C49+C50+C54)</f>
        <v>17958.436000000005</v>
      </c>
      <c r="D60" s="342">
        <f>IF(B60=0, "    ---- ", IF(ABS(ROUND(100/B60*C60-100,1))&lt;999,ROUND(100/B60*C60-100,1),IF(ROUND(100/B60*C60-100,1)&gt;999,999,-999)))</f>
        <v>11.6</v>
      </c>
      <c r="E60" s="461">
        <f>SUM(E48+E49+E50+E54)</f>
        <v>70689.760999999999</v>
      </c>
      <c r="F60" s="459">
        <f>SUM(F48+F49+F50+F54)</f>
        <v>82380.383999999991</v>
      </c>
      <c r="G60" s="342">
        <f t="shared" si="16"/>
        <v>16.5</v>
      </c>
      <c r="H60" s="461">
        <f>SUM(H48+H49+H50+H54)</f>
        <v>3022.5279999999998</v>
      </c>
      <c r="I60" s="459">
        <f>SUM(I48+I49+I50+I54)</f>
        <v>3471.864</v>
      </c>
      <c r="J60" s="342">
        <f>IF(H60=0, "    ---- ", IF(ABS(ROUND(100/H60*I60-100,1))&lt;999,ROUND(100/H60*I60-100,1),IF(ROUND(100/H60*I60-100,1)&gt;999,999,-999)))</f>
        <v>14.9</v>
      </c>
      <c r="K60" s="461">
        <f>SUM(K48+K49+K50+K54)</f>
        <v>21451.220999999998</v>
      </c>
      <c r="L60" s="459">
        <f>SUM(L48+L49+L50+L54)</f>
        <v>25237.200000000001</v>
      </c>
      <c r="M60" s="342">
        <f>IF(K60=0, "    ---- ", IF(ABS(ROUND(100/K60*L60-100,1))&lt;999,ROUND(100/K60*L60-100,1),IF(ROUND(100/K60*L60-100,1)&gt;999,999,-999)))</f>
        <v>17.600000000000001</v>
      </c>
      <c r="N60" s="461"/>
      <c r="O60" s="459"/>
      <c r="P60" s="342"/>
      <c r="Q60" s="461">
        <f>SUM(Q48+Q49+Q50+Q54)</f>
        <v>2329.3679544400002</v>
      </c>
      <c r="R60" s="459">
        <f>SUM(R48+R49+R50+R54)</f>
        <v>2478.22495716</v>
      </c>
      <c r="S60" s="342">
        <f t="shared" si="34"/>
        <v>6.4</v>
      </c>
      <c r="T60" s="461">
        <f>SUM(T48+T49+T50+T54)</f>
        <v>2432.5</v>
      </c>
      <c r="U60" s="459">
        <f>SUM(U48+U49+U50+U54)</f>
        <v>3406.2</v>
      </c>
      <c r="V60" s="342">
        <f>IF(T60=0, "    ---- ", IF(ABS(ROUND(100/T60*U60-100,1))&lt;999,ROUND(100/T60*U60-100,1),IF(ROUND(100/T60*U60-100,1)&gt;999,999,-999)))</f>
        <v>40</v>
      </c>
      <c r="W60" s="461">
        <f>SUM(W48+W49+W50+W54)</f>
        <v>54647.56</v>
      </c>
      <c r="X60" s="459">
        <f>SUM(X48+X49+X50+X54)</f>
        <v>62133.829999999994</v>
      </c>
      <c r="Y60" s="342">
        <f t="shared" si="24"/>
        <v>13.7</v>
      </c>
      <c r="Z60" s="461"/>
      <c r="AA60" s="459"/>
      <c r="AB60" s="342"/>
      <c r="AC60" s="461">
        <f>SUM(AC48+AC49+AC50+AC54)</f>
        <v>1949</v>
      </c>
      <c r="AD60" s="459">
        <f>SUM(AD48+AD49+AD50+AD54)</f>
        <v>2250</v>
      </c>
      <c r="AE60" s="342">
        <f>IF(AC60=0, "    ---- ", IF(ABS(ROUND(100/AC60*AD60-100,1))&lt;999,ROUND(100/AC60*AD60-100,1),IF(ROUND(100/AC60*AD60-100,1)&gt;999,999,-999)))</f>
        <v>15.4</v>
      </c>
      <c r="AF60" s="461">
        <f>SUM(AF48+AF49+AF50+AF54)</f>
        <v>23610.829000000002</v>
      </c>
      <c r="AG60" s="459">
        <f>SUM(AG48+AG49+AG50+AG54)</f>
        <v>29550.934000000001</v>
      </c>
      <c r="AH60" s="342">
        <f t="shared" si="17"/>
        <v>25.2</v>
      </c>
      <c r="AI60" s="461">
        <f>SUM(AI48+AI49+AI50+AI54)</f>
        <v>75698</v>
      </c>
      <c r="AJ60" s="459">
        <f>SUM(AJ48+AJ49+AJ50+AJ54)</f>
        <v>98261.3</v>
      </c>
      <c r="AK60" s="342">
        <f t="shared" si="26"/>
        <v>29.8</v>
      </c>
      <c r="AL60" s="445">
        <f t="shared" si="30"/>
        <v>269969.06495443999</v>
      </c>
      <c r="AM60" s="445">
        <f t="shared" si="31"/>
        <v>324878.37295716</v>
      </c>
      <c r="AN60" s="342">
        <f t="shared" si="20"/>
        <v>20.3</v>
      </c>
      <c r="AO60" s="445">
        <f t="shared" si="32"/>
        <v>271918.06495443999</v>
      </c>
      <c r="AP60" s="445">
        <f t="shared" si="33"/>
        <v>327128.37295716</v>
      </c>
      <c r="AQ60" s="460">
        <f t="shared" si="23"/>
        <v>20.3</v>
      </c>
      <c r="AR60" s="514"/>
      <c r="AS60" s="514"/>
      <c r="AT60" s="518"/>
    </row>
    <row r="61" spans="1:46" s="484" customFormat="1" ht="20.100000000000001" customHeight="1" x14ac:dyDescent="0.3">
      <c r="A61" s="476" t="s">
        <v>350</v>
      </c>
      <c r="B61" s="461"/>
      <c r="C61" s="459"/>
      <c r="D61" s="342"/>
      <c r="E61" s="461"/>
      <c r="F61" s="459"/>
      <c r="G61" s="342"/>
      <c r="H61" s="461"/>
      <c r="I61" s="459"/>
      <c r="J61" s="342"/>
      <c r="K61" s="461"/>
      <c r="L61" s="459"/>
      <c r="M61" s="342"/>
      <c r="N61" s="461"/>
      <c r="O61" s="459"/>
      <c r="P61" s="342"/>
      <c r="Q61" s="461"/>
      <c r="R61" s="459"/>
      <c r="S61" s="342"/>
      <c r="T61" s="461"/>
      <c r="U61" s="459"/>
      <c r="V61" s="342"/>
      <c r="W61" s="461"/>
      <c r="X61" s="459"/>
      <c r="Y61" s="342"/>
      <c r="Z61" s="461"/>
      <c r="AA61" s="459"/>
      <c r="AB61" s="342"/>
      <c r="AC61" s="461"/>
      <c r="AD61" s="459"/>
      <c r="AE61" s="342"/>
      <c r="AF61" s="461"/>
      <c r="AG61" s="459"/>
      <c r="AH61" s="342"/>
      <c r="AI61" s="461"/>
      <c r="AJ61" s="459"/>
      <c r="AK61" s="342"/>
      <c r="AL61" s="445">
        <f t="shared" si="30"/>
        <v>0</v>
      </c>
      <c r="AM61" s="445">
        <f t="shared" si="31"/>
        <v>0</v>
      </c>
      <c r="AN61" s="342" t="str">
        <f t="shared" si="20"/>
        <v xml:space="preserve">    ---- </v>
      </c>
      <c r="AO61" s="445">
        <f t="shared" si="32"/>
        <v>0</v>
      </c>
      <c r="AP61" s="445">
        <f t="shared" si="33"/>
        <v>0</v>
      </c>
      <c r="AQ61" s="460" t="str">
        <f t="shared" si="23"/>
        <v xml:space="preserve">    ---- </v>
      </c>
      <c r="AR61" s="514"/>
      <c r="AS61" s="514"/>
      <c r="AT61" s="518"/>
    </row>
    <row r="62" spans="1:46" s="484" customFormat="1" ht="20.100000000000001" customHeight="1" x14ac:dyDescent="0.3">
      <c r="A62" s="478" t="s">
        <v>244</v>
      </c>
      <c r="B62" s="461">
        <f>SUM(B45+B46+B60+B61)</f>
        <v>17214.827000000001</v>
      </c>
      <c r="C62" s="459">
        <f>SUM(C45+C46+C60+C61)</f>
        <v>19169.018000000004</v>
      </c>
      <c r="D62" s="342">
        <f>IF(B62=0, "    ---- ", IF(ABS(ROUND(100/B62*C62-100,1))&lt;999,ROUND(100/B62*C62-100,1),IF(ROUND(100/B62*C62-100,1)&gt;999,999,-999)))</f>
        <v>11.4</v>
      </c>
      <c r="E62" s="461">
        <f>SUM(E45+E46+E60+E61)</f>
        <v>280543.39300000004</v>
      </c>
      <c r="F62" s="459">
        <f>SUM(F45+F46+F60+F61)</f>
        <v>290520.23600000003</v>
      </c>
      <c r="G62" s="342">
        <f t="shared" si="16"/>
        <v>3.6</v>
      </c>
      <c r="H62" s="461">
        <f>SUM(H45+H46+H60+H61)</f>
        <v>4005.4369999999999</v>
      </c>
      <c r="I62" s="459">
        <f>SUM(I45+I46+I60+I61)</f>
        <v>4553.8149999999996</v>
      </c>
      <c r="J62" s="342">
        <f>IF(H62=0, "    ---- ", IF(ABS(ROUND(100/H62*I62-100,1))&lt;999,ROUND(100/H62*I62-100,1),IF(ROUND(100/H62*I62-100,1)&gt;999,999,-999)))</f>
        <v>13.7</v>
      </c>
      <c r="K62" s="461">
        <f>SUM(K45+K46+K60+K61)</f>
        <v>27325.702999999998</v>
      </c>
      <c r="L62" s="459">
        <f>SUM(L45+L46+L60+L61)</f>
        <v>31737.800000000003</v>
      </c>
      <c r="M62" s="342">
        <f>IF(K62=0, "    ---- ", IF(ABS(ROUND(100/K62*L62-100,1))&lt;999,ROUND(100/K62*L62-100,1),IF(ROUND(100/K62*L62-100,1)&gt;999,999,-999)))</f>
        <v>16.100000000000001</v>
      </c>
      <c r="N62" s="461"/>
      <c r="O62" s="459"/>
      <c r="P62" s="342"/>
      <c r="Q62" s="461">
        <f>SUM(Q45+Q46+Q60+Q61)</f>
        <v>482704.39007346</v>
      </c>
      <c r="R62" s="459">
        <f>SUM(R45+R46+R60+R61)</f>
        <v>511524.21975466999</v>
      </c>
      <c r="S62" s="342">
        <f>IF(Q62=0, "    ---- ", IF(ABS(ROUND(100/Q62*R62-100,1))&lt;999,ROUND(100/Q62*R62-100,1),IF(ROUND(100/Q62*R62-100,1)&gt;999,999,-999)))</f>
        <v>6</v>
      </c>
      <c r="T62" s="461">
        <f>SUM(T45+T46+T60+T61)</f>
        <v>4041.9</v>
      </c>
      <c r="U62" s="459">
        <f>SUM(U45+U46+U60+U61)</f>
        <v>5140.3</v>
      </c>
      <c r="V62" s="342">
        <f>IF(T62=0, "    ---- ", IF(ABS(ROUND(100/T62*U62-100,1))&lt;999,ROUND(100/T62*U62-100,1),IF(ROUND(100/T62*U62-100,1)&gt;999,999,-999)))</f>
        <v>27.2</v>
      </c>
      <c r="W62" s="461">
        <f>SUM(W45+W46+W60+W61)</f>
        <v>105403.68508059991</v>
      </c>
      <c r="X62" s="459">
        <f>SUM(X45+X46+X60+X61)</f>
        <v>112947.80634698999</v>
      </c>
      <c r="Y62" s="342">
        <f t="shared" si="24"/>
        <v>7.2</v>
      </c>
      <c r="Z62" s="461">
        <f>SUM(Z45+Z46+Z60+Z61)</f>
        <v>80124</v>
      </c>
      <c r="AA62" s="459">
        <f>SUM(AA45+AA46+AA60+AA61)</f>
        <v>86922</v>
      </c>
      <c r="AB62" s="342">
        <f>IF(Z62=0, "    ---- ", IF(ABS(ROUND(100/Z62*AA62-100,1))&lt;999,ROUND(100/Z62*AA62-100,1),IF(ROUND(100/Z62*AA62-100,1)&gt;999,999,-999)))</f>
        <v>8.5</v>
      </c>
      <c r="AC62" s="461">
        <f>SUM(AC45+AC46+AC60+AC61)</f>
        <v>1949</v>
      </c>
      <c r="AD62" s="459">
        <f>SUM(AD45+AD46+AD60+AD61)</f>
        <v>2250</v>
      </c>
      <c r="AE62" s="342">
        <f>IF(AC62=0, "    ---- ", IF(ABS(ROUND(100/AC62*AD62-100,1))&lt;999,ROUND(100/AC62*AD62-100,1),IF(ROUND(100/AC62*AD62-100,1)&gt;999,999,-999)))</f>
        <v>15.4</v>
      </c>
      <c r="AF62" s="461">
        <f>SUM(AF45+AF46+AF60+AF61)</f>
        <v>45961.493000000002</v>
      </c>
      <c r="AG62" s="459">
        <f>SUM(AG45+AG46+AG60+AG61)</f>
        <v>53190.64</v>
      </c>
      <c r="AH62" s="342">
        <f t="shared" si="17"/>
        <v>15.7</v>
      </c>
      <c r="AI62" s="461">
        <f>SUM(AI45+AI46+AI60+AI61)</f>
        <v>262175</v>
      </c>
      <c r="AJ62" s="459">
        <f>SUM(AJ45+AJ46+AJ60+AJ61)</f>
        <v>288001.80000000005</v>
      </c>
      <c r="AK62" s="342">
        <f t="shared" si="26"/>
        <v>9.9</v>
      </c>
      <c r="AL62" s="445">
        <f t="shared" si="30"/>
        <v>1309499.8281540598</v>
      </c>
      <c r="AM62" s="445">
        <f t="shared" si="31"/>
        <v>1403707.6351016599</v>
      </c>
      <c r="AN62" s="342">
        <f t="shared" si="20"/>
        <v>7.2</v>
      </c>
      <c r="AO62" s="445">
        <f t="shared" si="32"/>
        <v>1311448.8281540598</v>
      </c>
      <c r="AP62" s="445">
        <f t="shared" si="33"/>
        <v>1405957.6351016599</v>
      </c>
      <c r="AQ62" s="460">
        <f t="shared" si="23"/>
        <v>7.2</v>
      </c>
      <c r="AR62" s="514"/>
      <c r="AS62" s="519"/>
      <c r="AT62" s="518"/>
    </row>
    <row r="63" spans="1:46" s="522" customFormat="1" ht="20.100000000000001" customHeight="1" x14ac:dyDescent="0.3">
      <c r="A63" s="476"/>
      <c r="B63" s="448"/>
      <c r="C63" s="449"/>
      <c r="D63" s="447"/>
      <c r="E63" s="448"/>
      <c r="F63" s="449"/>
      <c r="G63" s="447"/>
      <c r="H63" s="448"/>
      <c r="I63" s="449"/>
      <c r="J63" s="447"/>
      <c r="K63" s="448"/>
      <c r="L63" s="449"/>
      <c r="M63" s="462"/>
      <c r="N63" s="448"/>
      <c r="O63" s="449"/>
      <c r="P63" s="447"/>
      <c r="Q63" s="448"/>
      <c r="R63" s="449"/>
      <c r="S63" s="447"/>
      <c r="T63" s="448"/>
      <c r="U63" s="449"/>
      <c r="V63" s="447"/>
      <c r="W63" s="448"/>
      <c r="X63" s="449"/>
      <c r="Y63" s="447"/>
      <c r="Z63" s="448"/>
      <c r="AA63" s="449"/>
      <c r="AB63" s="447"/>
      <c r="AC63" s="448"/>
      <c r="AD63" s="449"/>
      <c r="AE63" s="447"/>
      <c r="AF63" s="448"/>
      <c r="AG63" s="449"/>
      <c r="AH63" s="447"/>
      <c r="AI63" s="448"/>
      <c r="AJ63" s="449"/>
      <c r="AK63" s="447"/>
      <c r="AL63" s="463"/>
      <c r="AM63" s="463"/>
      <c r="AN63" s="447"/>
      <c r="AO63" s="463"/>
      <c r="AP63" s="463"/>
      <c r="AQ63" s="464"/>
      <c r="AR63" s="520"/>
      <c r="AS63" s="520"/>
      <c r="AT63" s="521"/>
    </row>
    <row r="64" spans="1:46" s="522" customFormat="1" ht="20.100000000000001" customHeight="1" x14ac:dyDescent="0.3">
      <c r="A64" s="476" t="s">
        <v>245</v>
      </c>
      <c r="B64" s="448">
        <f>SUM(B29+B62)</f>
        <v>17645.954000000002</v>
      </c>
      <c r="C64" s="449">
        <f>SUM(C29+C62)</f>
        <v>19662.722000000005</v>
      </c>
      <c r="D64" s="447">
        <f>IF(B64=0, "    ---- ", IF(ABS(ROUND(100/B64*C64-100,1))&lt;999,ROUND(100/B64*C64-100,1),IF(ROUND(100/B64*C64-100,1)&gt;999,999,-999)))</f>
        <v>11.4</v>
      </c>
      <c r="E64" s="448">
        <f>SUM(E29+E62)</f>
        <v>311888.90400000004</v>
      </c>
      <c r="F64" s="449">
        <f>SUM(F29+F62)</f>
        <v>322437.51700000005</v>
      </c>
      <c r="G64" s="447">
        <f t="shared" si="16"/>
        <v>3.4</v>
      </c>
      <c r="H64" s="448">
        <f>SUM(H29+H62)</f>
        <v>4430.8050000000003</v>
      </c>
      <c r="I64" s="449">
        <f>SUM(I29+I62)</f>
        <v>4999.0459999999994</v>
      </c>
      <c r="J64" s="447">
        <f>IF(H64=0, "    ---- ", IF(ABS(ROUND(100/H64*I64-100,1))&lt;999,ROUND(100/H64*I64-100,1),IF(ROUND(100/H64*I64-100,1)&gt;999,999,-999)))</f>
        <v>12.8</v>
      </c>
      <c r="K64" s="448">
        <f>SUM(K29+K62)</f>
        <v>28429.008999999998</v>
      </c>
      <c r="L64" s="449">
        <f>SUM(L29+L62)</f>
        <v>32978.800000000003</v>
      </c>
      <c r="M64" s="462">
        <f>IF(K64=0, "    ---- ", IF(ABS(ROUND(100/K64*L64-100,1))&lt;999,ROUND(100/K64*L64-100,1),IF(ROUND(100/K64*L64-100,1)&gt;999,999,-999)))</f>
        <v>16</v>
      </c>
      <c r="N64" s="448">
        <f>SUM(N29+N62)</f>
        <v>140</v>
      </c>
      <c r="O64" s="449">
        <f>SUM(O29+O62)</f>
        <v>147</v>
      </c>
      <c r="P64" s="447">
        <f>IF(N64=0, "    ---- ", IF(ABS(ROUND(100/N64*O64-100,1))&lt;999,ROUND(100/N64*O64-100,1),IF(ROUND(100/N64*O64-100,1)&gt;999,999,-999)))</f>
        <v>5</v>
      </c>
      <c r="Q64" s="448">
        <f>SUM(Q29+Q62)</f>
        <v>527488.39435861004</v>
      </c>
      <c r="R64" s="449">
        <f>SUM(R29+R62)</f>
        <v>563532.37508666003</v>
      </c>
      <c r="S64" s="447">
        <f>IF(Q64=0, "    ---- ", IF(ABS(ROUND(100/Q64*R64-100,1))&lt;999,ROUND(100/Q64*R64-100,1),IF(ROUND(100/Q64*R64-100,1)&gt;999,999,-999)))</f>
        <v>6.8</v>
      </c>
      <c r="T64" s="448">
        <f>SUM(T29+T62)</f>
        <v>4592.3</v>
      </c>
      <c r="U64" s="449">
        <f>SUM(U29+U62)</f>
        <v>5671.1</v>
      </c>
      <c r="V64" s="447">
        <f>IF(T64=0, "    ---- ", IF(ABS(ROUND(100/T64*U64-100,1))&lt;999,ROUND(100/T64*U64-100,1),IF(ROUND(100/T64*U64-100,1)&gt;999,999,-999)))</f>
        <v>23.5</v>
      </c>
      <c r="W64" s="448">
        <f>SUM(W29+W62)</f>
        <v>115009.82508059991</v>
      </c>
      <c r="X64" s="449">
        <f>SUM(X29+X62)</f>
        <v>123360.72634698999</v>
      </c>
      <c r="Y64" s="447">
        <f t="shared" si="24"/>
        <v>7.3</v>
      </c>
      <c r="Z64" s="448">
        <f>SUM(Z29+Z62)</f>
        <v>89698</v>
      </c>
      <c r="AA64" s="449">
        <f>SUM(AA29+AA62)</f>
        <v>97219</v>
      </c>
      <c r="AB64" s="447">
        <f>IF(Z64=0, "    ---- ", IF(ABS(ROUND(100/Z64*AA64-100,1))&lt;999,ROUND(100/Z64*AA64-100,1),IF(ROUND(100/Z64*AA64-100,1)&gt;999,999,-999)))</f>
        <v>8.4</v>
      </c>
      <c r="AC64" s="448">
        <f>SUM(AC29+AC62)</f>
        <v>1992</v>
      </c>
      <c r="AD64" s="449">
        <f>SUM(AD29+AD62)</f>
        <v>2307</v>
      </c>
      <c r="AE64" s="447">
        <f>IF(AC64=0, "    ---- ", IF(ABS(ROUND(100/AC64*AD64-100,1))&lt;999,ROUND(100/AC64*AD64-100,1),IF(ROUND(100/AC64*AD64-100,1)&gt;999,999,-999)))</f>
        <v>15.8</v>
      </c>
      <c r="AF64" s="448">
        <f>SUM(AF29+AF62)</f>
        <v>52295.528000000006</v>
      </c>
      <c r="AG64" s="449">
        <f>SUM(AG29+AG62)</f>
        <v>59708.957999999999</v>
      </c>
      <c r="AH64" s="447">
        <f t="shared" si="17"/>
        <v>14.2</v>
      </c>
      <c r="AI64" s="448">
        <f>SUM(AI29+AI62)</f>
        <v>296623</v>
      </c>
      <c r="AJ64" s="449">
        <f>SUM(AJ29+AJ62)</f>
        <v>323194.05000000005</v>
      </c>
      <c r="AK64" s="447">
        <f t="shared" si="26"/>
        <v>9</v>
      </c>
      <c r="AL64" s="465">
        <f>B64+E64+H64+K64+Q64+T64+W64+Z64+AF64+AI64</f>
        <v>1448101.7194392099</v>
      </c>
      <c r="AM64" s="465">
        <f>C64+F64+I64+L64+R64+U64+X64+AA64+AG64+AJ64</f>
        <v>1552764.2944336501</v>
      </c>
      <c r="AN64" s="447">
        <f t="shared" si="20"/>
        <v>7.2</v>
      </c>
      <c r="AO64" s="465">
        <f>B64+E64+H64+K64+N64+Q64+T64+W64+Z64+AC64+AF64+AI64</f>
        <v>1450233.7194392099</v>
      </c>
      <c r="AP64" s="465">
        <f>C64+F64+I64+L64+O64+R64+U64+X64+AA64+AD64+AG64+AJ64</f>
        <v>1555218.2944336501</v>
      </c>
      <c r="AQ64" s="464">
        <f t="shared" si="23"/>
        <v>7.2</v>
      </c>
      <c r="AR64" s="520"/>
      <c r="AS64" s="520"/>
      <c r="AT64" s="518"/>
    </row>
    <row r="65" spans="1:46" s="484" customFormat="1" ht="20.100000000000001" customHeight="1" x14ac:dyDescent="0.3">
      <c r="A65" s="480"/>
      <c r="B65" s="461"/>
      <c r="C65" s="459"/>
      <c r="D65" s="342"/>
      <c r="E65" s="461"/>
      <c r="F65" s="459"/>
      <c r="G65" s="342"/>
      <c r="H65" s="461"/>
      <c r="I65" s="459"/>
      <c r="J65" s="342"/>
      <c r="K65" s="461"/>
      <c r="L65" s="459"/>
      <c r="M65" s="442"/>
      <c r="N65" s="461"/>
      <c r="O65" s="459"/>
      <c r="P65" s="342"/>
      <c r="Q65" s="461"/>
      <c r="R65" s="459"/>
      <c r="S65" s="342"/>
      <c r="T65" s="461"/>
      <c r="U65" s="459"/>
      <c r="V65" s="342"/>
      <c r="W65" s="461"/>
      <c r="X65" s="459"/>
      <c r="Y65" s="342"/>
      <c r="Z65" s="461"/>
      <c r="AA65" s="459"/>
      <c r="AB65" s="342"/>
      <c r="AC65" s="461"/>
      <c r="AD65" s="459"/>
      <c r="AE65" s="342"/>
      <c r="AF65" s="461"/>
      <c r="AG65" s="459"/>
      <c r="AH65" s="342"/>
      <c r="AI65" s="461"/>
      <c r="AJ65" s="459"/>
      <c r="AK65" s="342"/>
      <c r="AL65" s="445"/>
      <c r="AM65" s="445"/>
      <c r="AN65" s="342"/>
      <c r="AO65" s="445"/>
      <c r="AP65" s="445"/>
      <c r="AQ65" s="460"/>
      <c r="AR65" s="514"/>
      <c r="AS65" s="514"/>
      <c r="AT65" s="518"/>
    </row>
    <row r="66" spans="1:46" s="484" customFormat="1" ht="20.100000000000001" customHeight="1" x14ac:dyDescent="0.3">
      <c r="A66" s="476" t="s">
        <v>246</v>
      </c>
      <c r="B66" s="461"/>
      <c r="C66" s="459"/>
      <c r="D66" s="342"/>
      <c r="E66" s="461"/>
      <c r="F66" s="459"/>
      <c r="G66" s="342"/>
      <c r="H66" s="461"/>
      <c r="I66" s="459"/>
      <c r="J66" s="342"/>
      <c r="K66" s="461"/>
      <c r="L66" s="459"/>
      <c r="M66" s="442"/>
      <c r="N66" s="461"/>
      <c r="O66" s="459"/>
      <c r="P66" s="342"/>
      <c r="Q66" s="461"/>
      <c r="R66" s="459"/>
      <c r="S66" s="342"/>
      <c r="T66" s="461"/>
      <c r="U66" s="459"/>
      <c r="V66" s="342"/>
      <c r="W66" s="461"/>
      <c r="X66" s="459"/>
      <c r="Y66" s="342"/>
      <c r="Z66" s="461"/>
      <c r="AA66" s="459"/>
      <c r="AB66" s="342"/>
      <c r="AC66" s="461"/>
      <c r="AD66" s="459"/>
      <c r="AE66" s="342"/>
      <c r="AF66" s="461"/>
      <c r="AG66" s="459"/>
      <c r="AH66" s="342"/>
      <c r="AI66" s="461"/>
      <c r="AJ66" s="459"/>
      <c r="AK66" s="342"/>
      <c r="AL66" s="445"/>
      <c r="AM66" s="445"/>
      <c r="AN66" s="342"/>
      <c r="AO66" s="445"/>
      <c r="AP66" s="445"/>
      <c r="AQ66" s="460"/>
      <c r="AR66" s="514"/>
      <c r="AS66" s="514"/>
      <c r="AT66" s="518"/>
    </row>
    <row r="67" spans="1:46" s="484" customFormat="1" ht="20.100000000000001" customHeight="1" x14ac:dyDescent="0.3">
      <c r="A67" s="476"/>
      <c r="B67" s="461"/>
      <c r="C67" s="459"/>
      <c r="D67" s="342"/>
      <c r="E67" s="461"/>
      <c r="F67" s="459"/>
      <c r="G67" s="342"/>
      <c r="H67" s="461"/>
      <c r="I67" s="459"/>
      <c r="J67" s="342"/>
      <c r="K67" s="461"/>
      <c r="L67" s="459"/>
      <c r="M67" s="442"/>
      <c r="N67" s="461"/>
      <c r="O67" s="459"/>
      <c r="P67" s="342"/>
      <c r="Q67" s="461"/>
      <c r="R67" s="459"/>
      <c r="S67" s="342"/>
      <c r="T67" s="461"/>
      <c r="U67" s="459"/>
      <c r="V67" s="342"/>
      <c r="W67" s="461"/>
      <c r="X67" s="459"/>
      <c r="Y67" s="342"/>
      <c r="Z67" s="461"/>
      <c r="AA67" s="459"/>
      <c r="AB67" s="342"/>
      <c r="AC67" s="461"/>
      <c r="AD67" s="459"/>
      <c r="AE67" s="342"/>
      <c r="AF67" s="461"/>
      <c r="AG67" s="459"/>
      <c r="AH67" s="342"/>
      <c r="AI67" s="461"/>
      <c r="AJ67" s="459"/>
      <c r="AK67" s="342"/>
      <c r="AL67" s="445"/>
      <c r="AM67" s="445"/>
      <c r="AN67" s="342"/>
      <c r="AO67" s="445"/>
      <c r="AP67" s="445"/>
      <c r="AQ67" s="460"/>
      <c r="AR67" s="514"/>
      <c r="AS67" s="514"/>
      <c r="AT67" s="518"/>
    </row>
    <row r="68" spans="1:46" s="484" customFormat="1" ht="20.100000000000001" customHeight="1" x14ac:dyDescent="0.3">
      <c r="A68" s="478" t="s">
        <v>247</v>
      </c>
      <c r="B68" s="461">
        <v>141.16</v>
      </c>
      <c r="C68" s="459">
        <v>141.16</v>
      </c>
      <c r="D68" s="342">
        <f>IF(B68=0, "    ---- ", IF(ABS(ROUND(100/B68*C68-100,1))&lt;999,ROUND(100/B68*C68-100,1),IF(ROUND(100/B68*C68-100,1)&gt;999,999,-999)))</f>
        <v>0</v>
      </c>
      <c r="E68" s="461">
        <v>7765.924</v>
      </c>
      <c r="F68" s="459">
        <v>7765.924</v>
      </c>
      <c r="G68" s="342">
        <f t="shared" si="16"/>
        <v>0</v>
      </c>
      <c r="H68" s="461">
        <v>175</v>
      </c>
      <c r="I68" s="459">
        <v>175</v>
      </c>
      <c r="J68" s="342">
        <f>IF(H68=0, "    ---- ", IF(ABS(ROUND(100/H68*I68-100,1))&lt;999,ROUND(100/H68*I68-100,1),IF(ROUND(100/H68*I68-100,1)&gt;999,999,-999)))</f>
        <v>0</v>
      </c>
      <c r="K68" s="461">
        <v>119.788</v>
      </c>
      <c r="L68" s="459">
        <v>120.7</v>
      </c>
      <c r="M68" s="442">
        <f>IF(K68=0, "    ---- ", IF(ABS(ROUND(100/K68*L68-100,1))&lt;999,ROUND(100/K68*L68-100,1),IF(ROUND(100/K68*L68-100,1)&gt;999,999,-999)))</f>
        <v>0.8</v>
      </c>
      <c r="N68" s="461">
        <v>5</v>
      </c>
      <c r="O68" s="459">
        <v>5</v>
      </c>
      <c r="P68" s="342">
        <f>IF(N68=0, "    ---- ", IF(ABS(ROUND(100/N68*O68-100,1))&lt;999,ROUND(100/N68*O68-100,1),IF(ROUND(100/N68*O68-100,1)&gt;999,999,-999)))</f>
        <v>0</v>
      </c>
      <c r="Q68" s="461">
        <v>13120.629885</v>
      </c>
      <c r="R68" s="459">
        <v>14552.714119</v>
      </c>
      <c r="S68" s="342">
        <f t="shared" ref="S68:S79" si="35">IF(Q68=0, "    ---- ", IF(ABS(ROUND(100/Q68*R68-100,1))&lt;999,ROUND(100/Q68*R68-100,1),IF(ROUND(100/Q68*R68-100,1)&gt;999,999,-999)))</f>
        <v>10.9</v>
      </c>
      <c r="T68" s="461">
        <v>741.3</v>
      </c>
      <c r="U68" s="459">
        <v>741.3</v>
      </c>
      <c r="V68" s="342">
        <f>IF(T68=0, "    ---- ", IF(ABS(ROUND(100/T68*U68-100,1))&lt;999,ROUND(100/T68*U68-100,1),IF(ROUND(100/T68*U68-100,1)&gt;999,999,-999)))</f>
        <v>0</v>
      </c>
      <c r="W68" s="461">
        <v>1126.76</v>
      </c>
      <c r="X68" s="459">
        <v>1126.76</v>
      </c>
      <c r="Y68" s="342">
        <f t="shared" si="24"/>
        <v>0</v>
      </c>
      <c r="Z68" s="461">
        <v>1430</v>
      </c>
      <c r="AA68" s="459">
        <v>1430</v>
      </c>
      <c r="AB68" s="342">
        <f>IF(Z68=0, "    ---- ", IF(ABS(ROUND(100/Z68*AA68-100,1))&lt;999,ROUND(100/Z68*AA68-100,1),IF(ROUND(100/Z68*AA68-100,1)&gt;999,999,-999)))</f>
        <v>0</v>
      </c>
      <c r="AC68" s="461">
        <v>49</v>
      </c>
      <c r="AD68" s="459">
        <v>49</v>
      </c>
      <c r="AE68" s="342">
        <f>IF(AC68=0, "    ---- ", IF(ABS(ROUND(100/AC68*AD68-100,1))&lt;999,ROUND(100/AC68*AD68-100,1),IF(ROUND(100/AC68*AD68-100,1)&gt;999,999,-999)))</f>
        <v>0</v>
      </c>
      <c r="AF68" s="461">
        <v>2491.1880000000001</v>
      </c>
      <c r="AG68" s="459">
        <v>2702.741</v>
      </c>
      <c r="AH68" s="342">
        <f t="shared" si="17"/>
        <v>8.5</v>
      </c>
      <c r="AI68" s="461">
        <v>13251</v>
      </c>
      <c r="AJ68" s="459">
        <v>13251</v>
      </c>
      <c r="AK68" s="342">
        <f t="shared" si="26"/>
        <v>0</v>
      </c>
      <c r="AL68" s="445">
        <f t="shared" ref="AL68:AM71" si="36">B68+E68+H68+K68+Q68+T68+W68+Z68+AF68+AI68</f>
        <v>40362.749884999997</v>
      </c>
      <c r="AM68" s="445">
        <f t="shared" si="36"/>
        <v>42007.299118999996</v>
      </c>
      <c r="AN68" s="342">
        <f t="shared" si="20"/>
        <v>4.0999999999999996</v>
      </c>
      <c r="AO68" s="445">
        <f t="shared" ref="AO68:AP71" si="37">B68+E68+H68+K68+N68+Q68+T68+W68+Z68+AC68+AF68+AI68</f>
        <v>40416.749884999997</v>
      </c>
      <c r="AP68" s="445">
        <f t="shared" si="37"/>
        <v>42061.299118999996</v>
      </c>
      <c r="AQ68" s="460">
        <f t="shared" si="23"/>
        <v>4.0999999999999996</v>
      </c>
      <c r="AR68" s="514"/>
      <c r="AS68" s="514"/>
      <c r="AT68" s="518"/>
    </row>
    <row r="69" spans="1:46" s="484" customFormat="1" ht="20.100000000000001" customHeight="1" x14ac:dyDescent="0.3">
      <c r="A69" s="478" t="s">
        <v>248</v>
      </c>
      <c r="B69" s="461">
        <v>287.79199999999997</v>
      </c>
      <c r="C69" s="459">
        <v>348.38499999999999</v>
      </c>
      <c r="D69" s="342">
        <f>IF(B69=0, "    ---- ", IF(ABS(ROUND(100/B69*C69-100,1))&lt;999,ROUND(100/B69*C69-100,1),IF(ROUND(100/B69*C69-100,1)&gt;999,999,-999)))</f>
        <v>21.1</v>
      </c>
      <c r="E69" s="461">
        <v>16300.504999999999</v>
      </c>
      <c r="F69" s="459">
        <v>16212.521000000001</v>
      </c>
      <c r="G69" s="342">
        <f t="shared" si="16"/>
        <v>-0.5</v>
      </c>
      <c r="H69" s="461">
        <v>157.34200000000001</v>
      </c>
      <c r="I69" s="459">
        <v>196.01599999999999</v>
      </c>
      <c r="J69" s="342">
        <f>IF(H69=0, "    ---- ", IF(ABS(ROUND(100/H69*I69-100,1))&lt;999,ROUND(100/H69*I69-100,1),IF(ROUND(100/H69*I69-100,1)&gt;999,999,-999)))</f>
        <v>24.6</v>
      </c>
      <c r="K69" s="461">
        <v>590.5</v>
      </c>
      <c r="L69" s="459">
        <v>691.6</v>
      </c>
      <c r="M69" s="442">
        <f>IF(K69=0, "    ---- ", IF(ABS(ROUND(100/K69*L69-100,1))&lt;999,ROUND(100/K69*L69-100,1),IF(ROUND(100/K69*L69-100,1)&gt;999,999,-999)))</f>
        <v>17.100000000000001</v>
      </c>
      <c r="N69" s="461">
        <v>66</v>
      </c>
      <c r="O69" s="459">
        <v>80</v>
      </c>
      <c r="P69" s="342">
        <f>IF(N69=0, "    ---- ", IF(ABS(ROUND(100/N69*O69-100,1))&lt;999,ROUND(100/N69*O69-100,1),IF(ROUND(100/N69*O69-100,1)&gt;999,999,-999)))</f>
        <v>21.2</v>
      </c>
      <c r="Q69" s="461">
        <v>17354.440980610001</v>
      </c>
      <c r="R69" s="459">
        <v>18939.56874486</v>
      </c>
      <c r="S69" s="342">
        <f t="shared" si="35"/>
        <v>9.1</v>
      </c>
      <c r="T69" s="461">
        <v>-216.2</v>
      </c>
      <c r="U69" s="459">
        <v>-243.2</v>
      </c>
      <c r="V69" s="342">
        <f>IF(T69=0, "    ---- ", IF(ABS(ROUND(100/T69*U69-100,1))&lt;999,ROUND(100/T69*U69-100,1),IF(ROUND(100/T69*U69-100,1)&gt;999,999,-999)))</f>
        <v>12.5</v>
      </c>
      <c r="W69" s="461">
        <v>5859.85</v>
      </c>
      <c r="X69" s="459">
        <v>6306.03</v>
      </c>
      <c r="Y69" s="342">
        <f t="shared" si="24"/>
        <v>7.6</v>
      </c>
      <c r="Z69" s="461">
        <v>6236</v>
      </c>
      <c r="AA69" s="459">
        <v>6965</v>
      </c>
      <c r="AB69" s="342">
        <f>IF(Z69=0, "    ---- ", IF(ABS(ROUND(100/Z69*AA69-100,1))&lt;999,ROUND(100/Z69*AA69-100,1),IF(ROUND(100/Z69*AA69-100,1)&gt;999,999,-999)))</f>
        <v>11.7</v>
      </c>
      <c r="AC69" s="461">
        <v>-10</v>
      </c>
      <c r="AD69" s="459">
        <v>-1</v>
      </c>
      <c r="AE69" s="342">
        <f>IF(AC69=0, "    ---- ", IF(ABS(ROUND(100/AC69*AD69-100,1))&lt;999,ROUND(100/AC69*AD69-100,1),IF(ROUND(100/AC69*AD69-100,1)&gt;999,999,-999)))</f>
        <v>-90</v>
      </c>
      <c r="AF69" s="461">
        <v>1478.1310000000001</v>
      </c>
      <c r="AG69" s="459">
        <v>1236.153</v>
      </c>
      <c r="AH69" s="342">
        <f t="shared" si="17"/>
        <v>-16.399999999999999</v>
      </c>
      <c r="AI69" s="461">
        <v>12418</v>
      </c>
      <c r="AJ69" s="459">
        <v>13500.6</v>
      </c>
      <c r="AK69" s="342">
        <f t="shared" si="26"/>
        <v>8.6999999999999993</v>
      </c>
      <c r="AL69" s="445">
        <f t="shared" si="36"/>
        <v>60466.360980609999</v>
      </c>
      <c r="AM69" s="445">
        <f t="shared" si="36"/>
        <v>64152.673744859996</v>
      </c>
      <c r="AN69" s="342">
        <f t="shared" si="20"/>
        <v>6.1</v>
      </c>
      <c r="AO69" s="445">
        <f t="shared" si="37"/>
        <v>60522.360980609999</v>
      </c>
      <c r="AP69" s="445">
        <f t="shared" si="37"/>
        <v>64231.673744859996</v>
      </c>
      <c r="AQ69" s="460">
        <f t="shared" si="23"/>
        <v>6.1</v>
      </c>
      <c r="AR69" s="514"/>
      <c r="AS69" s="514"/>
      <c r="AT69" s="518"/>
    </row>
    <row r="70" spans="1:46" s="484" customFormat="1" ht="20.100000000000001" customHeight="1" x14ac:dyDescent="0.3">
      <c r="A70" s="478" t="s">
        <v>249</v>
      </c>
      <c r="B70" s="461">
        <v>3.4529999999999998</v>
      </c>
      <c r="C70" s="459">
        <v>3.4529999999999998</v>
      </c>
      <c r="D70" s="342"/>
      <c r="E70" s="461">
        <v>406.78399999999999</v>
      </c>
      <c r="F70" s="459">
        <v>516.08000000000004</v>
      </c>
      <c r="G70" s="342">
        <f>IF(E70=0, "    ---- ", IF(ABS(ROUND(100/E70*F70-100,1))&lt;999,ROUND(100/E70*F70-100,1),IF(ROUND(100/E70*F70-100,1)&gt;999,999,-999)))</f>
        <v>26.9</v>
      </c>
      <c r="H70" s="461"/>
      <c r="I70" s="459"/>
      <c r="J70" s="342"/>
      <c r="K70" s="461"/>
      <c r="L70" s="459"/>
      <c r="M70" s="342"/>
      <c r="N70" s="461"/>
      <c r="O70" s="459"/>
      <c r="P70" s="342"/>
      <c r="Q70" s="461">
        <v>3906.7875840000002</v>
      </c>
      <c r="R70" s="459">
        <v>4154.2880240000004</v>
      </c>
      <c r="S70" s="342">
        <f t="shared" si="35"/>
        <v>6.3</v>
      </c>
      <c r="T70" s="461"/>
      <c r="U70" s="459"/>
      <c r="V70" s="342"/>
      <c r="W70" s="461">
        <v>97.2</v>
      </c>
      <c r="X70" s="459">
        <v>91.37</v>
      </c>
      <c r="Y70" s="342">
        <f t="shared" si="24"/>
        <v>-6</v>
      </c>
      <c r="Z70" s="461"/>
      <c r="AA70" s="459"/>
      <c r="AB70" s="342"/>
      <c r="AC70" s="461"/>
      <c r="AD70" s="459"/>
      <c r="AE70" s="342"/>
      <c r="AF70" s="461">
        <v>37.783000000000001</v>
      </c>
      <c r="AG70" s="459">
        <v>71.09</v>
      </c>
      <c r="AH70" s="342">
        <f>IF(AF70=0, "    ---- ", IF(ABS(ROUND(100/AF70*AG70-100,1))&lt;999,ROUND(100/AF70*AG70-100,1),IF(ROUND(100/AF70*AG70-100,1)&gt;999,999,-999)))</f>
        <v>88.2</v>
      </c>
      <c r="AI70" s="461">
        <v>146</v>
      </c>
      <c r="AJ70" s="459">
        <v>181.5</v>
      </c>
      <c r="AK70" s="342">
        <f t="shared" si="26"/>
        <v>24.3</v>
      </c>
      <c r="AL70" s="445">
        <f t="shared" si="36"/>
        <v>4598.007584</v>
      </c>
      <c r="AM70" s="445">
        <f t="shared" si="36"/>
        <v>5017.7810240000008</v>
      </c>
      <c r="AN70" s="342">
        <f t="shared" si="20"/>
        <v>9.1</v>
      </c>
      <c r="AO70" s="445">
        <f t="shared" si="37"/>
        <v>4598.007584</v>
      </c>
      <c r="AP70" s="445">
        <f t="shared" si="37"/>
        <v>5017.7810240000008</v>
      </c>
      <c r="AQ70" s="460">
        <f t="shared" si="23"/>
        <v>9.1</v>
      </c>
      <c r="AR70" s="514"/>
      <c r="AS70" s="514"/>
      <c r="AT70" s="518"/>
    </row>
    <row r="71" spans="1:46" s="484" customFormat="1" ht="20.100000000000001" customHeight="1" x14ac:dyDescent="0.3">
      <c r="A71" s="478" t="s">
        <v>250</v>
      </c>
      <c r="B71" s="461"/>
      <c r="C71" s="459"/>
      <c r="D71" s="342"/>
      <c r="E71" s="461">
        <v>5500</v>
      </c>
      <c r="F71" s="459">
        <v>5500</v>
      </c>
      <c r="G71" s="342">
        <f t="shared" si="16"/>
        <v>0</v>
      </c>
      <c r="H71" s="461"/>
      <c r="I71" s="459"/>
      <c r="J71" s="342"/>
      <c r="K71" s="461">
        <v>299.54199999999997</v>
      </c>
      <c r="L71" s="459">
        <v>299.7</v>
      </c>
      <c r="M71" s="442"/>
      <c r="N71" s="461"/>
      <c r="O71" s="459"/>
      <c r="P71" s="342"/>
      <c r="Q71" s="461">
        <v>7854.8015988199995</v>
      </c>
      <c r="R71" s="459">
        <v>7170.3610462299994</v>
      </c>
      <c r="S71" s="342">
        <f t="shared" si="35"/>
        <v>-8.6999999999999993</v>
      </c>
      <c r="T71" s="461"/>
      <c r="U71" s="459"/>
      <c r="V71" s="342"/>
      <c r="W71" s="461">
        <v>2830</v>
      </c>
      <c r="X71" s="459">
        <v>2830</v>
      </c>
      <c r="Y71" s="342">
        <f t="shared" si="24"/>
        <v>0</v>
      </c>
      <c r="Z71" s="461">
        <v>1240</v>
      </c>
      <c r="AA71" s="459">
        <v>1240</v>
      </c>
      <c r="AB71" s="342">
        <f>IF(Z71=0, "    ---- ", IF(ABS(ROUND(100/Z71*AA71-100,1))&lt;999,ROUND(100/Z71*AA71-100,1),IF(ROUND(100/Z71*AA71-100,1)&gt;999,999,-999)))</f>
        <v>0</v>
      </c>
      <c r="AC71" s="461"/>
      <c r="AD71" s="459"/>
      <c r="AE71" s="342"/>
      <c r="AF71" s="461">
        <v>1000</v>
      </c>
      <c r="AG71" s="459">
        <v>1000</v>
      </c>
      <c r="AH71" s="342">
        <f t="shared" si="17"/>
        <v>0</v>
      </c>
      <c r="AI71" s="461">
        <v>7395</v>
      </c>
      <c r="AJ71" s="459">
        <v>7572.5</v>
      </c>
      <c r="AK71" s="342">
        <f t="shared" si="26"/>
        <v>2.4</v>
      </c>
      <c r="AL71" s="445">
        <f t="shared" si="36"/>
        <v>26119.34359882</v>
      </c>
      <c r="AM71" s="445">
        <f t="shared" si="36"/>
        <v>25612.561046229999</v>
      </c>
      <c r="AN71" s="342">
        <f t="shared" si="20"/>
        <v>-1.9</v>
      </c>
      <c r="AO71" s="445">
        <f t="shared" si="37"/>
        <v>26119.34359882</v>
      </c>
      <c r="AP71" s="445">
        <f t="shared" si="37"/>
        <v>25612.561046229999</v>
      </c>
      <c r="AQ71" s="460">
        <f t="shared" si="23"/>
        <v>-1.9</v>
      </c>
      <c r="AR71" s="514"/>
      <c r="AT71" s="518"/>
    </row>
    <row r="72" spans="1:46" s="484" customFormat="1" ht="20.100000000000001" customHeight="1" x14ac:dyDescent="0.3">
      <c r="A72" s="478" t="s">
        <v>251</v>
      </c>
      <c r="B72" s="461"/>
      <c r="C72" s="459"/>
      <c r="D72" s="342"/>
      <c r="E72" s="461"/>
      <c r="F72" s="459"/>
      <c r="G72" s="342"/>
      <c r="H72" s="461"/>
      <c r="I72" s="459"/>
      <c r="J72" s="342"/>
      <c r="K72" s="461"/>
      <c r="L72" s="459"/>
      <c r="M72" s="442"/>
      <c r="N72" s="461"/>
      <c r="O72" s="459"/>
      <c r="P72" s="342"/>
      <c r="Q72" s="461"/>
      <c r="R72" s="459"/>
      <c r="S72" s="342"/>
      <c r="T72" s="461"/>
      <c r="U72" s="459"/>
      <c r="V72" s="342"/>
      <c r="W72" s="461"/>
      <c r="X72" s="459"/>
      <c r="Y72" s="342"/>
      <c r="Z72" s="461"/>
      <c r="AA72" s="459"/>
      <c r="AB72" s="342"/>
      <c r="AC72" s="461"/>
      <c r="AD72" s="459"/>
      <c r="AE72" s="342"/>
      <c r="AF72" s="461"/>
      <c r="AG72" s="459"/>
      <c r="AH72" s="342"/>
      <c r="AI72" s="461"/>
      <c r="AJ72" s="459"/>
      <c r="AK72" s="342"/>
      <c r="AL72" s="445"/>
      <c r="AM72" s="445"/>
      <c r="AN72" s="342"/>
      <c r="AO72" s="445"/>
      <c r="AP72" s="445"/>
      <c r="AQ72" s="460"/>
      <c r="AR72" s="514"/>
      <c r="AS72" s="514"/>
      <c r="AT72" s="518"/>
    </row>
    <row r="73" spans="1:46" s="484" customFormat="1" ht="20.100000000000001" customHeight="1" x14ac:dyDescent="0.3">
      <c r="A73" s="478" t="s">
        <v>408</v>
      </c>
      <c r="B73" s="461">
        <v>886.36500000000001</v>
      </c>
      <c r="C73" s="459">
        <v>959.01300000000003</v>
      </c>
      <c r="D73" s="342">
        <f>IF(B73=0, "    ---- ", IF(ABS(ROUND(100/B73*C73-100,1))&lt;999,ROUND(100/B73*C73-100,1),IF(ROUND(100/B73*C73-100,1)&gt;999,999,-999)))</f>
        <v>8.1999999999999993</v>
      </c>
      <c r="E73" s="461">
        <v>198522.76500000001</v>
      </c>
      <c r="F73" s="459">
        <v>194816.16800000001</v>
      </c>
      <c r="G73" s="342">
        <f t="shared" si="16"/>
        <v>-1.9</v>
      </c>
      <c r="H73" s="461">
        <v>940.60900000000004</v>
      </c>
      <c r="I73" s="459">
        <v>1021.105</v>
      </c>
      <c r="J73" s="342">
        <f>IF(H73=0, "    ---- ", IF(ABS(ROUND(100/H73*I73-100,1))&lt;999,ROUND(100/H73*I73-100,1),IF(ROUND(100/H73*I73-100,1)&gt;999,999,-999)))</f>
        <v>8.6</v>
      </c>
      <c r="K73" s="461">
        <v>5628.8990000000003</v>
      </c>
      <c r="L73" s="459">
        <v>6187.2</v>
      </c>
      <c r="M73" s="442">
        <f>IF(K73=0, "    ---- ", IF(ABS(ROUND(100/K73*L73-100,1))&lt;999,ROUND(100/K73*L73-100,1),IF(ROUND(100/K73*L73-100,1)&gt;999,999,-999)))</f>
        <v>9.9</v>
      </c>
      <c r="N73" s="461">
        <v>62</v>
      </c>
      <c r="O73" s="459">
        <v>51</v>
      </c>
      <c r="P73" s="342">
        <f>IF(N73=0, "    ---- ", IF(ABS(ROUND(100/N73*O73-100,1))&lt;999,ROUND(100/N73*O73-100,1),IF(ROUND(100/N73*O73-100,1)&gt;999,999,-999)))</f>
        <v>-17.7</v>
      </c>
      <c r="Q73" s="461">
        <v>397098.35866309004</v>
      </c>
      <c r="R73" s="459">
        <v>426751.13577989</v>
      </c>
      <c r="S73" s="342">
        <f t="shared" si="35"/>
        <v>7.5</v>
      </c>
      <c r="T73" s="461">
        <v>1461.1</v>
      </c>
      <c r="U73" s="459">
        <v>1538</v>
      </c>
      <c r="V73" s="342">
        <f>IF(T73=0, "    ---- ", IF(ABS(ROUND(100/T73*U73-100,1))&lt;999,ROUND(100/T73*U73-100,1),IF(ROUND(100/T73*U73-100,1)&gt;999,999,-999)))</f>
        <v>5.3</v>
      </c>
      <c r="W73" s="461">
        <v>46250.085082999998</v>
      </c>
      <c r="X73" s="459">
        <v>46385.91</v>
      </c>
      <c r="Y73" s="342">
        <f t="shared" si="24"/>
        <v>0.3</v>
      </c>
      <c r="Z73" s="461">
        <v>59728</v>
      </c>
      <c r="AA73" s="459">
        <v>63401</v>
      </c>
      <c r="AB73" s="342">
        <f>IF(Z73=0, "    ---- ", IF(ABS(ROUND(100/Z73*AA73-100,1))&lt;999,ROUND(100/Z73*AA73-100,1),IF(ROUND(100/Z73*AA73-100,1)&gt;999,999,-999)))</f>
        <v>6.1</v>
      </c>
      <c r="AC73" s="461"/>
      <c r="AD73" s="459"/>
      <c r="AE73" s="342"/>
      <c r="AF73" s="461">
        <v>19042.751</v>
      </c>
      <c r="AG73" s="459">
        <v>19904.485000000001</v>
      </c>
      <c r="AH73" s="342">
        <f t="shared" si="17"/>
        <v>4.5</v>
      </c>
      <c r="AI73" s="461">
        <v>169626</v>
      </c>
      <c r="AJ73" s="459">
        <v>172131</v>
      </c>
      <c r="AK73" s="342">
        <f t="shared" si="26"/>
        <v>1.5</v>
      </c>
      <c r="AL73" s="445">
        <f t="shared" ref="AL73:AM79" si="38">B73+E73+H73+K73+Q73+T73+W73+Z73+AF73+AI73</f>
        <v>899184.93274609011</v>
      </c>
      <c r="AM73" s="445">
        <f t="shared" si="38"/>
        <v>933095.01677989005</v>
      </c>
      <c r="AN73" s="342">
        <f t="shared" si="20"/>
        <v>3.8</v>
      </c>
      <c r="AO73" s="445">
        <f t="shared" ref="AO73:AP79" si="39">B73+E73+H73+K73+N73+Q73+T73+W73+Z73+AC73+AF73+AI73</f>
        <v>899246.93274609011</v>
      </c>
      <c r="AP73" s="445">
        <f t="shared" si="39"/>
        <v>933146.01677989005</v>
      </c>
      <c r="AQ73" s="460">
        <f t="shared" si="23"/>
        <v>3.8</v>
      </c>
      <c r="AR73" s="514"/>
      <c r="AS73" s="514"/>
      <c r="AT73" s="518"/>
    </row>
    <row r="74" spans="1:46" s="484" customFormat="1" ht="20.100000000000001" customHeight="1" x14ac:dyDescent="0.3">
      <c r="A74" s="478" t="s">
        <v>252</v>
      </c>
      <c r="B74" s="461">
        <v>14.78</v>
      </c>
      <c r="C74" s="459">
        <v>15.715</v>
      </c>
      <c r="D74" s="342">
        <f>IF(B74=0, "    ---- ", IF(ABS(ROUND(100/B74*C74-100,1))&lt;999,ROUND(100/B74*C74-100,1),IF(ROUND(100/B74*C74-100,1)&gt;999,999,-999)))</f>
        <v>6.3</v>
      </c>
      <c r="E74" s="461">
        <v>6576.0169999999998</v>
      </c>
      <c r="F74" s="459">
        <v>7596.44</v>
      </c>
      <c r="G74" s="342">
        <f t="shared" si="16"/>
        <v>15.5</v>
      </c>
      <c r="H74" s="461">
        <v>1.587</v>
      </c>
      <c r="I74" s="459">
        <v>3.4990000000000001</v>
      </c>
      <c r="J74" s="342">
        <f>IF(H74=0, "    ---- ", IF(ABS(ROUND(100/H74*I74-100,1))&lt;999,ROUND(100/H74*I74-100,1),IF(ROUND(100/H74*I74-100,1)&gt;999,999,-999)))</f>
        <v>120.5</v>
      </c>
      <c r="K74" s="461">
        <v>165.46199999999999</v>
      </c>
      <c r="L74" s="459">
        <v>178.1</v>
      </c>
      <c r="M74" s="442">
        <f>IF(K74=0, "    ---- ", IF(ABS(ROUND(100/K74*L74-100,1))&lt;999,ROUND(100/K74*L74-100,1),IF(ROUND(100/K74*L74-100,1)&gt;999,999,-999)))</f>
        <v>7.6</v>
      </c>
      <c r="N74" s="461"/>
      <c r="O74" s="459"/>
      <c r="P74" s="342"/>
      <c r="Q74" s="461">
        <v>24291.204881000001</v>
      </c>
      <c r="R74" s="459">
        <v>25379.022959999998</v>
      </c>
      <c r="S74" s="342">
        <f t="shared" si="35"/>
        <v>4.5</v>
      </c>
      <c r="T74" s="461">
        <v>46.5</v>
      </c>
      <c r="U74" s="459">
        <v>104.8</v>
      </c>
      <c r="V74" s="342">
        <f>IF(T74=0, "    ---- ", IF(ABS(ROUND(100/T74*U74-100,1))&lt;999,ROUND(100/T74*U74-100,1),IF(ROUND(100/T74*U74-100,1)&gt;999,999,-999)))</f>
        <v>125.4</v>
      </c>
      <c r="W74" s="461">
        <v>1300.2</v>
      </c>
      <c r="X74" s="459">
        <v>1580.5</v>
      </c>
      <c r="Y74" s="342">
        <f t="shared" si="24"/>
        <v>21.6</v>
      </c>
      <c r="Z74" s="461">
        <v>4068</v>
      </c>
      <c r="AA74" s="459">
        <v>7101</v>
      </c>
      <c r="AB74" s="342">
        <f>IF(Z74=0, "    ---- ", IF(ABS(ROUND(100/Z74*AA74-100,1))&lt;999,ROUND(100/Z74*AA74-100,1),IF(ROUND(100/Z74*AA74-100,1)&gt;999,999,-999)))</f>
        <v>74.599999999999994</v>
      </c>
      <c r="AC74" s="461"/>
      <c r="AD74" s="459"/>
      <c r="AE74" s="342"/>
      <c r="AF74" s="461">
        <v>605.86400000000003</v>
      </c>
      <c r="AG74" s="459">
        <v>806.73900000000003</v>
      </c>
      <c r="AH74" s="342">
        <f t="shared" si="17"/>
        <v>33.200000000000003</v>
      </c>
      <c r="AI74" s="461">
        <v>6721</v>
      </c>
      <c r="AJ74" s="459">
        <v>8266.9</v>
      </c>
      <c r="AK74" s="342">
        <f t="shared" si="26"/>
        <v>23</v>
      </c>
      <c r="AL74" s="445">
        <f t="shared" si="38"/>
        <v>43790.614881000001</v>
      </c>
      <c r="AM74" s="445">
        <f t="shared" si="38"/>
        <v>51032.715960000001</v>
      </c>
      <c r="AN74" s="342">
        <f t="shared" si="20"/>
        <v>16.5</v>
      </c>
      <c r="AO74" s="445">
        <f t="shared" si="39"/>
        <v>43790.614881000001</v>
      </c>
      <c r="AP74" s="445">
        <f t="shared" si="39"/>
        <v>51032.715960000001</v>
      </c>
      <c r="AQ74" s="460">
        <f t="shared" si="23"/>
        <v>16.5</v>
      </c>
      <c r="AR74" s="514"/>
      <c r="AS74" s="514"/>
      <c r="AT74" s="518"/>
    </row>
    <row r="75" spans="1:46" s="484" customFormat="1" ht="20.100000000000001" customHeight="1" x14ac:dyDescent="0.3">
      <c r="A75" s="478" t="s">
        <v>253</v>
      </c>
      <c r="B75" s="461">
        <v>38.558</v>
      </c>
      <c r="C75" s="459">
        <v>37.14</v>
      </c>
      <c r="D75" s="342">
        <f>IF(B75=0, "    ---- ", IF(ABS(ROUND(100/B75*C75-100,1))&lt;999,ROUND(100/B75*C75-100,1),IF(ROUND(100/B75*C75-100,1)&gt;999,999,-999)))</f>
        <v>-3.7</v>
      </c>
      <c r="E75" s="461">
        <v>2655.4110000000001</v>
      </c>
      <c r="F75" s="459">
        <v>4153.96</v>
      </c>
      <c r="G75" s="342">
        <f t="shared" si="16"/>
        <v>56.4</v>
      </c>
      <c r="H75" s="461"/>
      <c r="I75" s="459"/>
      <c r="J75" s="342"/>
      <c r="K75" s="461">
        <v>54.460999999999999</v>
      </c>
      <c r="L75" s="459">
        <v>12.2</v>
      </c>
      <c r="M75" s="442">
        <f>IF(K75=0, "    ---- ", IF(ABS(ROUND(100/K75*L75-100,1))&lt;999,ROUND(100/K75*L75-100,1),IF(ROUND(100/K75*L75-100,1)&gt;999,999,-999)))</f>
        <v>-77.599999999999994</v>
      </c>
      <c r="N75" s="461"/>
      <c r="O75" s="459"/>
      <c r="P75" s="342"/>
      <c r="Q75" s="461">
        <v>36078.932245999997</v>
      </c>
      <c r="R75" s="459">
        <v>42634.787819570003</v>
      </c>
      <c r="S75" s="342">
        <f t="shared" si="35"/>
        <v>18.2</v>
      </c>
      <c r="T75" s="461">
        <v>75.7</v>
      </c>
      <c r="U75" s="459">
        <v>12.4</v>
      </c>
      <c r="V75" s="342">
        <f>IF(T75=0, "    ---- ", IF(ABS(ROUND(100/T75*U75-100,1))&lt;999,ROUND(100/T75*U75-100,1),IF(ROUND(100/T75*U75-100,1)&gt;999,999,-999)))</f>
        <v>-83.6</v>
      </c>
      <c r="W75" s="461">
        <v>1289.02</v>
      </c>
      <c r="X75" s="459">
        <v>1586.68</v>
      </c>
      <c r="Y75" s="342">
        <f t="shared" si="24"/>
        <v>23.1</v>
      </c>
      <c r="Z75" s="461">
        <v>10251</v>
      </c>
      <c r="AA75" s="459">
        <v>11248</v>
      </c>
      <c r="AB75" s="342">
        <f>IF(Z75=0, "    ---- ", IF(ABS(ROUND(100/Z75*AA75-100,1))&lt;999,ROUND(100/Z75*AA75-100,1),IF(ROUND(100/Z75*AA75-100,1)&gt;999,999,-999)))</f>
        <v>9.6999999999999993</v>
      </c>
      <c r="AC75" s="461"/>
      <c r="AD75" s="459"/>
      <c r="AE75" s="342"/>
      <c r="AF75" s="461">
        <v>2146.163</v>
      </c>
      <c r="AG75" s="459">
        <v>2413.9459999999999</v>
      </c>
      <c r="AH75" s="342">
        <f t="shared" si="17"/>
        <v>12.5</v>
      </c>
      <c r="AI75" s="461">
        <v>2104</v>
      </c>
      <c r="AJ75" s="459">
        <v>2841.4</v>
      </c>
      <c r="AK75" s="342">
        <f t="shared" si="26"/>
        <v>35</v>
      </c>
      <c r="AL75" s="445">
        <f t="shared" si="38"/>
        <v>54693.245245999991</v>
      </c>
      <c r="AM75" s="445">
        <f t="shared" si="38"/>
        <v>64940.513819570006</v>
      </c>
      <c r="AN75" s="342">
        <f t="shared" si="20"/>
        <v>18.7</v>
      </c>
      <c r="AO75" s="445">
        <f t="shared" si="39"/>
        <v>54693.245245999991</v>
      </c>
      <c r="AP75" s="445">
        <f t="shared" si="39"/>
        <v>64940.513819570006</v>
      </c>
      <c r="AQ75" s="460">
        <f t="shared" si="23"/>
        <v>18.7</v>
      </c>
      <c r="AR75" s="514"/>
      <c r="AS75" s="514"/>
      <c r="AT75" s="518"/>
    </row>
    <row r="76" spans="1:46" s="484" customFormat="1" ht="20.100000000000001" customHeight="1" x14ac:dyDescent="0.3">
      <c r="A76" s="478" t="s">
        <v>409</v>
      </c>
      <c r="B76" s="461">
        <v>16.762</v>
      </c>
      <c r="C76" s="459">
        <v>17.079000000000001</v>
      </c>
      <c r="D76" s="342">
        <f>IF(B76=0, "    ---- ", IF(ABS(ROUND(100/B76*C76-100,1))&lt;999,ROUND(100/B76*C76-100,1),IF(ROUND(100/B76*C76-100,1)&gt;999,999,-999)))</f>
        <v>1.9</v>
      </c>
      <c r="E76" s="461">
        <v>955.83</v>
      </c>
      <c r="F76" s="459"/>
      <c r="G76" s="342">
        <f t="shared" si="16"/>
        <v>-100</v>
      </c>
      <c r="H76" s="461"/>
      <c r="I76" s="459"/>
      <c r="J76" s="342"/>
      <c r="K76" s="461">
        <v>0.996</v>
      </c>
      <c r="L76" s="459">
        <v>1.4</v>
      </c>
      <c r="M76" s="442"/>
      <c r="N76" s="461"/>
      <c r="O76" s="459"/>
      <c r="P76" s="342"/>
      <c r="Q76" s="461">
        <v>12154.586095000001</v>
      </c>
      <c r="R76" s="459">
        <v>10936.968719</v>
      </c>
      <c r="S76" s="342">
        <f t="shared" si="35"/>
        <v>-10</v>
      </c>
      <c r="T76" s="461">
        <v>14.3</v>
      </c>
      <c r="U76" s="459">
        <v>15.2</v>
      </c>
      <c r="V76" s="342">
        <f>IF(T76=0, "    ---- ", IF(ABS(ROUND(100/T76*U76-100,1))&lt;999,ROUND(100/T76*U76-100,1),IF(ROUND(100/T76*U76-100,1)&gt;999,999,-999)))</f>
        <v>6.3</v>
      </c>
      <c r="W76" s="461">
        <v>679.65</v>
      </c>
      <c r="X76" s="459">
        <v>661.48</v>
      </c>
      <c r="Y76" s="342">
        <f t="shared" si="24"/>
        <v>-2.7</v>
      </c>
      <c r="Z76" s="461">
        <v>2038</v>
      </c>
      <c r="AA76" s="459">
        <v>2160</v>
      </c>
      <c r="AB76" s="342">
        <f t="shared" ref="AB76:AB78" si="40">IF(Z76=0, "    ---- ", IF(ABS(ROUND(100/Z76*AA76-100,1))&lt;999,ROUND(100/Z76*AA76-100,1),IF(ROUND(100/Z76*AA76-100,1)&gt;999,999,-999)))</f>
        <v>6</v>
      </c>
      <c r="AC76" s="461"/>
      <c r="AD76" s="459"/>
      <c r="AE76" s="342"/>
      <c r="AF76" s="461">
        <v>318.048</v>
      </c>
      <c r="AG76" s="459">
        <v>330.24799999999999</v>
      </c>
      <c r="AH76" s="342">
        <f t="shared" si="17"/>
        <v>3.8</v>
      </c>
      <c r="AI76" s="461">
        <v>2274</v>
      </c>
      <c r="AJ76" s="459">
        <v>2146.5</v>
      </c>
      <c r="AK76" s="342">
        <f t="shared" si="26"/>
        <v>-5.6</v>
      </c>
      <c r="AL76" s="445">
        <f t="shared" si="38"/>
        <v>18452.172095000002</v>
      </c>
      <c r="AM76" s="445">
        <f t="shared" si="38"/>
        <v>16268.875719</v>
      </c>
      <c r="AN76" s="342">
        <f t="shared" si="20"/>
        <v>-11.8</v>
      </c>
      <c r="AO76" s="445">
        <f t="shared" si="39"/>
        <v>18452.172095000002</v>
      </c>
      <c r="AP76" s="445">
        <f t="shared" si="39"/>
        <v>16268.875719</v>
      </c>
      <c r="AQ76" s="460">
        <f t="shared" si="23"/>
        <v>-11.8</v>
      </c>
      <c r="AR76" s="514"/>
      <c r="AS76" s="514"/>
      <c r="AT76" s="518"/>
    </row>
    <row r="77" spans="1:46" s="484" customFormat="1" ht="20.100000000000001" customHeight="1" x14ac:dyDescent="0.3">
      <c r="A77" s="478" t="s">
        <v>373</v>
      </c>
      <c r="B77" s="461">
        <v>50.682000000000002</v>
      </c>
      <c r="C77" s="459">
        <v>58.649000000000001</v>
      </c>
      <c r="D77" s="342">
        <f>IF(B77=0, "    ---- ", IF(ABS(ROUND(100/B77*C77-100,1))&lt;999,ROUND(100/B77*C77-100,1),IF(ROUND(100/B77*C77-100,1)&gt;999,999,-999)))</f>
        <v>15.7</v>
      </c>
      <c r="E77" s="461">
        <v>133.953</v>
      </c>
      <c r="F77" s="459">
        <v>857.6</v>
      </c>
      <c r="G77" s="342">
        <f t="shared" si="16"/>
        <v>540.20000000000005</v>
      </c>
      <c r="H77" s="461">
        <v>22.652000000000001</v>
      </c>
      <c r="I77" s="459">
        <v>25.28</v>
      </c>
      <c r="J77" s="342">
        <f>IF(H77=0, "    ---- ", IF(ABS(ROUND(100/H77*I77-100,1))&lt;999,ROUND(100/H77*I77-100,1),IF(ROUND(100/H77*I77-100,1)&gt;999,999,-999)))</f>
        <v>11.6</v>
      </c>
      <c r="K77" s="461"/>
      <c r="L77" s="459"/>
      <c r="M77" s="442"/>
      <c r="N77" s="461"/>
      <c r="O77" s="459"/>
      <c r="P77" s="342"/>
      <c r="Q77" s="461"/>
      <c r="R77" s="459"/>
      <c r="S77" s="342"/>
      <c r="T77" s="461"/>
      <c r="U77" s="459"/>
      <c r="V77" s="342"/>
      <c r="W77" s="461"/>
      <c r="X77" s="459"/>
      <c r="Y77" s="342"/>
      <c r="Z77" s="461">
        <v>458</v>
      </c>
      <c r="AA77" s="459">
        <v>424</v>
      </c>
      <c r="AB77" s="342">
        <f t="shared" si="40"/>
        <v>-7.4</v>
      </c>
      <c r="AC77" s="461"/>
      <c r="AD77" s="459"/>
      <c r="AE77" s="342"/>
      <c r="AF77" s="461"/>
      <c r="AG77" s="459"/>
      <c r="AH77" s="342"/>
      <c r="AI77" s="461">
        <v>665</v>
      </c>
      <c r="AJ77" s="459">
        <v>632.9</v>
      </c>
      <c r="AK77" s="342">
        <f t="shared" si="26"/>
        <v>-4.8</v>
      </c>
      <c r="AL77" s="445">
        <f t="shared" si="38"/>
        <v>1330.287</v>
      </c>
      <c r="AM77" s="445">
        <f t="shared" si="38"/>
        <v>1998.4290000000001</v>
      </c>
      <c r="AN77" s="342">
        <f t="shared" si="20"/>
        <v>50.2</v>
      </c>
      <c r="AO77" s="445">
        <f t="shared" si="39"/>
        <v>1330.287</v>
      </c>
      <c r="AP77" s="445">
        <f t="shared" si="39"/>
        <v>1998.4290000000001</v>
      </c>
      <c r="AQ77" s="460">
        <f t="shared" si="23"/>
        <v>50.2</v>
      </c>
      <c r="AR77" s="514"/>
      <c r="AS77" s="514"/>
      <c r="AT77" s="518"/>
    </row>
    <row r="78" spans="1:46" s="484" customFormat="1" ht="20.100000000000001" customHeight="1" x14ac:dyDescent="0.3">
      <c r="A78" s="478" t="s">
        <v>254</v>
      </c>
      <c r="B78" s="461"/>
      <c r="C78" s="459"/>
      <c r="D78" s="342"/>
      <c r="E78" s="461"/>
      <c r="F78" s="459">
        <v>149.57400000000001</v>
      </c>
      <c r="G78" s="342"/>
      <c r="H78" s="461"/>
      <c r="I78" s="459"/>
      <c r="J78" s="342"/>
      <c r="K78" s="461">
        <v>25.454000000000001</v>
      </c>
      <c r="L78" s="459">
        <v>95.3</v>
      </c>
      <c r="M78" s="442"/>
      <c r="N78" s="461"/>
      <c r="O78" s="459"/>
      <c r="P78" s="342"/>
      <c r="Q78" s="461">
        <v>5510.1801729999997</v>
      </c>
      <c r="R78" s="459">
        <v>6212.2106409999997</v>
      </c>
      <c r="S78" s="342">
        <f t="shared" ref="S78" si="41">IF(Q78=0, "    ---- ", IF(ABS(ROUND(100/Q78*R78-100,1))&lt;999,ROUND(100/Q78*R78-100,1),IF(ROUND(100/Q78*R78-100,1)&gt;999,999,-999)))</f>
        <v>12.7</v>
      </c>
      <c r="T78" s="461">
        <v>17.8</v>
      </c>
      <c r="U78" s="459">
        <v>24.9</v>
      </c>
      <c r="V78" s="342"/>
      <c r="W78" s="461"/>
      <c r="X78" s="459"/>
      <c r="Y78" s="342"/>
      <c r="Z78" s="461">
        <v>2954</v>
      </c>
      <c r="AA78" s="459">
        <v>1655</v>
      </c>
      <c r="AB78" s="342">
        <f t="shared" si="40"/>
        <v>-44</v>
      </c>
      <c r="AC78" s="461"/>
      <c r="AD78" s="459"/>
      <c r="AE78" s="342"/>
      <c r="AF78" s="461">
        <v>222.72299100000018</v>
      </c>
      <c r="AG78" s="459">
        <v>154.76486970000022</v>
      </c>
      <c r="AH78" s="342"/>
      <c r="AI78" s="461">
        <v>3309</v>
      </c>
      <c r="AJ78" s="459">
        <v>742</v>
      </c>
      <c r="AK78" s="342"/>
      <c r="AL78" s="445">
        <f t="shared" si="38"/>
        <v>12039.157164</v>
      </c>
      <c r="AM78" s="445">
        <f t="shared" si="38"/>
        <v>9033.7495106999995</v>
      </c>
      <c r="AN78" s="342">
        <f t="shared" si="20"/>
        <v>-25</v>
      </c>
      <c r="AO78" s="445">
        <f t="shared" si="39"/>
        <v>12039.157164</v>
      </c>
      <c r="AP78" s="445">
        <f t="shared" si="39"/>
        <v>9033.7495106999995</v>
      </c>
      <c r="AQ78" s="460">
        <f t="shared" si="23"/>
        <v>-25</v>
      </c>
      <c r="AR78" s="514"/>
      <c r="AS78" s="514"/>
      <c r="AT78" s="518"/>
    </row>
    <row r="79" spans="1:46" s="484" customFormat="1" ht="20.100000000000001" customHeight="1" x14ac:dyDescent="0.3">
      <c r="A79" s="479" t="s">
        <v>255</v>
      </c>
      <c r="B79" s="461">
        <f>SUM(B73:B78)</f>
        <v>1007.1469999999999</v>
      </c>
      <c r="C79" s="459">
        <f>SUM(C73:C78)</f>
        <v>1087.596</v>
      </c>
      <c r="D79" s="342">
        <f>IF(B79=0, "    ---- ", IF(ABS(ROUND(100/B79*C79-100,1))&lt;999,ROUND(100/B79*C79-100,1),IF(ROUND(100/B79*C79-100,1)&gt;999,999,-999)))</f>
        <v>8</v>
      </c>
      <c r="E79" s="461">
        <f>SUM(E73:E78)</f>
        <v>208843.976</v>
      </c>
      <c r="F79" s="459">
        <f>SUM(F73:F78)</f>
        <v>207573.742</v>
      </c>
      <c r="G79" s="342">
        <f t="shared" si="16"/>
        <v>-0.6</v>
      </c>
      <c r="H79" s="461">
        <f>SUM(H73:H78)</f>
        <v>964.84800000000007</v>
      </c>
      <c r="I79" s="459">
        <f>SUM(I73:I78)</f>
        <v>1049.884</v>
      </c>
      <c r="J79" s="342">
        <f>IF(H79=0, "    ---- ", IF(ABS(ROUND(100/H79*I79-100,1))&lt;999,ROUND(100/H79*I79-100,1),IF(ROUND(100/H79*I79-100,1)&gt;999,999,-999)))</f>
        <v>8.8000000000000007</v>
      </c>
      <c r="K79" s="461">
        <f>SUM(K73:K78)</f>
        <v>5875.2720000000008</v>
      </c>
      <c r="L79" s="459">
        <f>SUM(L73:L78)</f>
        <v>6474.2</v>
      </c>
      <c r="M79" s="442">
        <f>IF(K79=0, "    ---- ", IF(ABS(ROUND(100/K79*L79-100,1))&lt;999,ROUND(100/K79*L79-100,1),IF(ROUND(100/K79*L79-100,1)&gt;999,999,-999)))</f>
        <v>10.199999999999999</v>
      </c>
      <c r="N79" s="461">
        <f>SUM(N73:N78)</f>
        <v>62</v>
      </c>
      <c r="O79" s="459">
        <f>SUM(O73:O78)</f>
        <v>51</v>
      </c>
      <c r="P79" s="342">
        <f>IF(N79=0, "    ---- ", IF(ABS(ROUND(100/N79*O79-100,1))&lt;999,ROUND(100/N79*O79-100,1),IF(ROUND(100/N79*O79-100,1)&gt;999,999,-999)))</f>
        <v>-17.7</v>
      </c>
      <c r="Q79" s="461">
        <f>SUM(Q73:Q78)</f>
        <v>475133.26205808995</v>
      </c>
      <c r="R79" s="459">
        <f>SUM(R73:R78)</f>
        <v>511914.12591945997</v>
      </c>
      <c r="S79" s="342">
        <f t="shared" si="35"/>
        <v>7.7</v>
      </c>
      <c r="T79" s="461">
        <f>SUM(T73:T78)</f>
        <v>1615.3999999999999</v>
      </c>
      <c r="U79" s="459">
        <f>SUM(U73:U78)</f>
        <v>1695.3000000000002</v>
      </c>
      <c r="V79" s="342">
        <f>IF(T79=0, "    ---- ", IF(ABS(ROUND(100/T79*U79-100,1))&lt;999,ROUND(100/T79*U79-100,1),IF(ROUND(100/T79*U79-100,1)&gt;999,999,-999)))</f>
        <v>4.9000000000000004</v>
      </c>
      <c r="W79" s="461">
        <f>SUM(W73:W78)</f>
        <v>49518.955082999993</v>
      </c>
      <c r="X79" s="459">
        <f>SUM(X73:X78)</f>
        <v>50214.570000000007</v>
      </c>
      <c r="Y79" s="342">
        <f t="shared" si="24"/>
        <v>1.4</v>
      </c>
      <c r="Z79" s="461">
        <f>SUM(Z73:Z78)</f>
        <v>79497</v>
      </c>
      <c r="AA79" s="459">
        <f>SUM(AA73:AA78)</f>
        <v>85989</v>
      </c>
      <c r="AB79" s="342">
        <f>IF(Z79=0, "    ---- ", IF(ABS(ROUND(100/Z79*AA79-100,1))&lt;999,ROUND(100/Z79*AA79-100,1),IF(ROUND(100/Z79*AA79-100,1)&gt;999,999,-999)))</f>
        <v>8.1999999999999993</v>
      </c>
      <c r="AC79" s="461"/>
      <c r="AD79" s="459"/>
      <c r="AE79" s="342"/>
      <c r="AF79" s="461">
        <f>SUM(AF73:AF78)</f>
        <v>22335.548991</v>
      </c>
      <c r="AG79" s="459">
        <f>SUM(AG73:AG78)</f>
        <v>23610.182869700002</v>
      </c>
      <c r="AH79" s="342">
        <f t="shared" si="17"/>
        <v>5.7</v>
      </c>
      <c r="AI79" s="461">
        <f>SUM(AI73:AI78)</f>
        <v>184699</v>
      </c>
      <c r="AJ79" s="459">
        <f>SUM(AJ73:AJ78)</f>
        <v>186760.69999999998</v>
      </c>
      <c r="AK79" s="342">
        <f t="shared" si="26"/>
        <v>1.1000000000000001</v>
      </c>
      <c r="AL79" s="445">
        <f t="shared" si="38"/>
        <v>1029490.40913209</v>
      </c>
      <c r="AM79" s="445">
        <f t="shared" si="38"/>
        <v>1076369.30078916</v>
      </c>
      <c r="AN79" s="342">
        <f t="shared" si="20"/>
        <v>4.5999999999999996</v>
      </c>
      <c r="AO79" s="445">
        <f t="shared" si="39"/>
        <v>1029552.40913209</v>
      </c>
      <c r="AP79" s="445">
        <f t="shared" si="39"/>
        <v>1076420.30078916</v>
      </c>
      <c r="AQ79" s="460">
        <f t="shared" si="23"/>
        <v>4.5999999999999996</v>
      </c>
      <c r="AR79" s="514"/>
      <c r="AS79" s="514"/>
      <c r="AT79" s="518"/>
    </row>
    <row r="80" spans="1:46" s="484" customFormat="1" ht="20.100000000000001" customHeight="1" x14ac:dyDescent="0.3">
      <c r="A80" s="478" t="s">
        <v>256</v>
      </c>
      <c r="B80" s="461"/>
      <c r="C80" s="459"/>
      <c r="D80" s="342"/>
      <c r="E80" s="461"/>
      <c r="F80" s="459"/>
      <c r="G80" s="342"/>
      <c r="H80" s="461"/>
      <c r="I80" s="459"/>
      <c r="J80" s="342"/>
      <c r="K80" s="461"/>
      <c r="L80" s="459"/>
      <c r="M80" s="442"/>
      <c r="N80" s="461"/>
      <c r="O80" s="459"/>
      <c r="P80" s="342"/>
      <c r="Q80" s="461"/>
      <c r="R80" s="459"/>
      <c r="S80" s="342"/>
      <c r="T80" s="461"/>
      <c r="U80" s="459"/>
      <c r="V80" s="342"/>
      <c r="W80" s="461"/>
      <c r="X80" s="459"/>
      <c r="Y80" s="342"/>
      <c r="Z80" s="461"/>
      <c r="AA80" s="459"/>
      <c r="AB80" s="342"/>
      <c r="AC80" s="461"/>
      <c r="AD80" s="459"/>
      <c r="AE80" s="342"/>
      <c r="AF80" s="461"/>
      <c r="AG80" s="459"/>
      <c r="AH80" s="342"/>
      <c r="AI80" s="461"/>
      <c r="AJ80" s="459"/>
      <c r="AK80" s="342"/>
      <c r="AL80" s="445"/>
      <c r="AM80" s="445"/>
      <c r="AN80" s="342"/>
      <c r="AO80" s="445"/>
      <c r="AP80" s="445"/>
      <c r="AQ80" s="460"/>
      <c r="AR80" s="514"/>
      <c r="AS80" s="514"/>
      <c r="AT80" s="518"/>
    </row>
    <row r="81" spans="1:46" s="484" customFormat="1" ht="20.100000000000001" customHeight="1" x14ac:dyDescent="0.3">
      <c r="A81" s="478" t="s">
        <v>410</v>
      </c>
      <c r="B81" s="461">
        <v>16006.959000000001</v>
      </c>
      <c r="C81" s="459">
        <v>17895.241999999998</v>
      </c>
      <c r="D81" s="342">
        <f>IF(B81=0, "    ---- ", IF(ABS(ROUND(100/B81*C81-100,1))&lt;999,ROUND(100/B81*C81-100,1),IF(ROUND(100/B81*C81-100,1)&gt;999,999,-999)))</f>
        <v>11.8</v>
      </c>
      <c r="E81" s="461">
        <v>70011.058999999994</v>
      </c>
      <c r="F81" s="459">
        <v>81717.044999999998</v>
      </c>
      <c r="G81" s="342">
        <f t="shared" si="16"/>
        <v>16.7</v>
      </c>
      <c r="H81" s="461">
        <v>3022.5279999999998</v>
      </c>
      <c r="I81" s="459">
        <v>3471.864</v>
      </c>
      <c r="J81" s="342">
        <f>IF(H81=0, "    ---- ", IF(ABS(ROUND(100/H81*I81-100,1))&lt;999,ROUND(100/H81*I81-100,1),IF(ROUND(100/H81*I81-100,1)&gt;999,999,-999)))</f>
        <v>14.9</v>
      </c>
      <c r="K81" s="461">
        <v>21110.489000000001</v>
      </c>
      <c r="L81" s="459">
        <v>24921.5</v>
      </c>
      <c r="M81" s="442">
        <f>IF(K81=0, "    ---- ", IF(ABS(ROUND(100/K81*L81-100,1))&lt;999,ROUND(100/K81*L81-100,1),IF(ROUND(100/K81*L81-100,1)&gt;999,999,-999)))</f>
        <v>18.100000000000001</v>
      </c>
      <c r="N81" s="461"/>
      <c r="O81" s="459"/>
      <c r="P81" s="342"/>
      <c r="Q81" s="461">
        <v>1844.3940721500001</v>
      </c>
      <c r="R81" s="459">
        <v>1914.9683151500001</v>
      </c>
      <c r="S81" s="342">
        <f t="shared" ref="S81:S91" si="42">IF(Q81=0, "    ---- ", IF(ABS(ROUND(100/Q81*R81-100,1))&lt;999,ROUND(100/Q81*R81-100,1),IF(ROUND(100/Q81*R81-100,1)&gt;999,999,-999)))</f>
        <v>3.8</v>
      </c>
      <c r="T81" s="461">
        <v>2423.3000000000002</v>
      </c>
      <c r="U81" s="459">
        <v>3388</v>
      </c>
      <c r="V81" s="342">
        <f>IF(T81=0, "    ---- ", IF(ABS(ROUND(100/T81*U81-100,1))&lt;999,ROUND(100/T81*U81-100,1),IF(ROUND(100/T81*U81-100,1)&gt;999,999,-999)))</f>
        <v>39.799999999999997</v>
      </c>
      <c r="W81" s="461">
        <v>54647.57</v>
      </c>
      <c r="X81" s="459">
        <v>62133.84</v>
      </c>
      <c r="Y81" s="342">
        <f t="shared" si="24"/>
        <v>13.7</v>
      </c>
      <c r="Z81" s="461"/>
      <c r="AA81" s="459"/>
      <c r="AB81" s="342"/>
      <c r="AC81" s="461">
        <v>1949</v>
      </c>
      <c r="AD81" s="459">
        <v>2250</v>
      </c>
      <c r="AE81" s="342">
        <f>IF(AC81=0, "    ---- ", IF(ABS(ROUND(100/AC81*AD81-100,1))&lt;999,ROUND(100/AC81*AD81-100,1),IF(ROUND(100/AC81*AD81-100,1)&gt;999,999,-999)))</f>
        <v>15.4</v>
      </c>
      <c r="AF81" s="461">
        <v>23023.813999999998</v>
      </c>
      <c r="AG81" s="459">
        <v>29026.815999999999</v>
      </c>
      <c r="AH81" s="342">
        <f t="shared" si="17"/>
        <v>26.1</v>
      </c>
      <c r="AI81" s="461">
        <v>75409.5</v>
      </c>
      <c r="AJ81" s="459">
        <v>98476.9</v>
      </c>
      <c r="AK81" s="342">
        <f t="shared" si="26"/>
        <v>30.6</v>
      </c>
      <c r="AL81" s="445">
        <f t="shared" ref="AL81:AL89" si="43">B81+E81+H81+K81+Q81+T81+W81+Z81+AF81+AI81</f>
        <v>267499.61307214998</v>
      </c>
      <c r="AM81" s="445">
        <f t="shared" ref="AM81:AM89" si="44">C81+F81+I81+L81+R81+U81+X81+AA81+AG81+AJ81</f>
        <v>322946.17531515</v>
      </c>
      <c r="AN81" s="342">
        <f t="shared" si="20"/>
        <v>20.7</v>
      </c>
      <c r="AO81" s="445">
        <f t="shared" ref="AO81:AO89" si="45">B81+E81+H81+K81+N81+Q81+T81+W81+Z81+AC81+AF81+AI81</f>
        <v>269448.61307214998</v>
      </c>
      <c r="AP81" s="445">
        <f t="shared" ref="AP81:AP89" si="46">C81+F81+I81+L81+O81+R81+U81+X81+AA81+AD81+AG81+AJ81</f>
        <v>325196.17531515</v>
      </c>
      <c r="AQ81" s="460">
        <f t="shared" si="23"/>
        <v>20.7</v>
      </c>
      <c r="AR81" s="514"/>
      <c r="AS81" s="514"/>
      <c r="AT81" s="518"/>
    </row>
    <row r="82" spans="1:46" s="484" customFormat="1" ht="20.100000000000001" customHeight="1" x14ac:dyDescent="0.3">
      <c r="A82" s="478" t="s">
        <v>411</v>
      </c>
      <c r="B82" s="461"/>
      <c r="C82" s="459"/>
      <c r="D82" s="342"/>
      <c r="E82" s="461"/>
      <c r="F82" s="459"/>
      <c r="G82" s="342"/>
      <c r="H82" s="461"/>
      <c r="I82" s="459"/>
      <c r="J82" s="342"/>
      <c r="K82" s="461"/>
      <c r="L82" s="459"/>
      <c r="M82" s="342"/>
      <c r="N82" s="461"/>
      <c r="O82" s="459"/>
      <c r="P82" s="342"/>
      <c r="Q82" s="461">
        <v>134.53005400000001</v>
      </c>
      <c r="R82" s="459">
        <v>140.040133</v>
      </c>
      <c r="S82" s="342">
        <f t="shared" si="42"/>
        <v>4.0999999999999996</v>
      </c>
      <c r="T82" s="461"/>
      <c r="U82" s="459"/>
      <c r="V82" s="342"/>
      <c r="W82" s="461"/>
      <c r="X82" s="459"/>
      <c r="Y82" s="342"/>
      <c r="Z82" s="461"/>
      <c r="AA82" s="459"/>
      <c r="AB82" s="342"/>
      <c r="AC82" s="461"/>
      <c r="AD82" s="459"/>
      <c r="AE82" s="342"/>
      <c r="AF82" s="461"/>
      <c r="AG82" s="459"/>
      <c r="AH82" s="342"/>
      <c r="AI82" s="461"/>
      <c r="AJ82" s="459"/>
      <c r="AK82" s="342" t="str">
        <f t="shared" si="26"/>
        <v xml:space="preserve">    ---- </v>
      </c>
      <c r="AL82" s="445">
        <f t="shared" si="43"/>
        <v>134.53005400000001</v>
      </c>
      <c r="AM82" s="445">
        <f t="shared" si="44"/>
        <v>140.040133</v>
      </c>
      <c r="AN82" s="342">
        <f t="shared" si="20"/>
        <v>4.0999999999999996</v>
      </c>
      <c r="AO82" s="445">
        <f t="shared" si="45"/>
        <v>134.53005400000001</v>
      </c>
      <c r="AP82" s="445">
        <f t="shared" si="46"/>
        <v>140.040133</v>
      </c>
      <c r="AQ82" s="460">
        <f t="shared" si="23"/>
        <v>4.0999999999999996</v>
      </c>
      <c r="AR82" s="514"/>
      <c r="AS82" s="514"/>
      <c r="AT82" s="518"/>
    </row>
    <row r="83" spans="1:46" s="484" customFormat="1" ht="20.100000000000001" customHeight="1" x14ac:dyDescent="0.3">
      <c r="A83" s="478" t="s">
        <v>412</v>
      </c>
      <c r="B83" s="466">
        <v>80.338999999999999</v>
      </c>
      <c r="C83" s="342">
        <v>63.192999999999998</v>
      </c>
      <c r="D83" s="342">
        <f>IF(B83=0, "    ---- ", IF(ABS(ROUND(100/B83*C83-100,1))&lt;999,ROUND(100/B83*C83-100,1),IF(ROUND(100/B83*C83-100,1)&gt;999,999,-999)))</f>
        <v>-21.3</v>
      </c>
      <c r="E83" s="466">
        <v>678.70100000000002</v>
      </c>
      <c r="F83" s="342">
        <v>663.34</v>
      </c>
      <c r="G83" s="342">
        <f t="shared" si="16"/>
        <v>-2.2999999999999998</v>
      </c>
      <c r="H83" s="466"/>
      <c r="I83" s="342"/>
      <c r="J83" s="342"/>
      <c r="K83" s="466">
        <v>340.73200000000003</v>
      </c>
      <c r="L83" s="342">
        <v>315.8</v>
      </c>
      <c r="M83" s="342">
        <f>IF(K83=0, "    ---- ", IF(ABS(ROUND(100/K83*L83-100,1))&lt;999,ROUND(100/K83*L83-100,1),IF(ROUND(100/K83*L83-100,1)&gt;999,999,-999)))</f>
        <v>-7.3</v>
      </c>
      <c r="N83" s="466"/>
      <c r="O83" s="342"/>
      <c r="P83" s="342"/>
      <c r="Q83" s="466">
        <v>280.59341599999999</v>
      </c>
      <c r="R83" s="342">
        <v>391.07409999999999</v>
      </c>
      <c r="S83" s="342">
        <f t="shared" si="42"/>
        <v>39.4</v>
      </c>
      <c r="T83" s="466">
        <v>9.1999999999999993</v>
      </c>
      <c r="U83" s="342">
        <v>18.2</v>
      </c>
      <c r="V83" s="342">
        <f>IF(T83=0, "    ---- ", IF(ABS(ROUND(100/T83*U83-100,1))&lt;999,ROUND(100/T83*U83-100,1),IF(ROUND(100/T83*U83-100,1)&gt;999,999,-999)))</f>
        <v>97.8</v>
      </c>
      <c r="W83" s="466"/>
      <c r="X83" s="342"/>
      <c r="Y83" s="342"/>
      <c r="Z83" s="466"/>
      <c r="AA83" s="342"/>
      <c r="AB83" s="342"/>
      <c r="AC83" s="466"/>
      <c r="AD83" s="342"/>
      <c r="AE83" s="342"/>
      <c r="AF83" s="466">
        <v>481.18599999999998</v>
      </c>
      <c r="AG83" s="342">
        <v>497.916</v>
      </c>
      <c r="AH83" s="342">
        <f t="shared" si="17"/>
        <v>3.5</v>
      </c>
      <c r="AI83" s="466"/>
      <c r="AJ83" s="342"/>
      <c r="AK83" s="342" t="str">
        <f t="shared" si="26"/>
        <v xml:space="preserve">    ---- </v>
      </c>
      <c r="AL83" s="445">
        <f t="shared" si="43"/>
        <v>1870.7514159999998</v>
      </c>
      <c r="AM83" s="445">
        <f t="shared" si="44"/>
        <v>1949.5231000000001</v>
      </c>
      <c r="AN83" s="342">
        <f t="shared" si="20"/>
        <v>4.2</v>
      </c>
      <c r="AO83" s="445">
        <f t="shared" si="45"/>
        <v>1870.7514159999998</v>
      </c>
      <c r="AP83" s="445">
        <f t="shared" si="46"/>
        <v>1949.5231000000001</v>
      </c>
      <c r="AQ83" s="460">
        <f t="shared" si="23"/>
        <v>4.2</v>
      </c>
      <c r="AR83" s="514"/>
      <c r="AS83" s="514"/>
      <c r="AT83" s="518"/>
    </row>
    <row r="84" spans="1:46" s="484" customFormat="1" ht="20.100000000000001" customHeight="1" x14ac:dyDescent="0.3">
      <c r="A84" s="478" t="s">
        <v>254</v>
      </c>
      <c r="B84" s="461"/>
      <c r="C84" s="459"/>
      <c r="D84" s="459"/>
      <c r="E84" s="461"/>
      <c r="F84" s="459"/>
      <c r="G84" s="459"/>
      <c r="H84" s="461"/>
      <c r="I84" s="459"/>
      <c r="J84" s="459"/>
      <c r="K84" s="461"/>
      <c r="L84" s="459"/>
      <c r="M84" s="442"/>
      <c r="N84" s="461"/>
      <c r="O84" s="459"/>
      <c r="P84" s="342"/>
      <c r="Q84" s="461">
        <v>70.681374000000005</v>
      </c>
      <c r="R84" s="459">
        <v>32.744748999999999</v>
      </c>
      <c r="S84" s="342">
        <f t="shared" si="42"/>
        <v>-53.7</v>
      </c>
      <c r="T84" s="461"/>
      <c r="U84" s="459"/>
      <c r="V84" s="342"/>
      <c r="W84" s="461"/>
      <c r="X84" s="459"/>
      <c r="Y84" s="342"/>
      <c r="Z84" s="461"/>
      <c r="AA84" s="459"/>
      <c r="AB84" s="342"/>
      <c r="AC84" s="461"/>
      <c r="AD84" s="459"/>
      <c r="AE84" s="459"/>
      <c r="AF84" s="461"/>
      <c r="AG84" s="459"/>
      <c r="AH84" s="342"/>
      <c r="AI84" s="461">
        <v>-3.5</v>
      </c>
      <c r="AJ84" s="459"/>
      <c r="AK84" s="342"/>
      <c r="AL84" s="445">
        <f t="shared" si="43"/>
        <v>67.181374000000005</v>
      </c>
      <c r="AM84" s="445">
        <f t="shared" si="44"/>
        <v>32.744748999999999</v>
      </c>
      <c r="AN84" s="342">
        <f t="shared" si="20"/>
        <v>-51.3</v>
      </c>
      <c r="AO84" s="445">
        <f t="shared" si="45"/>
        <v>67.181374000000005</v>
      </c>
      <c r="AP84" s="445">
        <f t="shared" si="46"/>
        <v>32.744748999999999</v>
      </c>
      <c r="AQ84" s="460">
        <f t="shared" si="23"/>
        <v>-51.3</v>
      </c>
      <c r="AR84" s="514"/>
      <c r="AS84" s="514"/>
      <c r="AT84" s="518"/>
    </row>
    <row r="85" spans="1:46" s="484" customFormat="1" ht="20.100000000000001" customHeight="1" x14ac:dyDescent="0.3">
      <c r="A85" s="479" t="s">
        <v>257</v>
      </c>
      <c r="B85" s="461">
        <f>SUM(B81:B84)</f>
        <v>16087.298000000001</v>
      </c>
      <c r="C85" s="459">
        <f>SUM(C81:C84)</f>
        <v>17958.434999999998</v>
      </c>
      <c r="D85" s="459">
        <f>IF(B85=0, "    ---- ", IF(ABS(ROUND(100/B85*C85-100,1))&lt;999,ROUND(100/B85*C85-100,1),IF(ROUND(100/B85*C85-100,1)&gt;999,999,-999)))</f>
        <v>11.6</v>
      </c>
      <c r="E85" s="461">
        <f>SUM(E81:E84)</f>
        <v>70689.759999999995</v>
      </c>
      <c r="F85" s="459">
        <f>SUM(F81:F84)</f>
        <v>82380.384999999995</v>
      </c>
      <c r="G85" s="459">
        <f t="shared" si="16"/>
        <v>16.5</v>
      </c>
      <c r="H85" s="461">
        <f>SUM(H81:H84)</f>
        <v>3022.5279999999998</v>
      </c>
      <c r="I85" s="459">
        <f>SUM(I81:I84)</f>
        <v>3471.864</v>
      </c>
      <c r="J85" s="459">
        <f>IF(H85=0, "    ---- ", IF(ABS(ROUND(100/H85*I85-100,1))&lt;999,ROUND(100/H85*I85-100,1),IF(ROUND(100/H85*I85-100,1)&gt;999,999,-999)))</f>
        <v>14.9</v>
      </c>
      <c r="K85" s="461">
        <f>SUM(K81:K84)</f>
        <v>21451.221000000001</v>
      </c>
      <c r="L85" s="459">
        <f>SUM(L81:L84)</f>
        <v>25237.3</v>
      </c>
      <c r="M85" s="442">
        <f>IF(K85=0, "    ---- ", IF(ABS(ROUND(100/K85*L85-100,1))&lt;999,ROUND(100/K85*L85-100,1),IF(ROUND(100/K85*L85-100,1)&gt;999,999,-999)))</f>
        <v>17.600000000000001</v>
      </c>
      <c r="N85" s="461"/>
      <c r="O85" s="459">
        <f>SUM(O81:O84)</f>
        <v>0</v>
      </c>
      <c r="P85" s="342"/>
      <c r="Q85" s="461">
        <f>SUM(Q81:Q84)</f>
        <v>2330.1989161500005</v>
      </c>
      <c r="R85" s="459">
        <f>SUM(R81:R84)</f>
        <v>2478.82729715</v>
      </c>
      <c r="S85" s="342">
        <f t="shared" si="42"/>
        <v>6.4</v>
      </c>
      <c r="T85" s="461">
        <f>SUM(T81:T84)</f>
        <v>2432.5</v>
      </c>
      <c r="U85" s="459">
        <f>SUM(U81:U84)</f>
        <v>3406.2</v>
      </c>
      <c r="V85" s="342">
        <f>IF(T85=0, "    ---- ", IF(ABS(ROUND(100/T85*U85-100,1))&lt;999,ROUND(100/T85*U85-100,1),IF(ROUND(100/T85*U85-100,1)&gt;999,999,-999)))</f>
        <v>40</v>
      </c>
      <c r="W85" s="461">
        <f>SUM(W81:W84)</f>
        <v>54647.57</v>
      </c>
      <c r="X85" s="459">
        <f>SUM(X81:X84)</f>
        <v>62133.84</v>
      </c>
      <c r="Y85" s="342">
        <f t="shared" si="24"/>
        <v>13.7</v>
      </c>
      <c r="Z85" s="461"/>
      <c r="AA85" s="459"/>
      <c r="AB85" s="342"/>
      <c r="AC85" s="461">
        <f>SUM(AC81:AC84)</f>
        <v>1949</v>
      </c>
      <c r="AD85" s="459">
        <f>SUM(AD81:AD84)</f>
        <v>2250</v>
      </c>
      <c r="AE85" s="459">
        <f>IF(AC85=0, "    ---- ", IF(ABS(ROUND(100/AC85*AD85-100,1))&lt;999,ROUND(100/AC85*AD85-100,1),IF(ROUND(100/AC85*AD85-100,1)&gt;999,999,-999)))</f>
        <v>15.4</v>
      </c>
      <c r="AF85" s="461">
        <f>SUM(AF81:AF84)</f>
        <v>23505</v>
      </c>
      <c r="AG85" s="459">
        <f>SUM(AG81:AG84)</f>
        <v>29524.732</v>
      </c>
      <c r="AH85" s="342">
        <f t="shared" si="17"/>
        <v>25.6</v>
      </c>
      <c r="AI85" s="461">
        <f>SUM(AI81:AI84)</f>
        <v>75406</v>
      </c>
      <c r="AJ85" s="459">
        <f>SUM(AJ81:AJ84)</f>
        <v>98476.9</v>
      </c>
      <c r="AK85" s="342">
        <f t="shared" si="26"/>
        <v>30.6</v>
      </c>
      <c r="AL85" s="445">
        <f t="shared" si="43"/>
        <v>269572.07591615</v>
      </c>
      <c r="AM85" s="445">
        <f t="shared" si="44"/>
        <v>325068.48329715</v>
      </c>
      <c r="AN85" s="342">
        <f t="shared" si="20"/>
        <v>20.6</v>
      </c>
      <c r="AO85" s="445">
        <f t="shared" si="45"/>
        <v>271521.07591615</v>
      </c>
      <c r="AP85" s="445">
        <f t="shared" si="46"/>
        <v>327318.48329715</v>
      </c>
      <c r="AQ85" s="460">
        <f t="shared" si="23"/>
        <v>20.5</v>
      </c>
      <c r="AR85" s="514"/>
      <c r="AS85" s="514"/>
      <c r="AT85" s="518"/>
    </row>
    <row r="86" spans="1:46" s="484" customFormat="1" ht="20.100000000000001" customHeight="1" x14ac:dyDescent="0.3">
      <c r="A86" s="478" t="s">
        <v>258</v>
      </c>
      <c r="B86" s="461">
        <v>29.890999999999998</v>
      </c>
      <c r="C86" s="459">
        <v>30.869</v>
      </c>
      <c r="D86" s="342">
        <f>IF(B86=0, "    ---- ", IF(ABS(ROUND(100/B86*C86-100,1))&lt;999,ROUND(100/B86*C86-100,1),IF(ROUND(100/B86*C86-100,1)&gt;999,999,-999)))</f>
        <v>3.3</v>
      </c>
      <c r="E86" s="461">
        <v>892.51</v>
      </c>
      <c r="F86" s="459">
        <v>1161.0160000000001</v>
      </c>
      <c r="G86" s="342">
        <f t="shared" si="16"/>
        <v>30.1</v>
      </c>
      <c r="H86" s="461"/>
      <c r="I86" s="459"/>
      <c r="J86" s="342"/>
      <c r="K86" s="461">
        <v>21.893000000000001</v>
      </c>
      <c r="L86" s="459">
        <v>50.3</v>
      </c>
      <c r="M86" s="342">
        <f>IF(K86=0, "    ---- ", IF(ABS(ROUND(100/K86*L86-100,1))&lt;999,ROUND(100/K86*L86-100,1),IF(ROUND(100/K86*L86-100,1)&gt;999,999,-999)))</f>
        <v>129.80000000000001</v>
      </c>
      <c r="N86" s="461">
        <v>2</v>
      </c>
      <c r="O86" s="459">
        <v>1</v>
      </c>
      <c r="P86" s="342">
        <f>IF(N86=0, "    ---- ", IF(ABS(ROUND(100/N86*O86-100,1))&lt;999,ROUND(100/N86*O86-100,1),IF(ROUND(100/N86*O86-100,1)&gt;999,999,-999)))</f>
        <v>-50</v>
      </c>
      <c r="Q86" s="461">
        <v>577.48912584000004</v>
      </c>
      <c r="R86" s="459">
        <v>1570.6675162700001</v>
      </c>
      <c r="S86" s="342">
        <f t="shared" si="42"/>
        <v>172</v>
      </c>
      <c r="T86" s="461">
        <v>8.1</v>
      </c>
      <c r="U86" s="459">
        <v>8.1999999999999993</v>
      </c>
      <c r="V86" s="342">
        <f>IF(T86=0, "    ---- ", IF(ABS(ROUND(100/T86*U86-100,1))&lt;999,ROUND(100/T86*U86-100,1),IF(ROUND(100/T86*U86-100,1)&gt;999,999,-999)))</f>
        <v>1.2</v>
      </c>
      <c r="W86" s="461">
        <v>461.23</v>
      </c>
      <c r="X86" s="459">
        <v>535.79999999999995</v>
      </c>
      <c r="Y86" s="342">
        <f t="shared" si="24"/>
        <v>16.2</v>
      </c>
      <c r="Z86" s="461">
        <v>917</v>
      </c>
      <c r="AA86" s="459">
        <v>1160</v>
      </c>
      <c r="AB86" s="342">
        <f>IF(Z86=0, "    ---- ", IF(ABS(ROUND(100/Z86*AA86-100,1))&lt;999,ROUND(100/Z86*AA86-100,1),IF(ROUND(100/Z86*AA86-100,1)&gt;999,999,-999)))</f>
        <v>26.5</v>
      </c>
      <c r="AC86" s="461"/>
      <c r="AD86" s="459"/>
      <c r="AE86" s="342"/>
      <c r="AF86" s="461">
        <v>752.79700000000003</v>
      </c>
      <c r="AG86" s="459">
        <v>960.29600000000005</v>
      </c>
      <c r="AH86" s="342">
        <f t="shared" si="17"/>
        <v>27.6</v>
      </c>
      <c r="AI86" s="461">
        <v>59</v>
      </c>
      <c r="AJ86" s="459">
        <v>41.6</v>
      </c>
      <c r="AK86" s="342">
        <f t="shared" si="26"/>
        <v>-29.5</v>
      </c>
      <c r="AL86" s="445">
        <f t="shared" si="43"/>
        <v>3719.9101258400001</v>
      </c>
      <c r="AM86" s="445">
        <f t="shared" si="44"/>
        <v>5518.7485162700004</v>
      </c>
      <c r="AN86" s="342">
        <f t="shared" si="20"/>
        <v>48.4</v>
      </c>
      <c r="AO86" s="445">
        <f t="shared" si="45"/>
        <v>3721.9101258400001</v>
      </c>
      <c r="AP86" s="445">
        <f t="shared" si="46"/>
        <v>5519.7485162700004</v>
      </c>
      <c r="AQ86" s="460">
        <f t="shared" si="23"/>
        <v>48.3</v>
      </c>
      <c r="AR86" s="514"/>
      <c r="AS86" s="514"/>
      <c r="AT86" s="518"/>
    </row>
    <row r="87" spans="1:46" s="484" customFormat="1" ht="20.100000000000001" customHeight="1" x14ac:dyDescent="0.3">
      <c r="A87" s="478" t="s">
        <v>259</v>
      </c>
      <c r="B87" s="461"/>
      <c r="C87" s="459"/>
      <c r="D87" s="342"/>
      <c r="E87" s="461">
        <v>0</v>
      </c>
      <c r="F87" s="459"/>
      <c r="G87" s="342"/>
      <c r="H87" s="461"/>
      <c r="I87" s="459"/>
      <c r="J87" s="342"/>
      <c r="K87" s="461"/>
      <c r="L87" s="459"/>
      <c r="M87" s="342"/>
      <c r="N87" s="461"/>
      <c r="O87" s="459"/>
      <c r="P87" s="342"/>
      <c r="Q87" s="461"/>
      <c r="R87" s="459"/>
      <c r="S87" s="342"/>
      <c r="T87" s="461"/>
      <c r="U87" s="459"/>
      <c r="V87" s="342"/>
      <c r="W87" s="461"/>
      <c r="X87" s="459">
        <v>0</v>
      </c>
      <c r="Y87" s="342"/>
      <c r="Z87" s="461"/>
      <c r="AA87" s="459"/>
      <c r="AB87" s="342"/>
      <c r="AC87" s="461"/>
      <c r="AD87" s="459"/>
      <c r="AE87" s="342"/>
      <c r="AF87" s="461">
        <v>263.78300000000002</v>
      </c>
      <c r="AG87" s="459">
        <v>271.80799999999999</v>
      </c>
      <c r="AH87" s="342">
        <f t="shared" si="17"/>
        <v>3</v>
      </c>
      <c r="AI87" s="461"/>
      <c r="AJ87" s="459"/>
      <c r="AK87" s="342"/>
      <c r="AL87" s="445">
        <f t="shared" si="43"/>
        <v>263.78300000000002</v>
      </c>
      <c r="AM87" s="445">
        <f t="shared" si="44"/>
        <v>271.80799999999999</v>
      </c>
      <c r="AN87" s="342">
        <f t="shared" si="20"/>
        <v>3</v>
      </c>
      <c r="AO87" s="445">
        <f t="shared" si="45"/>
        <v>263.78300000000002</v>
      </c>
      <c r="AP87" s="445">
        <f t="shared" si="46"/>
        <v>271.80799999999999</v>
      </c>
      <c r="AQ87" s="460">
        <f t="shared" si="23"/>
        <v>3</v>
      </c>
      <c r="AR87" s="514"/>
      <c r="AS87" s="514"/>
      <c r="AT87" s="518"/>
    </row>
    <row r="88" spans="1:46" s="484" customFormat="1" ht="20.100000000000001" customHeight="1" x14ac:dyDescent="0.3">
      <c r="A88" s="478" t="s">
        <v>260</v>
      </c>
      <c r="B88" s="461">
        <v>66.174999999999997</v>
      </c>
      <c r="C88" s="459">
        <v>65.302000000000007</v>
      </c>
      <c r="D88" s="459">
        <f>IF(B88=0, "    ---- ", IF(ABS(ROUND(100/B88*C88-100,1))&lt;999,ROUND(100/B88*C88-100,1),IF(ROUND(100/B88*C88-100,1)&gt;999,999,-999)))</f>
        <v>-1.3</v>
      </c>
      <c r="E88" s="461">
        <v>1702.9639999999999</v>
      </c>
      <c r="F88" s="459">
        <v>1685.221</v>
      </c>
      <c r="G88" s="459">
        <f t="shared" si="16"/>
        <v>-1</v>
      </c>
      <c r="H88" s="461">
        <v>98.009</v>
      </c>
      <c r="I88" s="459">
        <v>93.409000000000006</v>
      </c>
      <c r="J88" s="459"/>
      <c r="K88" s="461">
        <v>54.893999999999998</v>
      </c>
      <c r="L88" s="459">
        <v>92.5</v>
      </c>
      <c r="M88" s="442">
        <f>IF(K88=0, "    ---- ", IF(ABS(ROUND(100/K88*L88-100,1))&lt;999,ROUND(100/K88*L88-100,1),IF(ROUND(100/K88*L88-100,1)&gt;999,999,-999)))</f>
        <v>68.5</v>
      </c>
      <c r="N88" s="461">
        <v>5</v>
      </c>
      <c r="O88" s="459">
        <v>10</v>
      </c>
      <c r="P88" s="342">
        <f>IF(N88=0, "    ---- ", IF(ABS(ROUND(100/N88*O88-100,1))&lt;999,ROUND(100/N88*O88-100,1),IF(ROUND(100/N88*O88-100,1)&gt;999,999,-999)))</f>
        <v>100</v>
      </c>
      <c r="Q88" s="461">
        <v>11057.864630190001</v>
      </c>
      <c r="R88" s="459">
        <v>6838.17597682</v>
      </c>
      <c r="S88" s="342">
        <f t="shared" si="42"/>
        <v>-38.200000000000003</v>
      </c>
      <c r="T88" s="461">
        <v>6.3</v>
      </c>
      <c r="U88" s="459">
        <v>57.6</v>
      </c>
      <c r="V88" s="342">
        <f>IF(T88=0, "    ---- ", IF(ABS(ROUND(100/T88*U88-100,1))&lt;999,ROUND(100/T88*U88-100,1),IF(ROUND(100/T88*U88-100,1)&gt;999,999,-999)))</f>
        <v>814.3</v>
      </c>
      <c r="W88" s="461">
        <v>502.85</v>
      </c>
      <c r="X88" s="459">
        <v>169.9</v>
      </c>
      <c r="Y88" s="342">
        <f t="shared" si="24"/>
        <v>-66.2</v>
      </c>
      <c r="Z88" s="461">
        <v>327</v>
      </c>
      <c r="AA88" s="459">
        <v>381</v>
      </c>
      <c r="AB88" s="342">
        <f>IF(Z88=0, "    ---- ", IF(ABS(ROUND(100/Z88*AA88-100,1))&lt;999,ROUND(100/Z88*AA88-100,1),IF(ROUND(100/Z88*AA88-100,1)&gt;999,999,-999)))</f>
        <v>16.5</v>
      </c>
      <c r="AC88" s="461">
        <v>4</v>
      </c>
      <c r="AD88" s="459">
        <v>9</v>
      </c>
      <c r="AE88" s="342">
        <f>IF(AC88=0, "    ---- ", IF(ABS(ROUND(100/AC88*AD88-100,1))&lt;999,ROUND(100/AC88*AD88-100,1),IF(ROUND(100/AC88*AD88-100,1)&gt;999,999,-999)))</f>
        <v>125</v>
      </c>
      <c r="AF88" s="461">
        <v>357.13400000000001</v>
      </c>
      <c r="AG88" s="459">
        <v>285.01799999999997</v>
      </c>
      <c r="AH88" s="342">
        <f t="shared" si="17"/>
        <v>-20.2</v>
      </c>
      <c r="AI88" s="461">
        <v>3241</v>
      </c>
      <c r="AJ88" s="459">
        <v>3452.2</v>
      </c>
      <c r="AK88" s="342">
        <f t="shared" si="26"/>
        <v>6.5</v>
      </c>
      <c r="AL88" s="445">
        <f t="shared" si="43"/>
        <v>17414.190630190002</v>
      </c>
      <c r="AM88" s="445">
        <f t="shared" si="44"/>
        <v>13120.325976820001</v>
      </c>
      <c r="AN88" s="342">
        <f t="shared" si="20"/>
        <v>-24.7</v>
      </c>
      <c r="AO88" s="445">
        <f t="shared" si="45"/>
        <v>17423.190630190002</v>
      </c>
      <c r="AP88" s="445">
        <f t="shared" si="46"/>
        <v>13139.325976820001</v>
      </c>
      <c r="AQ88" s="460">
        <f t="shared" si="23"/>
        <v>-24.6</v>
      </c>
      <c r="AR88" s="514"/>
      <c r="AS88" s="514"/>
      <c r="AT88" s="518"/>
    </row>
    <row r="89" spans="1:46" s="484" customFormat="1" ht="20.100000000000001" customHeight="1" x14ac:dyDescent="0.3">
      <c r="A89" s="478" t="s">
        <v>261</v>
      </c>
      <c r="B89" s="461">
        <v>26.495000000000001</v>
      </c>
      <c r="C89" s="459">
        <v>30.972999999999999</v>
      </c>
      <c r="D89" s="459">
        <f>IF(B89=0, "    ---- ", IF(ABS(ROUND(100/B89*C89-100,1))&lt;999,ROUND(100/B89*C89-100,1),IF(ROUND(100/B89*C89-100,1)&gt;999,999,-999)))</f>
        <v>16.899999999999999</v>
      </c>
      <c r="E89" s="461">
        <v>193.63900000000001</v>
      </c>
      <c r="F89" s="459">
        <v>158.708</v>
      </c>
      <c r="G89" s="459">
        <f t="shared" si="16"/>
        <v>-18</v>
      </c>
      <c r="H89" s="461">
        <v>13.079000000000001</v>
      </c>
      <c r="I89" s="459">
        <v>12.872999999999999</v>
      </c>
      <c r="J89" s="459">
        <f>IF(H89=0, "    ---- ", IF(ABS(ROUND(100/H89*I89-100,1))&lt;999,ROUND(100/H89*I89-100,1),IF(ROUND(100/H89*I89-100,1)&gt;999,999,-999)))</f>
        <v>-1.6</v>
      </c>
      <c r="K89" s="461">
        <v>15.9</v>
      </c>
      <c r="L89" s="459">
        <v>12.5</v>
      </c>
      <c r="M89" s="342">
        <f>IF(K89=0, "    ---- ", IF(ABS(ROUND(100/K89*L89-100,1))&lt;999,ROUND(100/K89*L89-100,1),IF(ROUND(100/K89*L89-100,1)&gt;999,999,-999)))</f>
        <v>-21.4</v>
      </c>
      <c r="N89" s="461"/>
      <c r="O89" s="459"/>
      <c r="P89" s="342"/>
      <c r="Q89" s="461">
        <v>59.707164179999999</v>
      </c>
      <c r="R89" s="459">
        <v>67.934467670000004</v>
      </c>
      <c r="S89" s="342">
        <f t="shared" si="42"/>
        <v>13.8</v>
      </c>
      <c r="T89" s="461">
        <v>5</v>
      </c>
      <c r="U89" s="459">
        <v>5.9</v>
      </c>
      <c r="V89" s="342">
        <f>IF(T89=0, "    ---- ", IF(ABS(ROUND(100/T89*U89-100,1))&lt;999,ROUND(100/T89*U89-100,1),IF(ROUND(100/T89*U89-100,1)&gt;999,999,-999)))</f>
        <v>18</v>
      </c>
      <c r="W89" s="461">
        <v>62.61</v>
      </c>
      <c r="X89" s="459">
        <v>43.95</v>
      </c>
      <c r="Y89" s="342">
        <f t="shared" si="24"/>
        <v>-29.8</v>
      </c>
      <c r="Z89" s="461">
        <v>51</v>
      </c>
      <c r="AA89" s="459">
        <v>54</v>
      </c>
      <c r="AB89" s="342">
        <f>IF(Z89=0, "    ---- ", IF(ABS(ROUND(100/Z89*AA89-100,1))&lt;999,ROUND(100/Z89*AA89-100,1),IF(ROUND(100/Z89*AA89-100,1)&gt;999,999,-999)))</f>
        <v>5.9</v>
      </c>
      <c r="AC89" s="461"/>
      <c r="AD89" s="459"/>
      <c r="AE89" s="342"/>
      <c r="AF89" s="461">
        <v>111.946</v>
      </c>
      <c r="AG89" s="459">
        <v>118.027</v>
      </c>
      <c r="AH89" s="342">
        <f t="shared" si="17"/>
        <v>5.4</v>
      </c>
      <c r="AI89" s="461">
        <v>154</v>
      </c>
      <c r="AJ89" s="459">
        <v>138.30000000000001</v>
      </c>
      <c r="AK89" s="342">
        <f t="shared" si="26"/>
        <v>-10.199999999999999</v>
      </c>
      <c r="AL89" s="445">
        <f t="shared" si="43"/>
        <v>693.37616418000005</v>
      </c>
      <c r="AM89" s="445">
        <f t="shared" si="44"/>
        <v>643.16546767</v>
      </c>
      <c r="AN89" s="342">
        <f t="shared" si="20"/>
        <v>-7.2</v>
      </c>
      <c r="AO89" s="445">
        <f t="shared" si="45"/>
        <v>693.37616418000005</v>
      </c>
      <c r="AP89" s="445">
        <f t="shared" si="46"/>
        <v>643.16546767</v>
      </c>
      <c r="AQ89" s="460">
        <f t="shared" si="23"/>
        <v>-7.2</v>
      </c>
      <c r="AR89" s="514"/>
      <c r="AS89" s="514"/>
      <c r="AT89" s="518"/>
    </row>
    <row r="90" spans="1:46" s="484" customFormat="1" ht="20.100000000000001" customHeight="1" x14ac:dyDescent="0.3">
      <c r="A90" s="478"/>
      <c r="B90" s="461"/>
      <c r="C90" s="459"/>
      <c r="D90" s="342"/>
      <c r="E90" s="461"/>
      <c r="F90" s="459"/>
      <c r="G90" s="342"/>
      <c r="H90" s="461"/>
      <c r="I90" s="459"/>
      <c r="J90" s="342"/>
      <c r="K90" s="461"/>
      <c r="L90" s="459"/>
      <c r="M90" s="342"/>
      <c r="N90" s="461"/>
      <c r="O90" s="459"/>
      <c r="P90" s="342"/>
      <c r="Q90" s="461"/>
      <c r="R90" s="459"/>
      <c r="S90" s="342"/>
      <c r="T90" s="461"/>
      <c r="U90" s="459"/>
      <c r="V90" s="342"/>
      <c r="W90" s="461"/>
      <c r="X90" s="459"/>
      <c r="Y90" s="342"/>
      <c r="Z90" s="461"/>
      <c r="AA90" s="459"/>
      <c r="AB90" s="342"/>
      <c r="AC90" s="461"/>
      <c r="AD90" s="459"/>
      <c r="AE90" s="342"/>
      <c r="AF90" s="461"/>
      <c r="AG90" s="459"/>
      <c r="AH90" s="342"/>
      <c r="AI90" s="461"/>
      <c r="AJ90" s="459"/>
      <c r="AK90" s="342"/>
      <c r="AL90" s="445"/>
      <c r="AM90" s="445"/>
      <c r="AN90" s="342"/>
      <c r="AO90" s="445"/>
      <c r="AP90" s="445"/>
      <c r="AQ90" s="460"/>
      <c r="AR90" s="514"/>
      <c r="AS90" s="514"/>
      <c r="AT90" s="518"/>
    </row>
    <row r="91" spans="1:46" s="522" customFormat="1" ht="20.100000000000001" customHeight="1" x14ac:dyDescent="0.3">
      <c r="A91" s="481" t="s">
        <v>262</v>
      </c>
      <c r="B91" s="469">
        <f>SUM(B68+B69+B71+B79+B85+B86+B87+B88+B89)</f>
        <v>17645.957999999999</v>
      </c>
      <c r="C91" s="467">
        <f>SUM(C68+C69+C71+C79+C85+C86+C87+C88+C89)</f>
        <v>19662.719999999998</v>
      </c>
      <c r="D91" s="468">
        <f>IF(B91=0, "    ---- ", IF(ABS(ROUND(100/B91*C91-100,1))&lt;999,ROUND(100/B91*C91-100,1),IF(ROUND(100/B91*C91-100,1)&gt;999,999,-999)))</f>
        <v>11.4</v>
      </c>
      <c r="E91" s="469">
        <f>SUM(E68+E69+E71+E79+E85+E86+E87+E88+E89)</f>
        <v>311889.27799999999</v>
      </c>
      <c r="F91" s="467">
        <f>SUM(F68+F69+F71+F79+F85+F86+F87+F88+F89)</f>
        <v>322437.51699999999</v>
      </c>
      <c r="G91" s="468">
        <f t="shared" si="16"/>
        <v>3.4</v>
      </c>
      <c r="H91" s="469">
        <f>SUM(H68+H69+H71+H79+H85+H86+H87+H88+H89)</f>
        <v>4430.8059999999996</v>
      </c>
      <c r="I91" s="467">
        <f>SUM(I68+I69+I71+I79+I85+I86+I87+I88+I89)</f>
        <v>4999.0459999999994</v>
      </c>
      <c r="J91" s="468">
        <f>IF(H91=0, "    ---- ", IF(ABS(ROUND(100/H91*I91-100,1))&lt;999,ROUND(100/H91*I91-100,1),IF(ROUND(100/H91*I91-100,1)&gt;999,999,-999)))</f>
        <v>12.8</v>
      </c>
      <c r="K91" s="469">
        <f>SUM(K68+K69+K71+K79+K85+K86+K87+K88+K89)</f>
        <v>28429.010000000006</v>
      </c>
      <c r="L91" s="467">
        <f>SUM(L68+L69+L71+L79+L85+L86+L87+L88+L89)</f>
        <v>32978.800000000003</v>
      </c>
      <c r="M91" s="468">
        <f>IF(K91=0, "    ---- ", IF(ABS(ROUND(100/K91*L91-100,1))&lt;999,ROUND(100/K91*L91-100,1),IF(ROUND(100/K91*L91-100,1)&gt;999,999,-999)))</f>
        <v>16</v>
      </c>
      <c r="N91" s="469">
        <f>SUM(N68+N69+N71+N79+N85+N86+N87+N88+N89)</f>
        <v>140</v>
      </c>
      <c r="O91" s="467">
        <f>SUM(O68+O69+O71+O79+O85+O86+O87+O88+O89)</f>
        <v>147</v>
      </c>
      <c r="P91" s="468">
        <f>IF(N91=0, "    ---- ", IF(ABS(ROUND(100/N91*O91-100,1))&lt;999,ROUND(100/N91*O91-100,1),IF(ROUND(100/N91*O91-100,1)&gt;999,999,-999)))</f>
        <v>5</v>
      </c>
      <c r="Q91" s="469">
        <f>SUM(Q68+Q69+Q71+Q79+Q85+Q86+Q87+Q88+Q89)</f>
        <v>527488.39435888</v>
      </c>
      <c r="R91" s="467">
        <f>SUM(R68+R69+R71+R79+R85+R86+R87+R88+R89)</f>
        <v>563532.37508746004</v>
      </c>
      <c r="S91" s="468">
        <f t="shared" si="42"/>
        <v>6.8</v>
      </c>
      <c r="T91" s="469">
        <f>SUM(T68+T69+T71+T79+T85+T86+T87+T88+T89)</f>
        <v>4592.4000000000005</v>
      </c>
      <c r="U91" s="467">
        <f>SUM(U68+U69+U71+U79+U85+U86+U87+U88+U89)</f>
        <v>5671.3</v>
      </c>
      <c r="V91" s="468">
        <f>IF(T91=0, "    ---- ", IF(ABS(ROUND(100/T91*U91-100,1))&lt;999,ROUND(100/T91*U91-100,1),IF(ROUND(100/T91*U91-100,1)&gt;999,999,-999)))</f>
        <v>23.5</v>
      </c>
      <c r="W91" s="469">
        <f>SUM(W68+W69+W71+W79+W85+W86+W87+W88+W89)</f>
        <v>115009.825083</v>
      </c>
      <c r="X91" s="467">
        <f>SUM(X68+X69+X71+X79+X85+X86+X87+X88+X89)</f>
        <v>123360.85</v>
      </c>
      <c r="Y91" s="468">
        <f t="shared" si="24"/>
        <v>7.3</v>
      </c>
      <c r="Z91" s="469">
        <f>SUM(Z68+Z69+Z71+Z79+Z85+Z86+Z87+Z88+Z89)</f>
        <v>89698</v>
      </c>
      <c r="AA91" s="467">
        <f>SUM(AA68+AA69+AA71+AA79+AA85+AA86+AA87+AA88+AA89)</f>
        <v>97219</v>
      </c>
      <c r="AB91" s="468">
        <f>IF(Z91=0, "    ---- ", IF(ABS(ROUND(100/Z91*AA91-100,1))&lt;999,ROUND(100/Z91*AA91-100,1),IF(ROUND(100/Z91*AA91-100,1)&gt;999,999,-999)))</f>
        <v>8.4</v>
      </c>
      <c r="AC91" s="469">
        <f>SUM(AC68+AC69+AC71+AC79+AC85+AC86+AC87+AC88+AC89)</f>
        <v>1992</v>
      </c>
      <c r="AD91" s="467">
        <f>SUM(AD68+AD69+AD71+AD79+AD85+AD86+AD87+AD88+AD89)</f>
        <v>2307</v>
      </c>
      <c r="AE91" s="468">
        <f>IF(AC91=0, "    ---- ", IF(ABS(ROUND(100/AC91*AD91-100,1))&lt;999,ROUND(100/AC91*AD91-100,1),IF(ROUND(100/AC91*AD91-100,1)&gt;999,999,-999)))</f>
        <v>15.8</v>
      </c>
      <c r="AF91" s="469">
        <f>SUM(AF68+AF69+AF71+AF79+AF85+AF86+AF87+AF88+AF89)</f>
        <v>52295.527991000003</v>
      </c>
      <c r="AG91" s="467">
        <f>SUM(AG68+AG69+AG71+AG79+AG85+AG86+AG87+AG88+AG89)</f>
        <v>59708.957869700003</v>
      </c>
      <c r="AH91" s="468">
        <f t="shared" si="17"/>
        <v>14.2</v>
      </c>
      <c r="AI91" s="469">
        <f>SUM(AI68+AI69+AI71+AI79+AI85+AI86+AI87+AI88+AI89)</f>
        <v>296623</v>
      </c>
      <c r="AJ91" s="467">
        <f>SUM(AJ68+AJ69+AJ71+AJ79+AJ85+AJ86+AJ87+AJ88+AJ89)</f>
        <v>323193.79999999993</v>
      </c>
      <c r="AK91" s="468">
        <f t="shared" si="26"/>
        <v>9</v>
      </c>
      <c r="AL91" s="470">
        <f>B91+E91+H91+K91+Q91+T91+W91+Z91+AF91+AI91</f>
        <v>1448102.1994328802</v>
      </c>
      <c r="AM91" s="470">
        <f>C91+F91+I91+L91+R91+U91+X91+AA91+AG91+AJ91</f>
        <v>1552764.36595716</v>
      </c>
      <c r="AN91" s="468">
        <f t="shared" si="20"/>
        <v>7.2</v>
      </c>
      <c r="AO91" s="471">
        <f>B91+E91+H91+K91+N91+Q91+T91+W91+Z91+AC91+AF91+AI91</f>
        <v>1450234.1994328802</v>
      </c>
      <c r="AP91" s="471">
        <f>C91+F91+I91+L91+O91+R91+U91+X91+AA91+AD91+AG91+AJ91</f>
        <v>1555218.36595716</v>
      </c>
      <c r="AQ91" s="472">
        <f t="shared" si="23"/>
        <v>7.2</v>
      </c>
      <c r="AR91" s="520"/>
      <c r="AS91" s="514"/>
      <c r="AT91" s="518"/>
    </row>
    <row r="92" spans="1:46" ht="18.75" customHeight="1" x14ac:dyDescent="0.3">
      <c r="A92" s="482" t="s">
        <v>263</v>
      </c>
      <c r="B92" s="482"/>
      <c r="Q92" s="482"/>
      <c r="R92" s="484"/>
      <c r="X92" s="485"/>
      <c r="Y92" s="485"/>
      <c r="Z92" s="485"/>
      <c r="AA92" s="485"/>
      <c r="AB92" s="485"/>
      <c r="AC92" s="485"/>
      <c r="AD92" s="485"/>
      <c r="AE92" s="485"/>
      <c r="AF92" s="482"/>
      <c r="AI92" s="482"/>
    </row>
    <row r="93" spans="1:46" ht="18.75" customHeight="1" x14ac:dyDescent="0.3">
      <c r="A93" s="482" t="s">
        <v>264</v>
      </c>
      <c r="Q93" s="482"/>
      <c r="R93" s="484"/>
      <c r="X93" s="485"/>
      <c r="Y93" s="485"/>
      <c r="Z93" s="485"/>
      <c r="AA93" s="485"/>
      <c r="AB93" s="485"/>
      <c r="AC93" s="485"/>
      <c r="AD93" s="485"/>
      <c r="AE93" s="485"/>
      <c r="AF93" s="482"/>
      <c r="AI93" s="482"/>
    </row>
    <row r="94" spans="1:46" s="486" customFormat="1" ht="18.75" customHeight="1" x14ac:dyDescent="0.3">
      <c r="A94" s="482" t="s">
        <v>265</v>
      </c>
      <c r="Q94" s="482"/>
      <c r="R94" s="482"/>
      <c r="Y94" s="487"/>
      <c r="Z94" s="487"/>
      <c r="AA94" s="487"/>
      <c r="AB94" s="487"/>
      <c r="AC94" s="487"/>
      <c r="AD94" s="487"/>
      <c r="AE94" s="487"/>
      <c r="AR94" s="523"/>
      <c r="AS94" s="523"/>
    </row>
    <row r="95" spans="1:46" s="486" customFormat="1" ht="18.75" x14ac:dyDescent="0.3">
      <c r="Q95" s="482"/>
      <c r="R95" s="482"/>
    </row>
    <row r="96" spans="1:46" s="486" customFormat="1" ht="18.75" x14ac:dyDescent="0.3">
      <c r="Q96" s="482"/>
      <c r="R96" s="482"/>
    </row>
    <row r="97" spans="17:18" s="486" customFormat="1" ht="18.75" x14ac:dyDescent="0.3">
      <c r="Q97" s="482"/>
      <c r="R97" s="482"/>
    </row>
    <row r="98" spans="17:18" s="486" customFormat="1" ht="18.75" x14ac:dyDescent="0.3">
      <c r="Q98" s="482"/>
      <c r="R98" s="482"/>
    </row>
    <row r="99" spans="17:18" s="486" customFormat="1" ht="18.75" x14ac:dyDescent="0.3">
      <c r="Q99" s="482"/>
      <c r="R99" s="482"/>
    </row>
    <row r="100" spans="17:18" s="486" customFormat="1" ht="18.75" x14ac:dyDescent="0.3">
      <c r="Q100" s="482"/>
      <c r="R100" s="482"/>
    </row>
    <row r="101" spans="17:18" s="486" customFormat="1" ht="18.75" x14ac:dyDescent="0.3">
      <c r="Q101" s="482"/>
      <c r="R101" s="482"/>
    </row>
    <row r="102" spans="17:18" s="486" customFormat="1" ht="18.75" x14ac:dyDescent="0.3">
      <c r="Q102" s="482"/>
      <c r="R102" s="482"/>
    </row>
    <row r="103" spans="17:18" s="486" customFormat="1" ht="18.75" x14ac:dyDescent="0.3">
      <c r="Q103" s="482"/>
      <c r="R103" s="482"/>
    </row>
    <row r="104" spans="17:18" s="486" customFormat="1" ht="18.75" x14ac:dyDescent="0.3">
      <c r="Q104" s="482"/>
      <c r="R104" s="482"/>
    </row>
    <row r="105" spans="17:18" s="486" customFormat="1" ht="18.75" x14ac:dyDescent="0.3">
      <c r="Q105" s="482"/>
      <c r="R105" s="482"/>
    </row>
    <row r="106" spans="17:18" s="486" customFormat="1" ht="18.75" x14ac:dyDescent="0.3">
      <c r="Q106" s="482"/>
      <c r="R106" s="482"/>
    </row>
    <row r="107" spans="17:18" s="486" customFormat="1" ht="18.75" x14ac:dyDescent="0.3">
      <c r="Q107" s="482"/>
      <c r="R107" s="482"/>
    </row>
    <row r="108" spans="17:18" s="486" customFormat="1" ht="18.75" x14ac:dyDescent="0.3">
      <c r="Q108" s="482"/>
      <c r="R108" s="482"/>
    </row>
    <row r="109" spans="17:18" s="486" customFormat="1" ht="18.75" x14ac:dyDescent="0.3">
      <c r="Q109" s="482"/>
      <c r="R109" s="482"/>
    </row>
    <row r="110" spans="17:18" s="486" customFormat="1" ht="18.75" x14ac:dyDescent="0.3">
      <c r="Q110" s="482"/>
      <c r="R110" s="482"/>
    </row>
    <row r="111" spans="17:18" s="525" customFormat="1" ht="15.75" x14ac:dyDescent="0.25">
      <c r="Q111" s="524"/>
      <c r="R111" s="524"/>
    </row>
    <row r="112" spans="17:18" s="525" customFormat="1" ht="15.75" x14ac:dyDescent="0.25">
      <c r="Q112" s="524"/>
      <c r="R112" s="524"/>
    </row>
    <row r="113" spans="17:18" x14ac:dyDescent="0.2">
      <c r="Q113" s="484"/>
      <c r="R113" s="484"/>
    </row>
    <row r="114" spans="17:18" x14ac:dyDescent="0.2">
      <c r="Q114" s="484"/>
      <c r="R114" s="484"/>
    </row>
    <row r="115" spans="17:18" x14ac:dyDescent="0.2">
      <c r="Q115" s="484"/>
      <c r="R115" s="484"/>
    </row>
    <row r="116" spans="17:18" x14ac:dyDescent="0.2">
      <c r="Q116" s="484"/>
      <c r="R116" s="484"/>
    </row>
    <row r="117" spans="17:18" x14ac:dyDescent="0.2">
      <c r="Q117" s="484"/>
      <c r="R117" s="484"/>
    </row>
    <row r="118" spans="17:18" x14ac:dyDescent="0.2">
      <c r="Q118" s="484"/>
      <c r="R118" s="484"/>
    </row>
    <row r="119" spans="17:18" x14ac:dyDescent="0.2">
      <c r="Q119" s="484"/>
      <c r="R119" s="484"/>
    </row>
    <row r="120" spans="17:18" x14ac:dyDescent="0.2">
      <c r="Q120" s="484"/>
      <c r="R120" s="484"/>
    </row>
    <row r="121" spans="17:18" x14ac:dyDescent="0.2">
      <c r="Q121" s="484"/>
      <c r="R121" s="484"/>
    </row>
    <row r="122" spans="17:18" x14ac:dyDescent="0.2">
      <c r="Q122" s="484"/>
      <c r="R122" s="484"/>
    </row>
    <row r="123" spans="17:18" x14ac:dyDescent="0.2">
      <c r="Q123" s="484"/>
      <c r="R123" s="484"/>
    </row>
    <row r="124" spans="17:18" x14ac:dyDescent="0.2">
      <c r="Q124" s="484"/>
      <c r="R124" s="484"/>
    </row>
    <row r="125" spans="17:18" x14ac:dyDescent="0.2">
      <c r="Q125" s="484"/>
      <c r="R125" s="484"/>
    </row>
    <row r="126" spans="17:18" x14ac:dyDescent="0.2">
      <c r="Q126" s="484"/>
      <c r="R126" s="484"/>
    </row>
    <row r="127" spans="17:18" x14ac:dyDescent="0.2">
      <c r="Q127" s="484"/>
      <c r="R127" s="484"/>
    </row>
    <row r="128" spans="17:18" x14ac:dyDescent="0.2">
      <c r="Q128" s="484"/>
      <c r="R128" s="484"/>
    </row>
    <row r="129" spans="17:18" x14ac:dyDescent="0.2">
      <c r="Q129" s="484"/>
      <c r="R129" s="484"/>
    </row>
    <row r="130" spans="17:18" x14ac:dyDescent="0.2">
      <c r="Q130" s="484"/>
      <c r="R130" s="484"/>
    </row>
  </sheetData>
  <mergeCells count="35">
    <mergeCell ref="BF6:BH6"/>
    <mergeCell ref="AF6:AH6"/>
    <mergeCell ref="AI6:AK6"/>
    <mergeCell ref="AL6:AN6"/>
    <mergeCell ref="AO6:AQ6"/>
    <mergeCell ref="AT6:AV6"/>
    <mergeCell ref="AW6:AY6"/>
    <mergeCell ref="B5:D5"/>
    <mergeCell ref="E5:G5"/>
    <mergeCell ref="AZ5:BB5"/>
    <mergeCell ref="BC5:BE5"/>
    <mergeCell ref="Q6:S6"/>
    <mergeCell ref="T6:V6"/>
    <mergeCell ref="W6:Y6"/>
    <mergeCell ref="Z6:AB6"/>
    <mergeCell ref="AC6:AE6"/>
    <mergeCell ref="AZ6:BB6"/>
    <mergeCell ref="BC6:BE6"/>
    <mergeCell ref="AT5:AV5"/>
    <mergeCell ref="AW5:AY5"/>
    <mergeCell ref="B6:D6"/>
    <mergeCell ref="E6:G6"/>
    <mergeCell ref="H6:J6"/>
    <mergeCell ref="K6:M6"/>
    <mergeCell ref="N6:P6"/>
    <mergeCell ref="H5:J5"/>
    <mergeCell ref="K5:M5"/>
    <mergeCell ref="N5:P5"/>
    <mergeCell ref="T5:V5"/>
    <mergeCell ref="BF5:BH5"/>
    <mergeCell ref="Z5:AB5"/>
    <mergeCell ref="AF5:AH5"/>
    <mergeCell ref="AI5:AK5"/>
    <mergeCell ref="AL5:AN5"/>
    <mergeCell ref="AO5:AQ5"/>
  </mergeCells>
  <conditionalFormatting sqref="K35">
    <cfRule type="expression" dxfId="156" priority="289">
      <formula>#REF! ="35≠36+38"</formula>
    </cfRule>
  </conditionalFormatting>
  <conditionalFormatting sqref="K39">
    <cfRule type="expression" dxfId="155" priority="290">
      <formula>#REF! ="39≠40+41+42+43+44"</formula>
    </cfRule>
  </conditionalFormatting>
  <conditionalFormatting sqref="K45">
    <cfRule type="expression" dxfId="154" priority="291">
      <formula>#REF! ="45≠33+34+35+39"</formula>
    </cfRule>
  </conditionalFormatting>
  <conditionalFormatting sqref="K50">
    <cfRule type="expression" dxfId="153" priority="292">
      <formula>#REF! ="50≠51+53"</formula>
    </cfRule>
  </conditionalFormatting>
  <conditionalFormatting sqref="K54">
    <cfRule type="expression" dxfId="152" priority="293">
      <formula>#REF! ="54≠55+56+57+58+59"</formula>
    </cfRule>
  </conditionalFormatting>
  <conditionalFormatting sqref="K60">
    <cfRule type="expression" dxfId="151" priority="294">
      <formula>#REF! ="60≠48+49+50+54"</formula>
    </cfRule>
  </conditionalFormatting>
  <conditionalFormatting sqref="K62">
    <cfRule type="expression" dxfId="150" priority="295">
      <formula>#REF! ="62≠45+46+60+61"</formula>
    </cfRule>
  </conditionalFormatting>
  <conditionalFormatting sqref="K64">
    <cfRule type="expression" dxfId="149" priority="296">
      <formula>#REF! ="64≠29+62"</formula>
    </cfRule>
  </conditionalFormatting>
  <conditionalFormatting sqref="K79">
    <cfRule type="expression" dxfId="148" priority="297">
      <formula>#REF! ="79≠73+74+75+76+77+78"</formula>
    </cfRule>
  </conditionalFormatting>
  <conditionalFormatting sqref="K85">
    <cfRule type="expression" dxfId="147" priority="298">
      <formula>#REF! ="85≠81+82+83+84"</formula>
    </cfRule>
  </conditionalFormatting>
  <conditionalFormatting sqref="K91">
    <cfRule type="expression" dxfId="146" priority="299">
      <formula>#REF! = "64≠94"</formula>
    </cfRule>
  </conditionalFormatting>
  <conditionalFormatting sqref="K91">
    <cfRule type="expression" dxfId="145" priority="300">
      <formula>#REF! = "94≠68+69+71+80+88+89+90+91+92"</formula>
    </cfRule>
  </conditionalFormatting>
  <conditionalFormatting sqref="N35">
    <cfRule type="expression" dxfId="144" priority="265">
      <formula>#REF! ="35≠36+38"</formula>
    </cfRule>
  </conditionalFormatting>
  <conditionalFormatting sqref="N39">
    <cfRule type="expression" dxfId="143" priority="266">
      <formula>#REF! ="39≠40+41+42+43+44"</formula>
    </cfRule>
  </conditionalFormatting>
  <conditionalFormatting sqref="N45">
    <cfRule type="expression" dxfId="142" priority="267">
      <formula>#REF! ="45≠33+34+35+39"</formula>
    </cfRule>
  </conditionalFormatting>
  <conditionalFormatting sqref="N50">
    <cfRule type="expression" dxfId="141" priority="268">
      <formula>#REF! ="50≠51+53"</formula>
    </cfRule>
  </conditionalFormatting>
  <conditionalFormatting sqref="N54">
    <cfRule type="expression" dxfId="140" priority="269">
      <formula>#REF! ="54≠55+56+57+58+59"</formula>
    </cfRule>
  </conditionalFormatting>
  <conditionalFormatting sqref="N60">
    <cfRule type="expression" dxfId="139" priority="270">
      <formula>#REF! ="60≠48+49+50+54"</formula>
    </cfRule>
  </conditionalFormatting>
  <conditionalFormatting sqref="N62">
    <cfRule type="expression" dxfId="138" priority="271">
      <formula>#REF! ="62≠45+46+60+61"</formula>
    </cfRule>
  </conditionalFormatting>
  <conditionalFormatting sqref="N64">
    <cfRule type="expression" dxfId="137" priority="272">
      <formula>#REF! ="64≠29+62"</formula>
    </cfRule>
  </conditionalFormatting>
  <conditionalFormatting sqref="N79">
    <cfRule type="expression" dxfId="136" priority="273">
      <formula>#REF! ="79≠73+74+75+76+77+78"</formula>
    </cfRule>
  </conditionalFormatting>
  <conditionalFormatting sqref="N85">
    <cfRule type="expression" dxfId="135" priority="274">
      <formula>#REF! ="85≠81+82+83+84"</formula>
    </cfRule>
  </conditionalFormatting>
  <conditionalFormatting sqref="N91">
    <cfRule type="expression" dxfId="134" priority="275">
      <formula>#REF! = "64≠94"</formula>
    </cfRule>
  </conditionalFormatting>
  <conditionalFormatting sqref="N91">
    <cfRule type="expression" dxfId="133" priority="276">
      <formula>#REF! = "94≠68+69+71+80+88+89+90+91+92"</formula>
    </cfRule>
  </conditionalFormatting>
  <conditionalFormatting sqref="AC35">
    <cfRule type="expression" dxfId="132" priority="241">
      <formula>#REF! ="35≠36+38"</formula>
    </cfRule>
  </conditionalFormatting>
  <conditionalFormatting sqref="AC39">
    <cfRule type="expression" dxfId="131" priority="242">
      <formula>#REF! ="39≠40+41+42+43+44"</formula>
    </cfRule>
  </conditionalFormatting>
  <conditionalFormatting sqref="AC45">
    <cfRule type="expression" dxfId="130" priority="243">
      <formula>#REF! ="45≠33+34+35+39"</formula>
    </cfRule>
  </conditionalFormatting>
  <conditionalFormatting sqref="AC50">
    <cfRule type="expression" dxfId="129" priority="244">
      <formula>#REF! ="50≠51+53"</formula>
    </cfRule>
  </conditionalFormatting>
  <conditionalFormatting sqref="AC54">
    <cfRule type="expression" dxfId="128" priority="245">
      <formula>#REF! ="54≠55+56+57+58+59"</formula>
    </cfRule>
  </conditionalFormatting>
  <conditionalFormatting sqref="AC60">
    <cfRule type="expression" dxfId="127" priority="246">
      <formula>#REF! ="60≠48+49+50+54"</formula>
    </cfRule>
  </conditionalFormatting>
  <conditionalFormatting sqref="AC62">
    <cfRule type="expression" dxfId="126" priority="247">
      <formula>#REF! ="62≠45+46+60+61"</formula>
    </cfRule>
  </conditionalFormatting>
  <conditionalFormatting sqref="AC64">
    <cfRule type="expression" dxfId="125" priority="248">
      <formula>#REF! ="64≠29+62"</formula>
    </cfRule>
  </conditionalFormatting>
  <conditionalFormatting sqref="AC79">
    <cfRule type="expression" dxfId="124" priority="249">
      <formula>#REF! ="79≠73+74+75+76+77+78"</formula>
    </cfRule>
  </conditionalFormatting>
  <conditionalFormatting sqref="AC85">
    <cfRule type="expression" dxfId="123" priority="250">
      <formula>#REF! ="85≠81+82+83+84"</formula>
    </cfRule>
  </conditionalFormatting>
  <conditionalFormatting sqref="AC91">
    <cfRule type="expression" dxfId="122" priority="251">
      <formula>#REF! = "64≠94"</formula>
    </cfRule>
  </conditionalFormatting>
  <conditionalFormatting sqref="AC91">
    <cfRule type="expression" dxfId="121" priority="252">
      <formula>#REF! = "94≠68+69+71+80+88+89+90+91+92"</formula>
    </cfRule>
  </conditionalFormatting>
  <conditionalFormatting sqref="Q35">
    <cfRule type="expression" dxfId="120" priority="217">
      <formula>#REF! ="35≠36+38"</formula>
    </cfRule>
  </conditionalFormatting>
  <conditionalFormatting sqref="Q39">
    <cfRule type="expression" dxfId="119" priority="218">
      <formula>#REF! ="39≠40+41+42+43+44"</formula>
    </cfRule>
  </conditionalFormatting>
  <conditionalFormatting sqref="Q45">
    <cfRule type="expression" dxfId="118" priority="219">
      <formula>#REF! ="45≠33+34+35+39"</formula>
    </cfRule>
  </conditionalFormatting>
  <conditionalFormatting sqref="Q50">
    <cfRule type="expression" dxfId="117" priority="220">
      <formula>#REF! ="50≠51+53"</formula>
    </cfRule>
  </conditionalFormatting>
  <conditionalFormatting sqref="Q54">
    <cfRule type="expression" dxfId="116" priority="221">
      <formula>#REF! ="54≠55+56+57+58+59"</formula>
    </cfRule>
  </conditionalFormatting>
  <conditionalFormatting sqref="Q60">
    <cfRule type="expression" dxfId="115" priority="222">
      <formula>#REF! ="60≠48+49+50+54"</formula>
    </cfRule>
  </conditionalFormatting>
  <conditionalFormatting sqref="Q62">
    <cfRule type="expression" dxfId="114" priority="223">
      <formula>#REF! ="62≠45+46+60+61"</formula>
    </cfRule>
  </conditionalFormatting>
  <conditionalFormatting sqref="Q64">
    <cfRule type="expression" dxfId="113" priority="224">
      <formula>#REF! ="64≠29+62"</formula>
    </cfRule>
  </conditionalFormatting>
  <conditionalFormatting sqref="Q79">
    <cfRule type="expression" dxfId="112" priority="225">
      <formula>#REF! ="79≠73+74+75+76+77+78"</formula>
    </cfRule>
  </conditionalFormatting>
  <conditionalFormatting sqref="Q85">
    <cfRule type="expression" dxfId="111" priority="226">
      <formula>#REF! ="85≠81+82+83+84"</formula>
    </cfRule>
  </conditionalFormatting>
  <conditionalFormatting sqref="Q91">
    <cfRule type="expression" dxfId="110" priority="227">
      <formula>#REF! = "64≠94"</formula>
    </cfRule>
  </conditionalFormatting>
  <conditionalFormatting sqref="Q91">
    <cfRule type="expression" dxfId="109" priority="228">
      <formula>#REF! = "94≠68+69+71+80+88+89+90+91+92"</formula>
    </cfRule>
  </conditionalFormatting>
  <conditionalFormatting sqref="T35">
    <cfRule type="expression" dxfId="108" priority="193">
      <formula>#REF! ="35≠36+38"</formula>
    </cfRule>
  </conditionalFormatting>
  <conditionalFormatting sqref="T39">
    <cfRule type="expression" dxfId="107" priority="194">
      <formula>#REF! ="39≠40+41+42+43+44"</formula>
    </cfRule>
  </conditionalFormatting>
  <conditionalFormatting sqref="T45">
    <cfRule type="expression" dxfId="106" priority="195">
      <formula>#REF! ="45≠33+34+35+39"</formula>
    </cfRule>
  </conditionalFormatting>
  <conditionalFormatting sqref="T50">
    <cfRule type="expression" dxfId="105" priority="196">
      <formula>#REF! ="50≠51+53"</formula>
    </cfRule>
  </conditionalFormatting>
  <conditionalFormatting sqref="T54">
    <cfRule type="expression" dxfId="104" priority="197">
      <formula>#REF! ="54≠55+56+57+58+59"</formula>
    </cfRule>
  </conditionalFormatting>
  <conditionalFormatting sqref="T60">
    <cfRule type="expression" dxfId="103" priority="198">
      <formula>#REF! ="60≠48+49+50+54"</formula>
    </cfRule>
  </conditionalFormatting>
  <conditionalFormatting sqref="T62">
    <cfRule type="expression" dxfId="102" priority="199">
      <formula>#REF! ="62≠45+46+60+61"</formula>
    </cfRule>
  </conditionalFormatting>
  <conditionalFormatting sqref="T64">
    <cfRule type="expression" dxfId="101" priority="200">
      <formula>#REF! ="64≠29+62"</formula>
    </cfRule>
  </conditionalFormatting>
  <conditionalFormatting sqref="T79">
    <cfRule type="expression" dxfId="100" priority="201">
      <formula>#REF! ="79≠73+74+75+76+77+78"</formula>
    </cfRule>
  </conditionalFormatting>
  <conditionalFormatting sqref="T85">
    <cfRule type="expression" dxfId="99" priority="202">
      <formula>#REF! ="85≠81+82+83+84"</formula>
    </cfRule>
  </conditionalFormatting>
  <conditionalFormatting sqref="T91">
    <cfRule type="expression" dxfId="98" priority="203">
      <formula>#REF! = "64≠94"</formula>
    </cfRule>
  </conditionalFormatting>
  <conditionalFormatting sqref="T91">
    <cfRule type="expression" dxfId="97" priority="204">
      <formula>#REF! = "94≠68+69+71+80+88+89+90+91+92"</formula>
    </cfRule>
  </conditionalFormatting>
  <conditionalFormatting sqref="W35">
    <cfRule type="expression" dxfId="96" priority="169">
      <formula>#REF! ="35≠36+38"</formula>
    </cfRule>
  </conditionalFormatting>
  <conditionalFormatting sqref="W39">
    <cfRule type="expression" dxfId="95" priority="170">
      <formula>#REF! ="39≠40+41+42+43+44"</formula>
    </cfRule>
  </conditionalFormatting>
  <conditionalFormatting sqref="W45">
    <cfRule type="expression" dxfId="94" priority="171">
      <formula>#REF! ="45≠33+34+35+39"</formula>
    </cfRule>
  </conditionalFormatting>
  <conditionalFormatting sqref="W50">
    <cfRule type="expression" dxfId="93" priority="172">
      <formula>#REF! ="50≠51+53"</formula>
    </cfRule>
  </conditionalFormatting>
  <conditionalFormatting sqref="W54">
    <cfRule type="expression" dxfId="92" priority="173">
      <formula>#REF! ="54≠55+56+57+58+59"</formula>
    </cfRule>
  </conditionalFormatting>
  <conditionalFormatting sqref="W60">
    <cfRule type="expression" dxfId="91" priority="174">
      <formula>#REF! ="60≠48+49+50+54"</formula>
    </cfRule>
  </conditionalFormatting>
  <conditionalFormatting sqref="W62">
    <cfRule type="expression" dxfId="90" priority="175">
      <formula>#REF! ="62≠45+46+60+61"</formula>
    </cfRule>
  </conditionalFormatting>
  <conditionalFormatting sqref="W64">
    <cfRule type="expression" dxfId="89" priority="176">
      <formula>#REF! ="64≠29+62"</formula>
    </cfRule>
  </conditionalFormatting>
  <conditionalFormatting sqref="W79">
    <cfRule type="expression" dxfId="88" priority="177">
      <formula>#REF! ="79≠73+74+75+76+77+78"</formula>
    </cfRule>
  </conditionalFormatting>
  <conditionalFormatting sqref="W85">
    <cfRule type="expression" dxfId="87" priority="178">
      <formula>#REF! ="85≠81+82+83+84"</formula>
    </cfRule>
  </conditionalFormatting>
  <conditionalFormatting sqref="W91">
    <cfRule type="expression" dxfId="86" priority="179">
      <formula>#REF! = "64≠94"</formula>
    </cfRule>
  </conditionalFormatting>
  <conditionalFormatting sqref="W91">
    <cfRule type="expression" dxfId="85" priority="180">
      <formula>#REF! = "94≠68+69+71+80+88+89+90+91+92"</formula>
    </cfRule>
  </conditionalFormatting>
  <conditionalFormatting sqref="AF35">
    <cfRule type="expression" dxfId="84" priority="145">
      <formula>#REF! ="35≠36+38"</formula>
    </cfRule>
  </conditionalFormatting>
  <conditionalFormatting sqref="AF39">
    <cfRule type="expression" dxfId="83" priority="146">
      <formula>#REF! ="39≠40+41+42+43+44"</formula>
    </cfRule>
  </conditionalFormatting>
  <conditionalFormatting sqref="AF45">
    <cfRule type="expression" dxfId="82" priority="147">
      <formula>#REF! ="45≠33+34+35+39"</formula>
    </cfRule>
  </conditionalFormatting>
  <conditionalFormatting sqref="AF50">
    <cfRule type="expression" dxfId="81" priority="148">
      <formula>#REF! ="50≠51+53"</formula>
    </cfRule>
  </conditionalFormatting>
  <conditionalFormatting sqref="AF54">
    <cfRule type="expression" dxfId="80" priority="149">
      <formula>#REF! ="54≠55+56+57+58+59"</formula>
    </cfRule>
  </conditionalFormatting>
  <conditionalFormatting sqref="AF60">
    <cfRule type="expression" dxfId="79" priority="150">
      <formula>#REF! ="60≠48+49+50+54"</formula>
    </cfRule>
  </conditionalFormatting>
  <conditionalFormatting sqref="AF62">
    <cfRule type="expression" dxfId="78" priority="151">
      <formula>#REF! ="62≠45+46+60+61"</formula>
    </cfRule>
  </conditionalFormatting>
  <conditionalFormatting sqref="AF64">
    <cfRule type="expression" dxfId="77" priority="152">
      <formula>#REF! ="64≠29+62"</formula>
    </cfRule>
  </conditionalFormatting>
  <conditionalFormatting sqref="AF79">
    <cfRule type="expression" dxfId="76" priority="153">
      <formula>#REF! ="79≠73+74+75+76+77+78"</formula>
    </cfRule>
  </conditionalFormatting>
  <conditionalFormatting sqref="AF85">
    <cfRule type="expression" dxfId="75" priority="154">
      <formula>#REF! ="85≠81+82+83+84"</formula>
    </cfRule>
  </conditionalFormatting>
  <conditionalFormatting sqref="AF91">
    <cfRule type="expression" dxfId="74" priority="155">
      <formula>#REF! = "64≠94"</formula>
    </cfRule>
  </conditionalFormatting>
  <conditionalFormatting sqref="AF91">
    <cfRule type="expression" dxfId="73" priority="156">
      <formula>#REF! = "94≠68+69+71+80+88+89+90+91+92"</formula>
    </cfRule>
  </conditionalFormatting>
  <conditionalFormatting sqref="AI35">
    <cfRule type="expression" dxfId="72" priority="121">
      <formula>#REF! ="35≠36+38"</formula>
    </cfRule>
  </conditionalFormatting>
  <conditionalFormatting sqref="AI39">
    <cfRule type="expression" dxfId="71" priority="122">
      <formula>#REF! ="39≠40+41+42+43+44"</formula>
    </cfRule>
  </conditionalFormatting>
  <conditionalFormatting sqref="AI45">
    <cfRule type="expression" dxfId="70" priority="123">
      <formula>#REF! ="45≠33+34+35+39"</formula>
    </cfRule>
  </conditionalFormatting>
  <conditionalFormatting sqref="AI50">
    <cfRule type="expression" dxfId="69" priority="124">
      <formula>#REF! ="50≠51+53"</formula>
    </cfRule>
  </conditionalFormatting>
  <conditionalFormatting sqref="AI54">
    <cfRule type="expression" dxfId="68" priority="125">
      <formula>#REF! ="54≠55+56+57+58+59"</formula>
    </cfRule>
  </conditionalFormatting>
  <conditionalFormatting sqref="AI60">
    <cfRule type="expression" dxfId="67" priority="126">
      <formula>#REF! ="60≠48+49+50+54"</formula>
    </cfRule>
  </conditionalFormatting>
  <conditionalFormatting sqref="AI62">
    <cfRule type="expression" dxfId="66" priority="127">
      <formula>#REF! ="62≠45+46+60+61"</formula>
    </cfRule>
  </conditionalFormatting>
  <conditionalFormatting sqref="AI64">
    <cfRule type="expression" dxfId="65" priority="128">
      <formula>#REF! ="64≠29+62"</formula>
    </cfRule>
  </conditionalFormatting>
  <conditionalFormatting sqref="AI79">
    <cfRule type="expression" dxfId="64" priority="129">
      <formula>#REF! ="79≠73+74+75+76+77+78"</formula>
    </cfRule>
  </conditionalFormatting>
  <conditionalFormatting sqref="AI85">
    <cfRule type="expression" dxfId="63" priority="130">
      <formula>#REF! ="85≠81+82+83+84"</formula>
    </cfRule>
  </conditionalFormatting>
  <conditionalFormatting sqref="AI91">
    <cfRule type="expression" dxfId="62" priority="131">
      <formula>#REF! = "64≠94"</formula>
    </cfRule>
  </conditionalFormatting>
  <conditionalFormatting sqref="AI91">
    <cfRule type="expression" dxfId="61" priority="132">
      <formula>#REF! = "94≠68+69+71+80+88+89+90+91+92"</formula>
    </cfRule>
  </conditionalFormatting>
  <conditionalFormatting sqref="Z35">
    <cfRule type="expression" dxfId="60" priority="97">
      <formula>#REF! ="35≠36+38"</formula>
    </cfRule>
  </conditionalFormatting>
  <conditionalFormatting sqref="Z39">
    <cfRule type="expression" dxfId="59" priority="98">
      <formula>#REF! ="39≠40+41+42+43+44"</formula>
    </cfRule>
  </conditionalFormatting>
  <conditionalFormatting sqref="Z45">
    <cfRule type="expression" dxfId="58" priority="99">
      <formula>#REF! ="45≠33+34+35+39"</formula>
    </cfRule>
  </conditionalFormatting>
  <conditionalFormatting sqref="Z50">
    <cfRule type="expression" dxfId="57" priority="100">
      <formula>#REF! ="50≠51+53"</formula>
    </cfRule>
  </conditionalFormatting>
  <conditionalFormatting sqref="Z54">
    <cfRule type="expression" dxfId="56" priority="101">
      <formula>#REF! ="54≠55+56+57+58+59"</formula>
    </cfRule>
  </conditionalFormatting>
  <conditionalFormatting sqref="Z60">
    <cfRule type="expression" dxfId="55" priority="102">
      <formula>#REF! ="60≠48+49+50+54"</formula>
    </cfRule>
  </conditionalFormatting>
  <conditionalFormatting sqref="Z62">
    <cfRule type="expression" dxfId="54" priority="103">
      <formula>#REF! ="62≠45+46+60+61"</formula>
    </cfRule>
  </conditionalFormatting>
  <conditionalFormatting sqref="Z64">
    <cfRule type="expression" dxfId="53" priority="104">
      <formula>#REF! ="64≠29+62"</formula>
    </cfRule>
  </conditionalFormatting>
  <conditionalFormatting sqref="Z79">
    <cfRule type="expression" dxfId="52" priority="105">
      <formula>#REF! ="79≠73+74+75+76+77+78"</formula>
    </cfRule>
  </conditionalFormatting>
  <conditionalFormatting sqref="Z85">
    <cfRule type="expression" dxfId="51" priority="106">
      <formula>#REF! ="85≠81+82+83+84"</formula>
    </cfRule>
  </conditionalFormatting>
  <conditionalFormatting sqref="Z91">
    <cfRule type="expression" dxfId="50" priority="107">
      <formula>#REF! = "64≠94"</formula>
    </cfRule>
  </conditionalFormatting>
  <conditionalFormatting sqref="Z91">
    <cfRule type="expression" dxfId="49" priority="108">
      <formula>#REF! = "94≠68+69+71+80+88+89+90+91+92"</formula>
    </cfRule>
  </conditionalFormatting>
  <conditionalFormatting sqref="H35">
    <cfRule type="expression" dxfId="48" priority="73">
      <formula>#REF! ="35≠36+38"</formula>
    </cfRule>
  </conditionalFormatting>
  <conditionalFormatting sqref="H39">
    <cfRule type="expression" dxfId="47" priority="74">
      <formula>#REF! ="39≠40+41+42+43+44"</formula>
    </cfRule>
  </conditionalFormatting>
  <conditionalFormatting sqref="H45">
    <cfRule type="expression" dxfId="46" priority="75">
      <formula>#REF! ="45≠33+34+35+39"</formula>
    </cfRule>
  </conditionalFormatting>
  <conditionalFormatting sqref="H50">
    <cfRule type="expression" dxfId="45" priority="76">
      <formula>#REF! ="50≠51+53"</formula>
    </cfRule>
  </conditionalFormatting>
  <conditionalFormatting sqref="H54">
    <cfRule type="expression" dxfId="44" priority="77">
      <formula>#REF! ="54≠55+56+57+58+59"</formula>
    </cfRule>
  </conditionalFormatting>
  <conditionalFormatting sqref="H60">
    <cfRule type="expression" dxfId="43" priority="78">
      <formula>#REF! ="60≠48+49+50+54"</formula>
    </cfRule>
  </conditionalFormatting>
  <conditionalFormatting sqref="H62">
    <cfRule type="expression" dxfId="42" priority="79">
      <formula>#REF! ="62≠45+46+60+61"</formula>
    </cfRule>
  </conditionalFormatting>
  <conditionalFormatting sqref="H64">
    <cfRule type="expression" dxfId="41" priority="80">
      <formula>#REF! ="64≠29+62"</formula>
    </cfRule>
  </conditionalFormatting>
  <conditionalFormatting sqref="H79">
    <cfRule type="expression" dxfId="40" priority="81">
      <formula>#REF! ="79≠73+74+75+76+77+78"</formula>
    </cfRule>
  </conditionalFormatting>
  <conditionalFormatting sqref="H85">
    <cfRule type="expression" dxfId="39" priority="82">
      <formula>#REF! ="85≠81+82+83+84"</formula>
    </cfRule>
  </conditionalFormatting>
  <conditionalFormatting sqref="H91">
    <cfRule type="expression" dxfId="38" priority="83">
      <formula>#REF! = "64≠94"</formula>
    </cfRule>
  </conditionalFormatting>
  <conditionalFormatting sqref="H91">
    <cfRule type="expression" dxfId="37" priority="84">
      <formula>#REF! = "94≠68+69+71+80+88+89+90+91+92"</formula>
    </cfRule>
  </conditionalFormatting>
  <conditionalFormatting sqref="B35">
    <cfRule type="expression" dxfId="36" priority="49">
      <formula>#REF! ="35≠36+38"</formula>
    </cfRule>
  </conditionalFormatting>
  <conditionalFormatting sqref="B39">
    <cfRule type="expression" dxfId="35" priority="50">
      <formula>#REF! ="39≠40+41+42+43+44"</formula>
    </cfRule>
  </conditionalFormatting>
  <conditionalFormatting sqref="B45">
    <cfRule type="expression" dxfId="34" priority="51">
      <formula>#REF! ="45≠33+34+35+39"</formula>
    </cfRule>
  </conditionalFormatting>
  <conditionalFormatting sqref="B50">
    <cfRule type="expression" dxfId="33" priority="52">
      <formula>#REF! ="50≠51+53"</formula>
    </cfRule>
  </conditionalFormatting>
  <conditionalFormatting sqref="B54">
    <cfRule type="expression" dxfId="32" priority="53">
      <formula>#REF! ="54≠55+56+57+58+59"</formula>
    </cfRule>
  </conditionalFormatting>
  <conditionalFormatting sqref="B60">
    <cfRule type="expression" dxfId="31" priority="54">
      <formula>#REF! ="60≠48+49+50+54"</formula>
    </cfRule>
  </conditionalFormatting>
  <conditionalFormatting sqref="B62">
    <cfRule type="expression" dxfId="30" priority="55">
      <formula>#REF! ="62≠45+46+60+61"</formula>
    </cfRule>
  </conditionalFormatting>
  <conditionalFormatting sqref="B64">
    <cfRule type="expression" dxfId="29" priority="56">
      <formula>#REF! ="64≠29+62"</formula>
    </cfRule>
  </conditionalFormatting>
  <conditionalFormatting sqref="B79">
    <cfRule type="expression" dxfId="28" priority="57">
      <formula>#REF! ="79≠73+74+75+76+77+78"</formula>
    </cfRule>
  </conditionalFormatting>
  <conditionalFormatting sqref="B85">
    <cfRule type="expression" dxfId="27" priority="58">
      <formula>#REF! ="85≠81+82+83+84"</formula>
    </cfRule>
  </conditionalFormatting>
  <conditionalFormatting sqref="B91">
    <cfRule type="expression" dxfId="26" priority="59">
      <formula>#REF! = "64≠94"</formula>
    </cfRule>
  </conditionalFormatting>
  <conditionalFormatting sqref="B91">
    <cfRule type="expression" dxfId="25" priority="60">
      <formula>#REF! = "94≠68+69+71+80+88+89+90+91+92"</formula>
    </cfRule>
  </conditionalFormatting>
  <conditionalFormatting sqref="E35">
    <cfRule type="expression" dxfId="24" priority="25">
      <formula>#REF! ="35≠36+38"</formula>
    </cfRule>
  </conditionalFormatting>
  <conditionalFormatting sqref="E39">
    <cfRule type="expression" dxfId="23" priority="26">
      <formula>#REF! ="39≠40+41+42+43+44"</formula>
    </cfRule>
  </conditionalFormatting>
  <conditionalFormatting sqref="E45">
    <cfRule type="expression" dxfId="22" priority="27">
      <formula>#REF! ="45≠33+34+35+39"</formula>
    </cfRule>
  </conditionalFormatting>
  <conditionalFormatting sqref="E50">
    <cfRule type="expression" dxfId="21" priority="28">
      <formula>#REF! ="50≠51+53"</formula>
    </cfRule>
  </conditionalFormatting>
  <conditionalFormatting sqref="E54">
    <cfRule type="expression" dxfId="20" priority="29">
      <formula>#REF! ="54≠55+56+57+58+59"</formula>
    </cfRule>
  </conditionalFormatting>
  <conditionalFormatting sqref="E60">
    <cfRule type="expression" dxfId="19" priority="30">
      <formula>#REF! ="60≠48+49+50+54"</formula>
    </cfRule>
  </conditionalFormatting>
  <conditionalFormatting sqref="E62">
    <cfRule type="expression" dxfId="18" priority="31">
      <formula>#REF! ="62≠45+46+60+61"</formula>
    </cfRule>
  </conditionalFormatting>
  <conditionalFormatting sqref="E64">
    <cfRule type="expression" dxfId="17" priority="32">
      <formula>#REF! ="64≠29+62"</formula>
    </cfRule>
  </conditionalFormatting>
  <conditionalFormatting sqref="E79">
    <cfRule type="expression" dxfId="16" priority="33">
      <formula>#REF! ="79≠73+74+75+76+77+78"</formula>
    </cfRule>
  </conditionalFormatting>
  <conditionalFormatting sqref="E85">
    <cfRule type="expression" dxfId="15" priority="34">
      <formula>#REF! ="85≠81+82+83+84"</formula>
    </cfRule>
  </conditionalFormatting>
  <conditionalFormatting sqref="E91">
    <cfRule type="expression" dxfId="14" priority="35">
      <formula>#REF! = "64≠94"</formula>
    </cfRule>
  </conditionalFormatting>
  <conditionalFormatting sqref="E91">
    <cfRule type="expression" dxfId="13" priority="36">
      <formula>#REF! = "94≠68+69+71+80+88+89+90+91+92"</formula>
    </cfRule>
  </conditionalFormatting>
  <conditionalFormatting sqref="AL35:AM35 AO35:AP35">
    <cfRule type="expression" dxfId="12" priority="334">
      <formula>#REF! ="35≠36+38"</formula>
    </cfRule>
  </conditionalFormatting>
  <conditionalFormatting sqref="L39 O39 AD39 R39 U39 X39 AG39 AJ39 AA39 I39 C39 F39 AL39:AM39 AO39:AP39">
    <cfRule type="expression" dxfId="11" priority="336">
      <formula>#REF! ="39≠40+41+42+43+44"</formula>
    </cfRule>
  </conditionalFormatting>
  <conditionalFormatting sqref="L45 O45 AD45 R45 U45 X45 AG45 AJ45 AA45 I45 C45 F45 AL45:AM45 AO45:AP45">
    <cfRule type="expression" dxfId="10" priority="338">
      <formula>#REF! ="45≠33+34+35+39"</formula>
    </cfRule>
  </conditionalFormatting>
  <conditionalFormatting sqref="L50 O50 AD50 R50 U50 X50 AG50 AJ50 AA50 I50 C50 F50 AL50:AM50 AO50:AP50">
    <cfRule type="expression" dxfId="9" priority="340">
      <formula>#REF! ="50≠51+53"</formula>
    </cfRule>
  </conditionalFormatting>
  <conditionalFormatting sqref="L54 O54 AD54 R54 U54 X54 AG54 AJ54 AA54 I54 C54 F54 AL54:AM54 AO54:AP54">
    <cfRule type="expression" dxfId="8" priority="342">
      <formula>#REF! ="54≠55+56+57+58+59"</formula>
    </cfRule>
  </conditionalFormatting>
  <conditionalFormatting sqref="L60 O60 AD60 R60 U60 X60 AG60 AJ60 AA60 I60 C60 F60 AL60:AM60 AO60:AP60">
    <cfRule type="expression" dxfId="7" priority="344">
      <formula>#REF! ="60≠48+49+50+54"</formula>
    </cfRule>
  </conditionalFormatting>
  <conditionalFormatting sqref="L62 O62 AD62 R62 U62 X62 AG62 AJ62 AA62 I62 C62 F62 AL62:AM62 AO62:AP62">
    <cfRule type="expression" dxfId="6" priority="346">
      <formula>#REF! ="62≠45+46+60+61"</formula>
    </cfRule>
  </conditionalFormatting>
  <conditionalFormatting sqref="L64 O64 AD64 R64 U64 X64 AG64 AJ64 AA64 I64 C64 F64 AL64:AM64 AO64:AP64">
    <cfRule type="expression" dxfId="5" priority="348">
      <formula>#REF! ="64≠29+62"</formula>
    </cfRule>
  </conditionalFormatting>
  <conditionalFormatting sqref="L79 O79 AD79 R79 U79 X79 AG79 AJ79 AA79 I79 C79 F79 AL79:AM79 AO79:AP79">
    <cfRule type="expression" dxfId="4" priority="350">
      <formula>#REF! ="80≠73+74+75+76+77+78+79"</formula>
    </cfRule>
  </conditionalFormatting>
  <conditionalFormatting sqref="L85 O85 AD85 R85 U85 X85 AG85 AJ85 AA85 I85 C85 F85 AL85:AM85 AO85:AP85">
    <cfRule type="expression" dxfId="3" priority="352">
      <formula>#REF! ="88≠82+83+84+85+86+87"</formula>
    </cfRule>
  </conditionalFormatting>
  <conditionalFormatting sqref="L91 O91 AD91 R91 U91 X91 AG91 AJ91 AA91 I91 C91 F91 AL91:AM91 AO91:AP91">
    <cfRule type="expression" dxfId="2" priority="354">
      <formula>#REF! = "64≠94"</formula>
    </cfRule>
  </conditionalFormatting>
  <conditionalFormatting sqref="L91 O91 AD91 R91 U91 X91 AG91 AJ91 AA91 I91 C91 F91 AL91:AM91 AO91:AP91">
    <cfRule type="expression" dxfId="1" priority="356">
      <formula>#REF! = "94≠68+69+71+80+88+89+90+91+92"</formula>
    </cfRule>
  </conditionalFormatting>
  <conditionalFormatting sqref="L35 O35 AD35 R35 U35 X35 AG35 AJ35 AA35 I35 C35 F35">
    <cfRule type="expression" dxfId="0" priority="358">
      <formula>#REF! ="35≠36+38"</formula>
    </cfRule>
  </conditionalFormatting>
  <hyperlinks>
    <hyperlink ref="B1" location="Innhold!A1" display="Tilbake" xr:uid="{00000000-0004-0000-22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38F5E-F813-48B0-818A-D9E833A8512D}">
  <dimension ref="A1:AY46"/>
  <sheetViews>
    <sheetView showGridLines="0" zoomScale="60" zoomScaleNormal="60" workbookViewId="0">
      <selection activeCell="A4" sqref="A4"/>
    </sheetView>
  </sheetViews>
  <sheetFormatPr baseColWidth="10" defaultColWidth="11.42578125" defaultRowHeight="12.75" x14ac:dyDescent="0.2"/>
  <cols>
    <col min="1" max="1" width="62" style="646" customWidth="1"/>
    <col min="2" max="34" width="11.7109375" style="646" customWidth="1"/>
    <col min="35" max="253" width="11.42578125" style="646"/>
    <col min="254" max="254" width="62" style="646" customWidth="1"/>
    <col min="255" max="290" width="11.7109375" style="646" customWidth="1"/>
    <col min="291" max="509" width="11.42578125" style="646"/>
    <col min="510" max="510" width="62" style="646" customWidth="1"/>
    <col min="511" max="546" width="11.7109375" style="646" customWidth="1"/>
    <col min="547" max="765" width="11.42578125" style="646"/>
    <col min="766" max="766" width="62" style="646" customWidth="1"/>
    <col min="767" max="802" width="11.7109375" style="646" customWidth="1"/>
    <col min="803" max="1021" width="11.42578125" style="646"/>
    <col min="1022" max="1022" width="62" style="646" customWidth="1"/>
    <col min="1023" max="1058" width="11.7109375" style="646" customWidth="1"/>
    <col min="1059" max="1277" width="11.42578125" style="646"/>
    <col min="1278" max="1278" width="62" style="646" customWidth="1"/>
    <col min="1279" max="1314" width="11.7109375" style="646" customWidth="1"/>
    <col min="1315" max="1533" width="11.42578125" style="646"/>
    <col min="1534" max="1534" width="62" style="646" customWidth="1"/>
    <col min="1535" max="1570" width="11.7109375" style="646" customWidth="1"/>
    <col min="1571" max="1789" width="11.42578125" style="646"/>
    <col min="1790" max="1790" width="62" style="646" customWidth="1"/>
    <col min="1791" max="1826" width="11.7109375" style="646" customWidth="1"/>
    <col min="1827" max="2045" width="11.42578125" style="646"/>
    <col min="2046" max="2046" width="62" style="646" customWidth="1"/>
    <col min="2047" max="2082" width="11.7109375" style="646" customWidth="1"/>
    <col min="2083" max="2301" width="11.42578125" style="646"/>
    <col min="2302" max="2302" width="62" style="646" customWidth="1"/>
    <col min="2303" max="2338" width="11.7109375" style="646" customWidth="1"/>
    <col min="2339" max="2557" width="11.42578125" style="646"/>
    <col min="2558" max="2558" width="62" style="646" customWidth="1"/>
    <col min="2559" max="2594" width="11.7109375" style="646" customWidth="1"/>
    <col min="2595" max="2813" width="11.42578125" style="646"/>
    <col min="2814" max="2814" width="62" style="646" customWidth="1"/>
    <col min="2815" max="2850" width="11.7109375" style="646" customWidth="1"/>
    <col min="2851" max="3069" width="11.42578125" style="646"/>
    <col min="3070" max="3070" width="62" style="646" customWidth="1"/>
    <col min="3071" max="3106" width="11.7109375" style="646" customWidth="1"/>
    <col min="3107" max="3325" width="11.42578125" style="646"/>
    <col min="3326" max="3326" width="62" style="646" customWidth="1"/>
    <col min="3327" max="3362" width="11.7109375" style="646" customWidth="1"/>
    <col min="3363" max="3581" width="11.42578125" style="646"/>
    <col min="3582" max="3582" width="62" style="646" customWidth="1"/>
    <col min="3583" max="3618" width="11.7109375" style="646" customWidth="1"/>
    <col min="3619" max="3837" width="11.42578125" style="646"/>
    <col min="3838" max="3838" width="62" style="646" customWidth="1"/>
    <col min="3839" max="3874" width="11.7109375" style="646" customWidth="1"/>
    <col min="3875" max="4093" width="11.42578125" style="646"/>
    <col min="4094" max="4094" width="62" style="646" customWidth="1"/>
    <col min="4095" max="4130" width="11.7109375" style="646" customWidth="1"/>
    <col min="4131" max="4349" width="11.42578125" style="646"/>
    <col min="4350" max="4350" width="62" style="646" customWidth="1"/>
    <col min="4351" max="4386" width="11.7109375" style="646" customWidth="1"/>
    <col min="4387" max="4605" width="11.42578125" style="646"/>
    <col min="4606" max="4606" width="62" style="646" customWidth="1"/>
    <col min="4607" max="4642" width="11.7109375" style="646" customWidth="1"/>
    <col min="4643" max="4861" width="11.42578125" style="646"/>
    <col min="4862" max="4862" width="62" style="646" customWidth="1"/>
    <col min="4863" max="4898" width="11.7109375" style="646" customWidth="1"/>
    <col min="4899" max="5117" width="11.42578125" style="646"/>
    <col min="5118" max="5118" width="62" style="646" customWidth="1"/>
    <col min="5119" max="5154" width="11.7109375" style="646" customWidth="1"/>
    <col min="5155" max="5373" width="11.42578125" style="646"/>
    <col min="5374" max="5374" width="62" style="646" customWidth="1"/>
    <col min="5375" max="5410" width="11.7109375" style="646" customWidth="1"/>
    <col min="5411" max="5629" width="11.42578125" style="646"/>
    <col min="5630" max="5630" width="62" style="646" customWidth="1"/>
    <col min="5631" max="5666" width="11.7109375" style="646" customWidth="1"/>
    <col min="5667" max="5885" width="11.42578125" style="646"/>
    <col min="5886" max="5886" width="62" style="646" customWidth="1"/>
    <col min="5887" max="5922" width="11.7109375" style="646" customWidth="1"/>
    <col min="5923" max="6141" width="11.42578125" style="646"/>
    <col min="6142" max="6142" width="62" style="646" customWidth="1"/>
    <col min="6143" max="6178" width="11.7109375" style="646" customWidth="1"/>
    <col min="6179" max="6397" width="11.42578125" style="646"/>
    <col min="6398" max="6398" width="62" style="646" customWidth="1"/>
    <col min="6399" max="6434" width="11.7109375" style="646" customWidth="1"/>
    <col min="6435" max="6653" width="11.42578125" style="646"/>
    <col min="6654" max="6654" width="62" style="646" customWidth="1"/>
    <col min="6655" max="6690" width="11.7109375" style="646" customWidth="1"/>
    <col min="6691" max="6909" width="11.42578125" style="646"/>
    <col min="6910" max="6910" width="62" style="646" customWidth="1"/>
    <col min="6911" max="6946" width="11.7109375" style="646" customWidth="1"/>
    <col min="6947" max="7165" width="11.42578125" style="646"/>
    <col min="7166" max="7166" width="62" style="646" customWidth="1"/>
    <col min="7167" max="7202" width="11.7109375" style="646" customWidth="1"/>
    <col min="7203" max="7421" width="11.42578125" style="646"/>
    <col min="7422" max="7422" width="62" style="646" customWidth="1"/>
    <col min="7423" max="7458" width="11.7109375" style="646" customWidth="1"/>
    <col min="7459" max="7677" width="11.42578125" style="646"/>
    <col min="7678" max="7678" width="62" style="646" customWidth="1"/>
    <col min="7679" max="7714" width="11.7109375" style="646" customWidth="1"/>
    <col min="7715" max="7933" width="11.42578125" style="646"/>
    <col min="7934" max="7934" width="62" style="646" customWidth="1"/>
    <col min="7935" max="7970" width="11.7109375" style="646" customWidth="1"/>
    <col min="7971" max="8189" width="11.42578125" style="646"/>
    <col min="8190" max="8190" width="62" style="646" customWidth="1"/>
    <col min="8191" max="8226" width="11.7109375" style="646" customWidth="1"/>
    <col min="8227" max="8445" width="11.42578125" style="646"/>
    <col min="8446" max="8446" width="62" style="646" customWidth="1"/>
    <col min="8447" max="8482" width="11.7109375" style="646" customWidth="1"/>
    <col min="8483" max="8701" width="11.42578125" style="646"/>
    <col min="8702" max="8702" width="62" style="646" customWidth="1"/>
    <col min="8703" max="8738" width="11.7109375" style="646" customWidth="1"/>
    <col min="8739" max="8957" width="11.42578125" style="646"/>
    <col min="8958" max="8958" width="62" style="646" customWidth="1"/>
    <col min="8959" max="8994" width="11.7109375" style="646" customWidth="1"/>
    <col min="8995" max="9213" width="11.42578125" style="646"/>
    <col min="9214" max="9214" width="62" style="646" customWidth="1"/>
    <col min="9215" max="9250" width="11.7109375" style="646" customWidth="1"/>
    <col min="9251" max="9469" width="11.42578125" style="646"/>
    <col min="9470" max="9470" width="62" style="646" customWidth="1"/>
    <col min="9471" max="9506" width="11.7109375" style="646" customWidth="1"/>
    <col min="9507" max="9725" width="11.42578125" style="646"/>
    <col min="9726" max="9726" width="62" style="646" customWidth="1"/>
    <col min="9727" max="9762" width="11.7109375" style="646" customWidth="1"/>
    <col min="9763" max="9981" width="11.42578125" style="646"/>
    <col min="9982" max="9982" width="62" style="646" customWidth="1"/>
    <col min="9983" max="10018" width="11.7109375" style="646" customWidth="1"/>
    <col min="10019" max="10237" width="11.42578125" style="646"/>
    <col min="10238" max="10238" width="62" style="646" customWidth="1"/>
    <col min="10239" max="10274" width="11.7109375" style="646" customWidth="1"/>
    <col min="10275" max="10493" width="11.42578125" style="646"/>
    <col min="10494" max="10494" width="62" style="646" customWidth="1"/>
    <col min="10495" max="10530" width="11.7109375" style="646" customWidth="1"/>
    <col min="10531" max="10749" width="11.42578125" style="646"/>
    <col min="10750" max="10750" width="62" style="646" customWidth="1"/>
    <col min="10751" max="10786" width="11.7109375" style="646" customWidth="1"/>
    <col min="10787" max="11005" width="11.42578125" style="646"/>
    <col min="11006" max="11006" width="62" style="646" customWidth="1"/>
    <col min="11007" max="11042" width="11.7109375" style="646" customWidth="1"/>
    <col min="11043" max="11261" width="11.42578125" style="646"/>
    <col min="11262" max="11262" width="62" style="646" customWidth="1"/>
    <col min="11263" max="11298" width="11.7109375" style="646" customWidth="1"/>
    <col min="11299" max="11517" width="11.42578125" style="646"/>
    <col min="11518" max="11518" width="62" style="646" customWidth="1"/>
    <col min="11519" max="11554" width="11.7109375" style="646" customWidth="1"/>
    <col min="11555" max="11773" width="11.42578125" style="646"/>
    <col min="11774" max="11774" width="62" style="646" customWidth="1"/>
    <col min="11775" max="11810" width="11.7109375" style="646" customWidth="1"/>
    <col min="11811" max="12029" width="11.42578125" style="646"/>
    <col min="12030" max="12030" width="62" style="646" customWidth="1"/>
    <col min="12031" max="12066" width="11.7109375" style="646" customWidth="1"/>
    <col min="12067" max="12285" width="11.42578125" style="646"/>
    <col min="12286" max="12286" width="62" style="646" customWidth="1"/>
    <col min="12287" max="12322" width="11.7109375" style="646" customWidth="1"/>
    <col min="12323" max="12541" width="11.42578125" style="646"/>
    <col min="12542" max="12542" width="62" style="646" customWidth="1"/>
    <col min="12543" max="12578" width="11.7109375" style="646" customWidth="1"/>
    <col min="12579" max="12797" width="11.42578125" style="646"/>
    <col min="12798" max="12798" width="62" style="646" customWidth="1"/>
    <col min="12799" max="12834" width="11.7109375" style="646" customWidth="1"/>
    <col min="12835" max="13053" width="11.42578125" style="646"/>
    <col min="13054" max="13054" width="62" style="646" customWidth="1"/>
    <col min="13055" max="13090" width="11.7109375" style="646" customWidth="1"/>
    <col min="13091" max="13309" width="11.42578125" style="646"/>
    <col min="13310" max="13310" width="62" style="646" customWidth="1"/>
    <col min="13311" max="13346" width="11.7109375" style="646" customWidth="1"/>
    <col min="13347" max="13565" width="11.42578125" style="646"/>
    <col min="13566" max="13566" width="62" style="646" customWidth="1"/>
    <col min="13567" max="13602" width="11.7109375" style="646" customWidth="1"/>
    <col min="13603" max="13821" width="11.42578125" style="646"/>
    <col min="13822" max="13822" width="62" style="646" customWidth="1"/>
    <col min="13823" max="13858" width="11.7109375" style="646" customWidth="1"/>
    <col min="13859" max="14077" width="11.42578125" style="646"/>
    <col min="14078" max="14078" width="62" style="646" customWidth="1"/>
    <col min="14079" max="14114" width="11.7109375" style="646" customWidth="1"/>
    <col min="14115" max="14333" width="11.42578125" style="646"/>
    <col min="14334" max="14334" width="62" style="646" customWidth="1"/>
    <col min="14335" max="14370" width="11.7109375" style="646" customWidth="1"/>
    <col min="14371" max="14589" width="11.42578125" style="646"/>
    <col min="14590" max="14590" width="62" style="646" customWidth="1"/>
    <col min="14591" max="14626" width="11.7109375" style="646" customWidth="1"/>
    <col min="14627" max="14845" width="11.42578125" style="646"/>
    <col min="14846" max="14846" width="62" style="646" customWidth="1"/>
    <col min="14847" max="14882" width="11.7109375" style="646" customWidth="1"/>
    <col min="14883" max="15101" width="11.42578125" style="646"/>
    <col min="15102" max="15102" width="62" style="646" customWidth="1"/>
    <col min="15103" max="15138" width="11.7109375" style="646" customWidth="1"/>
    <col min="15139" max="15357" width="11.42578125" style="646"/>
    <col min="15358" max="15358" width="62" style="646" customWidth="1"/>
    <col min="15359" max="15394" width="11.7109375" style="646" customWidth="1"/>
    <col min="15395" max="15613" width="11.42578125" style="646"/>
    <col min="15614" max="15614" width="62" style="646" customWidth="1"/>
    <col min="15615" max="15650" width="11.7109375" style="646" customWidth="1"/>
    <col min="15651" max="15869" width="11.42578125" style="646"/>
    <col min="15870" max="15870" width="62" style="646" customWidth="1"/>
    <col min="15871" max="15906" width="11.7109375" style="646" customWidth="1"/>
    <col min="15907" max="16125" width="11.42578125" style="646"/>
    <col min="16126" max="16126" width="62" style="646" customWidth="1"/>
    <col min="16127" max="16162" width="11.7109375" style="646" customWidth="1"/>
    <col min="16163" max="16384" width="11.42578125" style="646"/>
  </cols>
  <sheetData>
    <row r="1" spans="1:51" ht="20.25" x14ac:dyDescent="0.3">
      <c r="A1" s="645" t="s">
        <v>182</v>
      </c>
      <c r="B1" s="73" t="s">
        <v>52</v>
      </c>
      <c r="AI1" s="647"/>
    </row>
    <row r="2" spans="1:51" ht="20.25" x14ac:dyDescent="0.3">
      <c r="A2" s="645" t="s">
        <v>280</v>
      </c>
      <c r="AI2" s="647"/>
    </row>
    <row r="3" spans="1:51" ht="18.75" x14ac:dyDescent="0.3">
      <c r="A3" s="648" t="s">
        <v>348</v>
      </c>
      <c r="AI3" s="649"/>
    </row>
    <row r="4" spans="1:51" ht="18.75" x14ac:dyDescent="0.3">
      <c r="A4" s="650" t="s">
        <v>421</v>
      </c>
      <c r="B4" s="651"/>
      <c r="C4" s="652"/>
      <c r="D4" s="653"/>
      <c r="E4" s="651"/>
      <c r="F4" s="652"/>
      <c r="G4" s="653"/>
      <c r="H4" s="652"/>
      <c r="I4" s="652"/>
      <c r="J4" s="653"/>
      <c r="K4" s="651"/>
      <c r="L4" s="652"/>
      <c r="M4" s="653"/>
      <c r="N4" s="651"/>
      <c r="O4" s="652"/>
      <c r="P4" s="653"/>
      <c r="Q4" s="651"/>
      <c r="R4" s="652"/>
      <c r="S4" s="653"/>
      <c r="T4" s="651"/>
      <c r="U4" s="652"/>
      <c r="V4" s="653"/>
      <c r="W4" s="651"/>
      <c r="X4" s="652"/>
      <c r="Y4" s="653"/>
      <c r="Z4" s="651"/>
      <c r="AA4" s="652"/>
      <c r="AB4" s="653"/>
      <c r="AC4" s="651"/>
      <c r="AD4" s="652"/>
      <c r="AE4" s="653"/>
      <c r="AF4" s="651"/>
      <c r="AG4" s="654"/>
      <c r="AH4" s="653"/>
      <c r="AI4" s="655"/>
      <c r="AJ4" s="656"/>
      <c r="AK4" s="656"/>
      <c r="AL4" s="656"/>
      <c r="AM4" s="656"/>
      <c r="AN4" s="656"/>
      <c r="AO4" s="656"/>
      <c r="AP4" s="656"/>
      <c r="AQ4" s="656"/>
      <c r="AR4" s="656"/>
      <c r="AS4" s="656"/>
      <c r="AT4" s="656"/>
      <c r="AU4" s="656"/>
      <c r="AV4" s="656"/>
      <c r="AW4" s="656"/>
      <c r="AX4" s="656"/>
      <c r="AY4" s="656"/>
    </row>
    <row r="5" spans="1:51" ht="18.75" x14ac:dyDescent="0.3">
      <c r="A5" s="657"/>
      <c r="B5" s="752" t="s">
        <v>185</v>
      </c>
      <c r="C5" s="753"/>
      <c r="D5" s="754"/>
      <c r="E5" s="752" t="s">
        <v>186</v>
      </c>
      <c r="F5" s="753"/>
      <c r="G5" s="754"/>
      <c r="H5" s="753" t="s">
        <v>187</v>
      </c>
      <c r="I5" s="753"/>
      <c r="J5" s="754"/>
      <c r="K5" s="752" t="s">
        <v>188</v>
      </c>
      <c r="L5" s="753"/>
      <c r="M5" s="754"/>
      <c r="N5" s="658" t="s">
        <v>189</v>
      </c>
      <c r="O5" s="659"/>
      <c r="P5" s="660"/>
      <c r="Q5" s="752" t="s">
        <v>64</v>
      </c>
      <c r="R5" s="753"/>
      <c r="S5" s="754"/>
      <c r="T5" s="658"/>
      <c r="U5" s="659"/>
      <c r="V5" s="660"/>
      <c r="W5" s="752" t="s">
        <v>190</v>
      </c>
      <c r="X5" s="753"/>
      <c r="Y5" s="754"/>
      <c r="Z5" s="752"/>
      <c r="AA5" s="753"/>
      <c r="AB5" s="754"/>
      <c r="AC5" s="752" t="s">
        <v>76</v>
      </c>
      <c r="AD5" s="753"/>
      <c r="AE5" s="754"/>
      <c r="AF5" s="752" t="s">
        <v>298</v>
      </c>
      <c r="AG5" s="753"/>
      <c r="AH5" s="754"/>
      <c r="AI5" s="661"/>
      <c r="AJ5" s="662"/>
      <c r="AK5" s="755"/>
      <c r="AL5" s="755"/>
      <c r="AM5" s="755"/>
      <c r="AN5" s="755"/>
      <c r="AO5" s="755"/>
      <c r="AP5" s="755"/>
      <c r="AQ5" s="755"/>
      <c r="AR5" s="755"/>
      <c r="AS5" s="755"/>
      <c r="AT5" s="755"/>
      <c r="AU5" s="755"/>
      <c r="AV5" s="755"/>
      <c r="AW5" s="755"/>
      <c r="AX5" s="755"/>
      <c r="AY5" s="755"/>
    </row>
    <row r="6" spans="1:51" ht="18.75" x14ac:dyDescent="0.3">
      <c r="A6" s="663"/>
      <c r="B6" s="756" t="s">
        <v>191</v>
      </c>
      <c r="C6" s="757"/>
      <c r="D6" s="758"/>
      <c r="E6" s="756" t="s">
        <v>192</v>
      </c>
      <c r="F6" s="757"/>
      <c r="G6" s="758"/>
      <c r="H6" s="757" t="s">
        <v>192</v>
      </c>
      <c r="I6" s="757"/>
      <c r="J6" s="758"/>
      <c r="K6" s="756" t="s">
        <v>193</v>
      </c>
      <c r="L6" s="757"/>
      <c r="M6" s="758"/>
      <c r="N6" s="756" t="s">
        <v>64</v>
      </c>
      <c r="O6" s="757"/>
      <c r="P6" s="758"/>
      <c r="Q6" s="756" t="s">
        <v>194</v>
      </c>
      <c r="R6" s="757"/>
      <c r="S6" s="758"/>
      <c r="T6" s="756" t="s">
        <v>69</v>
      </c>
      <c r="U6" s="757"/>
      <c r="V6" s="758"/>
      <c r="W6" s="756" t="s">
        <v>191</v>
      </c>
      <c r="X6" s="757"/>
      <c r="Y6" s="758"/>
      <c r="Z6" s="756" t="s">
        <v>71</v>
      </c>
      <c r="AA6" s="757"/>
      <c r="AB6" s="758"/>
      <c r="AC6" s="756" t="s">
        <v>192</v>
      </c>
      <c r="AD6" s="757"/>
      <c r="AE6" s="758"/>
      <c r="AF6" s="756" t="s">
        <v>299</v>
      </c>
      <c r="AG6" s="757"/>
      <c r="AH6" s="758"/>
      <c r="AI6" s="661"/>
      <c r="AJ6" s="662"/>
      <c r="AK6" s="755"/>
      <c r="AL6" s="755"/>
      <c r="AM6" s="755"/>
      <c r="AN6" s="755"/>
      <c r="AO6" s="755"/>
      <c r="AP6" s="755"/>
      <c r="AQ6" s="755"/>
      <c r="AR6" s="755"/>
      <c r="AS6" s="755"/>
      <c r="AT6" s="755"/>
      <c r="AU6" s="755"/>
      <c r="AV6" s="755"/>
      <c r="AW6" s="755"/>
      <c r="AX6" s="755"/>
      <c r="AY6" s="755"/>
    </row>
    <row r="7" spans="1:51" ht="18.75" x14ac:dyDescent="0.3">
      <c r="A7" s="663"/>
      <c r="B7" s="664"/>
      <c r="C7" s="664"/>
      <c r="D7" s="665" t="s">
        <v>84</v>
      </c>
      <c r="E7" s="664"/>
      <c r="F7" s="664"/>
      <c r="G7" s="665" t="s">
        <v>84</v>
      </c>
      <c r="H7" s="664"/>
      <c r="I7" s="664"/>
      <c r="J7" s="665" t="s">
        <v>84</v>
      </c>
      <c r="K7" s="664"/>
      <c r="L7" s="664"/>
      <c r="M7" s="665" t="s">
        <v>84</v>
      </c>
      <c r="N7" s="664"/>
      <c r="O7" s="664"/>
      <c r="P7" s="665" t="s">
        <v>84</v>
      </c>
      <c r="Q7" s="664"/>
      <c r="R7" s="664"/>
      <c r="S7" s="665" t="s">
        <v>84</v>
      </c>
      <c r="T7" s="664"/>
      <c r="U7" s="664"/>
      <c r="V7" s="665" t="s">
        <v>84</v>
      </c>
      <c r="W7" s="664"/>
      <c r="X7" s="664"/>
      <c r="Y7" s="665" t="s">
        <v>84</v>
      </c>
      <c r="Z7" s="664"/>
      <c r="AA7" s="664"/>
      <c r="AB7" s="665" t="s">
        <v>84</v>
      </c>
      <c r="AC7" s="664"/>
      <c r="AD7" s="664"/>
      <c r="AE7" s="665" t="s">
        <v>84</v>
      </c>
      <c r="AF7" s="664"/>
      <c r="AG7" s="664"/>
      <c r="AH7" s="665" t="s">
        <v>84</v>
      </c>
      <c r="AI7" s="661"/>
      <c r="AJ7" s="662"/>
      <c r="AK7" s="662"/>
      <c r="AL7" s="662"/>
      <c r="AM7" s="662"/>
      <c r="AN7" s="662"/>
      <c r="AO7" s="662"/>
      <c r="AP7" s="662"/>
      <c r="AQ7" s="662"/>
      <c r="AR7" s="662"/>
      <c r="AS7" s="662"/>
      <c r="AT7" s="662"/>
      <c r="AU7" s="662"/>
      <c r="AV7" s="662"/>
      <c r="AW7" s="662"/>
      <c r="AX7" s="662"/>
      <c r="AY7" s="662"/>
    </row>
    <row r="8" spans="1:51" ht="15.75" x14ac:dyDescent="0.25">
      <c r="A8" s="666" t="s">
        <v>301</v>
      </c>
      <c r="B8" s="667">
        <v>2017</v>
      </c>
      <c r="C8" s="667">
        <v>2018</v>
      </c>
      <c r="D8" s="668" t="s">
        <v>86</v>
      </c>
      <c r="E8" s="667">
        <v>2017</v>
      </c>
      <c r="F8" s="667">
        <v>2018</v>
      </c>
      <c r="G8" s="668" t="s">
        <v>86</v>
      </c>
      <c r="H8" s="667">
        <v>2017</v>
      </c>
      <c r="I8" s="667">
        <v>2018</v>
      </c>
      <c r="J8" s="668" t="s">
        <v>86</v>
      </c>
      <c r="K8" s="667">
        <v>2017</v>
      </c>
      <c r="L8" s="667">
        <v>2018</v>
      </c>
      <c r="M8" s="668" t="s">
        <v>86</v>
      </c>
      <c r="N8" s="667">
        <v>2017</v>
      </c>
      <c r="O8" s="667">
        <v>2018</v>
      </c>
      <c r="P8" s="668" t="s">
        <v>86</v>
      </c>
      <c r="Q8" s="667">
        <v>2017</v>
      </c>
      <c r="R8" s="667">
        <v>2018</v>
      </c>
      <c r="S8" s="668" t="s">
        <v>86</v>
      </c>
      <c r="T8" s="667">
        <v>2017</v>
      </c>
      <c r="U8" s="667">
        <v>2018</v>
      </c>
      <c r="V8" s="668" t="s">
        <v>86</v>
      </c>
      <c r="W8" s="667">
        <v>2017</v>
      </c>
      <c r="X8" s="667">
        <v>2018</v>
      </c>
      <c r="Y8" s="668" t="s">
        <v>86</v>
      </c>
      <c r="Z8" s="667">
        <v>2017</v>
      </c>
      <c r="AA8" s="667">
        <v>2018</v>
      </c>
      <c r="AB8" s="668" t="s">
        <v>86</v>
      </c>
      <c r="AC8" s="667">
        <v>2017</v>
      </c>
      <c r="AD8" s="667">
        <v>2018</v>
      </c>
      <c r="AE8" s="668" t="s">
        <v>86</v>
      </c>
      <c r="AF8" s="667">
        <v>2017</v>
      </c>
      <c r="AG8" s="667">
        <v>2018</v>
      </c>
      <c r="AH8" s="668" t="s">
        <v>86</v>
      </c>
      <c r="AI8" s="661"/>
      <c r="AJ8" s="669"/>
      <c r="AK8" s="670"/>
      <c r="AL8" s="670"/>
      <c r="AM8" s="669"/>
      <c r="AN8" s="670"/>
      <c r="AO8" s="670"/>
      <c r="AP8" s="669"/>
      <c r="AQ8" s="670"/>
      <c r="AR8" s="670"/>
      <c r="AS8" s="669"/>
      <c r="AT8" s="670"/>
      <c r="AU8" s="670"/>
      <c r="AV8" s="669"/>
      <c r="AW8" s="670"/>
      <c r="AX8" s="670"/>
      <c r="AY8" s="669"/>
    </row>
    <row r="9" spans="1:51" s="678" customFormat="1" ht="18.75" x14ac:dyDescent="0.3">
      <c r="A9" s="698"/>
      <c r="B9" s="699"/>
      <c r="C9" s="675"/>
      <c r="D9" s="675"/>
      <c r="E9" s="671"/>
      <c r="F9" s="672"/>
      <c r="G9" s="675"/>
      <c r="H9" s="671"/>
      <c r="I9" s="672"/>
      <c r="J9" s="675"/>
      <c r="K9" s="673"/>
      <c r="L9" s="674"/>
      <c r="M9" s="675"/>
      <c r="N9" s="671"/>
      <c r="O9" s="672"/>
      <c r="P9" s="675"/>
      <c r="Q9" s="673"/>
      <c r="R9" s="674"/>
      <c r="S9" s="675"/>
      <c r="T9" s="673"/>
      <c r="U9" s="674"/>
      <c r="V9" s="675"/>
      <c r="W9" s="671"/>
      <c r="X9" s="672"/>
      <c r="Y9" s="675"/>
      <c r="Z9" s="671"/>
      <c r="AA9" s="672"/>
      <c r="AB9" s="675"/>
      <c r="AC9" s="671"/>
      <c r="AD9" s="672"/>
      <c r="AE9" s="675"/>
      <c r="AF9" s="700"/>
      <c r="AG9" s="675"/>
      <c r="AH9" s="675"/>
      <c r="AI9" s="677"/>
      <c r="AJ9" s="677"/>
    </row>
    <row r="10" spans="1:51" s="681" customFormat="1" ht="18.75" x14ac:dyDescent="0.3">
      <c r="A10" s="701" t="s">
        <v>423</v>
      </c>
      <c r="B10" s="671"/>
      <c r="C10" s="672"/>
      <c r="D10" s="672"/>
      <c r="E10" s="671"/>
      <c r="F10" s="672"/>
      <c r="G10" s="672"/>
      <c r="H10" s="671"/>
      <c r="I10" s="672"/>
      <c r="J10" s="672"/>
      <c r="K10" s="673"/>
      <c r="L10" s="674"/>
      <c r="M10" s="672"/>
      <c r="N10" s="671"/>
      <c r="O10" s="672"/>
      <c r="P10" s="672"/>
      <c r="Q10" s="673"/>
      <c r="R10" s="674"/>
      <c r="S10" s="672"/>
      <c r="T10" s="673"/>
      <c r="U10" s="674"/>
      <c r="V10" s="672"/>
      <c r="W10" s="673"/>
      <c r="X10" s="674"/>
      <c r="Y10" s="672"/>
      <c r="Z10" s="673"/>
      <c r="AA10" s="674"/>
      <c r="AB10" s="672"/>
      <c r="AC10" s="673"/>
      <c r="AD10" s="674"/>
      <c r="AE10" s="672"/>
      <c r="AF10" s="676"/>
      <c r="AG10" s="672"/>
      <c r="AH10" s="679"/>
      <c r="AI10" s="680"/>
      <c r="AJ10" s="680"/>
    </row>
    <row r="11" spans="1:51" s="681" customFormat="1" ht="22.5" x14ac:dyDescent="0.3">
      <c r="A11" s="701" t="s">
        <v>424</v>
      </c>
      <c r="B11" s="671">
        <v>1.44</v>
      </c>
      <c r="C11" s="672">
        <v>1.7</v>
      </c>
      <c r="D11" s="679">
        <f>IF(B11=0, "    ---- ", IF(ABS(ROUND(100/B11*C11-100,1))&lt;999,ROUND(100/B11*C11-100,1),IF(ROUND(100/B11*C11-100,1)&gt;999,999,-999)))</f>
        <v>18.100000000000001</v>
      </c>
      <c r="E11" s="671">
        <v>3.7810999999999999</v>
      </c>
      <c r="F11" s="672">
        <v>2.56</v>
      </c>
      <c r="G11" s="679">
        <f>IF(E11=0, "    ---- ", IF(ABS(ROUND(100/E11*F11-100,1))&lt;999,ROUND(100/E11*F11-100,1),IF(ROUND(100/E11*F11-100,1)&gt;999,999,-999)))</f>
        <v>-32.299999999999997</v>
      </c>
      <c r="H11" s="671"/>
      <c r="I11" s="672"/>
      <c r="J11" s="672"/>
      <c r="K11" s="673">
        <v>2.794</v>
      </c>
      <c r="L11" s="674">
        <v>4.22</v>
      </c>
      <c r="M11" s="679">
        <f>IF(K11=0, "    ---- ", IF(ABS(ROUND(100/K11*L11-100,1))&lt;999,ROUND(100/K11*L11-100,1),IF(ROUND(100/K11*L11-100,1)&gt;999,999,-999)))</f>
        <v>51</v>
      </c>
      <c r="N11" s="671">
        <v>3.05</v>
      </c>
      <c r="O11" s="672">
        <v>3.11</v>
      </c>
      <c r="P11" s="679">
        <f>IF(N11=0, "    ---- ", IF(ABS(ROUND(100/N11*O11-100,1))&lt;999,ROUND(100/N11*O11-100,1),IF(ROUND(100/N11*O11-100,1)&gt;999,999,-999)))</f>
        <v>2</v>
      </c>
      <c r="Q11" s="673">
        <v>3.28</v>
      </c>
      <c r="R11" s="674">
        <v>3.57</v>
      </c>
      <c r="S11" s="679">
        <f>IF(Q11=0, "    ---- ", IF(ABS(ROUND(100/Q11*R11-100,1))&lt;999,ROUND(100/Q11*R11-100,1),IF(ROUND(100/Q11*R11-100,1)&gt;999,999,-999)))</f>
        <v>8.8000000000000007</v>
      </c>
      <c r="T11" s="673">
        <v>3.5</v>
      </c>
      <c r="U11" s="674">
        <v>2.9</v>
      </c>
      <c r="V11" s="679">
        <f>IF(T11=0, "    ---- ", IF(ABS(ROUND(100/T11*U11-100,1))&lt;999,ROUND(100/T11*U11-100,1),IF(ROUND(100/T11*U11-100,1)&gt;999,999,-999)))</f>
        <v>-17.100000000000001</v>
      </c>
      <c r="W11" s="673">
        <v>6.29</v>
      </c>
      <c r="X11" s="674">
        <v>4.08</v>
      </c>
      <c r="Y11" s="679">
        <f>IF(W11=0, "    ---- ", IF(ABS(ROUND(100/W11*X11-100,1))&lt;999,ROUND(100/W11*X11-100,1),IF(ROUND(100/W11*X11-100,1)&gt;999,999,-999)))</f>
        <v>-35.1</v>
      </c>
      <c r="Z11" s="673">
        <v>3.45555400409039</v>
      </c>
      <c r="AA11" s="674">
        <v>2.48195938878197</v>
      </c>
      <c r="AB11" s="679">
        <f>IF(Z11=0, "    ---- ", IF(ABS(ROUND(100/Z11*AA11-100,1))&lt;999,ROUND(100/Z11*AA11-100,1),IF(ROUND(100/Z11*AA11-100,1)&gt;999,999,-999)))</f>
        <v>-28.2</v>
      </c>
      <c r="AC11" s="673">
        <v>4.49</v>
      </c>
      <c r="AD11" s="674">
        <v>2.79</v>
      </c>
      <c r="AE11" s="679">
        <f>IF(AC11=0, "    ---- ", IF(ABS(ROUND(100/AC11*AD11-100,1))&lt;999,ROUND(100/AC11*AD11-100,1),IF(ROUND(100/AC11*AD11-100,1)&gt;999,999,-999)))</f>
        <v>-37.9</v>
      </c>
      <c r="AF11" s="682"/>
      <c r="AG11" s="682"/>
      <c r="AH11" s="679" t="str">
        <f>IF(AF11=0, "    ---- ", IF(ABS(ROUND(100/AF11*AG11-100,1))&lt;999,ROUND(100/AF11*AG11-100,1),IF(ROUND(100/AF11*AG11-100,1)&gt;999,999,-999)))</f>
        <v xml:space="preserve">    ---- </v>
      </c>
      <c r="AI11" s="680"/>
      <c r="AJ11" s="680"/>
    </row>
    <row r="12" spans="1:51" s="681" customFormat="1" ht="18.75" x14ac:dyDescent="0.3">
      <c r="A12" s="701" t="s">
        <v>425</v>
      </c>
      <c r="B12" s="671">
        <v>3.29</v>
      </c>
      <c r="C12" s="672">
        <v>1.26</v>
      </c>
      <c r="D12" s="679">
        <f>IF(B12=0, "    ---- ", IF(ABS(ROUND(100/B12*C12-100,1))&lt;999,ROUND(100/B12*C12-100,1),IF(ROUND(100/B12*C12-100,1)&gt;999,999,-999)))</f>
        <v>-61.7</v>
      </c>
      <c r="E12" s="671">
        <v>3.8388</v>
      </c>
      <c r="F12" s="672">
        <v>2.96</v>
      </c>
      <c r="G12" s="679">
        <f>IF(E12=0, "    ---- ", IF(ABS(ROUND(100/E12*F12-100,1))&lt;999,ROUND(100/E12*F12-100,1),IF(ROUND(100/E12*F12-100,1)&gt;999,999,-999)))</f>
        <v>-22.9</v>
      </c>
      <c r="H12" s="671"/>
      <c r="I12" s="672"/>
      <c r="J12" s="672"/>
      <c r="K12" s="673">
        <v>3.3380000000000001</v>
      </c>
      <c r="L12" s="674">
        <v>3.08</v>
      </c>
      <c r="M12" s="679">
        <f>IF(K12=0, "    ---- ", IF(ABS(ROUND(100/K12*L12-100,1))&lt;999,ROUND(100/K12*L12-100,1),IF(ROUND(100/K12*L12-100,1)&gt;999,999,-999)))</f>
        <v>-7.7</v>
      </c>
      <c r="N12" s="671">
        <v>4.5599999999999996</v>
      </c>
      <c r="O12" s="672">
        <v>2.92</v>
      </c>
      <c r="P12" s="679">
        <f>IF(N12=0, "    ---- ", IF(ABS(ROUND(100/N12*O12-100,1))&lt;999,ROUND(100/N12*O12-100,1),IF(ROUND(100/N12*O12-100,1)&gt;999,999,-999)))</f>
        <v>-36</v>
      </c>
      <c r="Q12" s="673">
        <v>3.71</v>
      </c>
      <c r="R12" s="674">
        <v>2.38</v>
      </c>
      <c r="S12" s="679">
        <f>IF(Q12=0, "    ---- ", IF(ABS(ROUND(100/Q12*R12-100,1))&lt;999,ROUND(100/Q12*R12-100,1),IF(ROUND(100/Q12*R12-100,1)&gt;999,999,-999)))</f>
        <v>-35.799999999999997</v>
      </c>
      <c r="T12" s="673">
        <v>3.8</v>
      </c>
      <c r="U12" s="674">
        <v>3.3</v>
      </c>
      <c r="V12" s="679">
        <f>IF(T12=0, "    ---- ", IF(ABS(ROUND(100/T12*U12-100,1))&lt;999,ROUND(100/T12*U12-100,1),IF(ROUND(100/T12*U12-100,1)&gt;999,999,-999)))</f>
        <v>-13.2</v>
      </c>
      <c r="W12" s="673">
        <v>6.82</v>
      </c>
      <c r="X12" s="674">
        <v>3.92</v>
      </c>
      <c r="Y12" s="679">
        <f>IF(W12=0, "    ---- ", IF(ABS(ROUND(100/W12*X12-100,1))&lt;999,ROUND(100/W12*X12-100,1),IF(ROUND(100/W12*X12-100,1)&gt;999,999,-999)))</f>
        <v>-42.5</v>
      </c>
      <c r="Z12" s="673">
        <v>4.6832606572801998</v>
      </c>
      <c r="AA12" s="674">
        <v>3.0627684264964201</v>
      </c>
      <c r="AB12" s="679">
        <f>IF(Z12=0, "    ---- ", IF(ABS(ROUND(100/Z12*AA12-100,1))&lt;999,ROUND(100/Z12*AA12-100,1),IF(ROUND(100/Z12*AA12-100,1)&gt;999,999,-999)))</f>
        <v>-34.6</v>
      </c>
      <c r="AC12" s="673">
        <v>4.0999999999999996</v>
      </c>
      <c r="AD12" s="674">
        <v>2.27</v>
      </c>
      <c r="AE12" s="679">
        <f>IF(AC12=0, "    ---- ", IF(ABS(ROUND(100/AC12*AD12-100,1))&lt;999,ROUND(100/AC12*AD12-100,1),IF(ROUND(100/AC12*AD12-100,1)&gt;999,999,-999)))</f>
        <v>-44.6</v>
      </c>
      <c r="AF12" s="682"/>
      <c r="AG12" s="682"/>
      <c r="AH12" s="679" t="str">
        <f>IF(AF12=0, "    ---- ", IF(ABS(ROUND(100/AF12*AG12-100,1))&lt;999,ROUND(100/AF12*AG12-100,1),IF(ROUND(100/AF12*AG12-100,1)&gt;999,999,-999)))</f>
        <v xml:space="preserve">    ---- </v>
      </c>
      <c r="AI12" s="680"/>
      <c r="AJ12" s="680"/>
    </row>
    <row r="13" spans="1:51" s="681" customFormat="1" ht="18.75" x14ac:dyDescent="0.3">
      <c r="A13" s="701"/>
      <c r="B13" s="671"/>
      <c r="C13" s="672"/>
      <c r="D13" s="672"/>
      <c r="E13" s="671"/>
      <c r="F13" s="672"/>
      <c r="G13" s="672"/>
      <c r="H13" s="671"/>
      <c r="I13" s="672"/>
      <c r="J13" s="672"/>
      <c r="K13" s="673"/>
      <c r="L13" s="674"/>
      <c r="M13" s="672"/>
      <c r="N13" s="671"/>
      <c r="O13" s="672"/>
      <c r="P13" s="672"/>
      <c r="Q13" s="673"/>
      <c r="R13" s="674"/>
      <c r="S13" s="672"/>
      <c r="T13" s="673"/>
      <c r="U13" s="674"/>
      <c r="V13" s="672"/>
      <c r="W13" s="673"/>
      <c r="X13" s="674"/>
      <c r="Y13" s="672"/>
      <c r="Z13" s="673"/>
      <c r="AA13" s="674"/>
      <c r="AB13" s="672"/>
      <c r="AC13" s="673"/>
      <c r="AD13" s="674"/>
      <c r="AE13" s="672"/>
      <c r="AF13" s="676"/>
      <c r="AG13" s="676"/>
      <c r="AH13" s="672"/>
      <c r="AI13" s="680"/>
      <c r="AJ13" s="680"/>
    </row>
    <row r="14" spans="1:51" s="681" customFormat="1" ht="18.75" x14ac:dyDescent="0.3">
      <c r="A14" s="701" t="s">
        <v>426</v>
      </c>
      <c r="B14" s="671"/>
      <c r="C14" s="672"/>
      <c r="D14" s="679"/>
      <c r="E14" s="671">
        <v>24.71</v>
      </c>
      <c r="F14" s="703">
        <v>23.23</v>
      </c>
      <c r="G14" s="679">
        <f>IF(E14=0, "    ---- ", IF(ABS(ROUND(100/E14*F14-100,1))&lt;999,ROUND(100/E14*F14-100,1),IF(ROUND(100/E14*F14-100,1)&gt;999,999,-999)))</f>
        <v>-6</v>
      </c>
      <c r="H14" s="671">
        <v>34.4</v>
      </c>
      <c r="I14" s="672">
        <v>35.299999999999997</v>
      </c>
      <c r="J14" s="679">
        <f>IF(H14=0, "    ---- ", IF(ABS(ROUND(100/H14*I14-100,1))&lt;999,ROUND(100/H14*I14-100,1),IF(ROUND(100/H14*I14-100,1)&gt;999,999,-999)))</f>
        <v>2.6</v>
      </c>
      <c r="K14" s="673">
        <v>20.41</v>
      </c>
      <c r="L14" s="674">
        <v>18.32</v>
      </c>
      <c r="M14" s="679">
        <f>IF(K14=0, "    ---- ", IF(ABS(ROUND(100/K14*L14-100,1))&lt;999,ROUND(100/K14*L14-100,1),IF(ROUND(100/K14*L14-100,1)&gt;999,999,-999)))</f>
        <v>-10.199999999999999</v>
      </c>
      <c r="N14" s="671">
        <v>28.07</v>
      </c>
      <c r="O14" s="672">
        <v>27.4</v>
      </c>
      <c r="P14" s="679">
        <f>IF(N14=0, "    ---- ", IF(ABS(ROUND(100/N14*O14-100,1))&lt;999,ROUND(100/N14*O14-100,1),IF(ROUND(100/N14*O14-100,1)&gt;999,999,-999)))</f>
        <v>-2.4</v>
      </c>
      <c r="Q14" s="673">
        <v>47.7</v>
      </c>
      <c r="R14" s="674">
        <v>40.799999999999997</v>
      </c>
      <c r="S14" s="679">
        <f>IF(Q14=0, "    ---- ", IF(ABS(ROUND(100/Q14*R14-100,1))&lt;999,ROUND(100/Q14*R14-100,1),IF(ROUND(100/Q14*R14-100,1)&gt;999,999,-999)))</f>
        <v>-14.5</v>
      </c>
      <c r="T14" s="673">
        <v>30.8</v>
      </c>
      <c r="U14" s="674">
        <v>30.9</v>
      </c>
      <c r="V14" s="679">
        <f>IF(T14=0, "    ---- ", IF(ABS(ROUND(100/T14*U14-100,1))&lt;999,ROUND(100/T14*U14-100,1),IF(ROUND(100/T14*U14-100,1)&gt;999,999,-999)))</f>
        <v>0.3</v>
      </c>
      <c r="W14" s="673">
        <v>44.398212608878673</v>
      </c>
      <c r="X14" s="683">
        <f>(1430+6965+1240+7101+11248+551)/(63401+2160)*100</f>
        <v>43.524351367428807</v>
      </c>
      <c r="Y14" s="679">
        <f>IF(W14=0, "    ---- ", IF(ABS(ROUND(100/W14*X14-100,1))&lt;999,ROUND(100/W14*X14-100,1),IF(ROUND(100/W14*X14-100,1)&gt;999,999,-999)))</f>
        <v>-2</v>
      </c>
      <c r="Z14" s="673">
        <v>37.592780882096754</v>
      </c>
      <c r="AA14" s="674">
        <f>('[2]Tabell 6'!AG68+'[2]Tabell 6'!AG69+'[2]Tabell 6'!AG71+'[2]Tabell 6'!AG74+'[2]Tabell 6'!AG75+'[2]Tabell 6'!AG78+207.976)/('[2]Tabell 6'!AG79)*100</f>
        <v>36.095950280152522</v>
      </c>
      <c r="AB14" s="679">
        <f>IF(Z14=0, "    ---- ", IF(ABS(ROUND(100/Z14*AA14-100,1))&lt;999,ROUND(100/Z14*AA14-100,1),IF(ROUND(100/Z14*AA14-100,1)&gt;999,999,-999)))</f>
        <v>-4</v>
      </c>
      <c r="AC14" s="673">
        <v>24.8</v>
      </c>
      <c r="AD14" s="674">
        <v>23.4</v>
      </c>
      <c r="AE14" s="679">
        <f>IF(AC14=0, "    ---- ", IF(ABS(ROUND(100/AC14*AD14-100,1))&lt;999,ROUND(100/AC14*AD14-100,1),IF(ROUND(100/AC14*AD14-100,1)&gt;999,999,-999)))</f>
        <v>-5.6</v>
      </c>
      <c r="AF14" s="682"/>
      <c r="AG14" s="682"/>
      <c r="AH14" s="679" t="str">
        <f>IF(AF14=0, "    ---- ", IF(ABS(ROUND(100/AF14*AG14-100,1))&lt;999,ROUND(100/AF14*AG14-100,1),IF(ROUND(100/AF14*AG14-100,1)&gt;999,999,-999)))</f>
        <v xml:space="preserve">    ---- </v>
      </c>
      <c r="AI14" s="680"/>
      <c r="AJ14" s="680"/>
    </row>
    <row r="15" spans="1:51" s="681" customFormat="1" ht="18.75" x14ac:dyDescent="0.3">
      <c r="A15" s="701"/>
      <c r="B15" s="671"/>
      <c r="C15" s="672"/>
      <c r="D15" s="672"/>
      <c r="E15" s="671"/>
      <c r="F15" s="672"/>
      <c r="G15" s="672"/>
      <c r="H15" s="671"/>
      <c r="I15" s="672"/>
      <c r="J15" s="672"/>
      <c r="K15" s="673"/>
      <c r="L15" s="674"/>
      <c r="M15" s="672"/>
      <c r="N15" s="671"/>
      <c r="O15" s="672"/>
      <c r="P15" s="672"/>
      <c r="Q15" s="673"/>
      <c r="R15" s="674"/>
      <c r="S15" s="672"/>
      <c r="T15" s="673"/>
      <c r="U15" s="674"/>
      <c r="V15" s="672"/>
      <c r="W15" s="673"/>
      <c r="X15" s="674"/>
      <c r="Y15" s="672"/>
      <c r="Z15" s="673"/>
      <c r="AA15" s="674"/>
      <c r="AB15" s="672"/>
      <c r="AC15" s="673"/>
      <c r="AD15" s="674"/>
      <c r="AE15" s="672"/>
      <c r="AF15" s="676"/>
      <c r="AG15" s="676"/>
      <c r="AH15" s="672"/>
      <c r="AI15" s="680"/>
      <c r="AJ15" s="680"/>
    </row>
    <row r="16" spans="1:51" s="681" customFormat="1" ht="18.75" x14ac:dyDescent="0.3">
      <c r="A16" s="701" t="s">
        <v>357</v>
      </c>
      <c r="B16" s="684">
        <v>38.558</v>
      </c>
      <c r="C16" s="679">
        <v>37.14</v>
      </c>
      <c r="D16" s="679">
        <f>IF(B16=0, "    ---- ", IF(ABS(ROUND(100/B16*C16-100,1))&lt;999,ROUND(100/B16*C16-100,1),IF(ROUND(100/B16*C16-100,1)&gt;999,999,-999)))</f>
        <v>-3.7</v>
      </c>
      <c r="E16" s="684">
        <v>2655.4110000000001</v>
      </c>
      <c r="F16" s="679">
        <v>4153</v>
      </c>
      <c r="G16" s="679">
        <f>IF(E16=0, "    ---- ", IF(ABS(ROUND(100/E16*F16-100,1))&lt;999,ROUND(100/E16*F16-100,1),IF(ROUND(100/E16*F16-100,1)&gt;999,999,-999)))</f>
        <v>56.4</v>
      </c>
      <c r="H16" s="684"/>
      <c r="I16" s="679"/>
      <c r="J16" s="679"/>
      <c r="K16" s="685">
        <v>54.460999999999999</v>
      </c>
      <c r="L16" s="686">
        <v>12.2</v>
      </c>
      <c r="M16" s="679">
        <f>IF(K16=0, "    ---- ", IF(ABS(ROUND(100/K16*L16-100,1))&lt;999,ROUND(100/K16*L16-100,1),IF(ROUND(100/K16*L16-100,1)&gt;999,999,-999)))</f>
        <v>-77.599999999999994</v>
      </c>
      <c r="N16" s="684">
        <v>36078.932245999997</v>
      </c>
      <c r="O16" s="687">
        <v>42634.787819570003</v>
      </c>
      <c r="P16" s="679">
        <f>IF(N16=0, "    ---- ", IF(ABS(ROUND(100/N16*O16-100,1))&lt;999,ROUND(100/N16*O16-100,1),IF(ROUND(100/N16*O16-100,1)&gt;999,999,-999)))</f>
        <v>18.2</v>
      </c>
      <c r="Q16" s="685">
        <v>76</v>
      </c>
      <c r="R16" s="686">
        <v>12</v>
      </c>
      <c r="S16" s="679">
        <f>IF(Q16=0, "    ---- ", IF(ABS(ROUND(100/Q16*R16-100,1))&lt;999,ROUND(100/Q16*R16-100,1),IF(ROUND(100/Q16*R16-100,1)&gt;999,999,-999)))</f>
        <v>-84.2</v>
      </c>
      <c r="T16" s="685">
        <v>1289</v>
      </c>
      <c r="U16" s="686">
        <v>1587</v>
      </c>
      <c r="V16" s="679">
        <f>IF(T16=0, "    ---- ", IF(ABS(ROUND(100/T16*U16-100,1))&lt;999,ROUND(100/T16*U16-100,1),IF(ROUND(100/T16*U16-100,1)&gt;999,999,-999)))</f>
        <v>23.1</v>
      </c>
      <c r="W16" s="685">
        <v>10251</v>
      </c>
      <c r="X16" s="686">
        <v>11248</v>
      </c>
      <c r="Y16" s="679">
        <f>IF(W16=0, "    ---- ", IF(ABS(ROUND(100/W16*X16-100,1))&lt;999,ROUND(100/W16*X16-100,1),IF(ROUND(100/W16*X16-100,1)&gt;999,999,-999)))</f>
        <v>9.6999999999999993</v>
      </c>
      <c r="Z16" s="685">
        <v>2146.163</v>
      </c>
      <c r="AA16" s="686">
        <v>-126.982</v>
      </c>
      <c r="AB16" s="679">
        <f>IF(Z16=0, "    ---- ", IF(ABS(ROUND(100/Z16*AA16-100,1))&lt;999,ROUND(100/Z16*AA16-100,1),IF(ROUND(100/Z16*AA16-100,1)&gt;999,999,-999)))</f>
        <v>-105.9</v>
      </c>
      <c r="AC16" s="685">
        <v>2104</v>
      </c>
      <c r="AD16" s="686">
        <v>2841</v>
      </c>
      <c r="AE16" s="679">
        <f>IF(AC16=0, "    ---- ", IF(ABS(ROUND(100/AC16*AD16-100,1))&lt;999,ROUND(100/AC16*AD16-100,1),IF(ROUND(100/AC16*AD16-100,1)&gt;999,999,-999)))</f>
        <v>35</v>
      </c>
      <c r="AF16" s="682">
        <f>B16+E16+H16+K16+N16+Q16+T16+W16+Z16+AC16</f>
        <v>54693.525245999997</v>
      </c>
      <c r="AG16" s="682">
        <f>C16+F16+I16+L16+O16+R16+U16+X16+AA16+AD16</f>
        <v>62398.145819569996</v>
      </c>
      <c r="AH16" s="679">
        <f>IF(AF16=0, "    ---- ", IF(ABS(ROUND(100/AF16*AG16-100,1))&lt;999,ROUND(100/AF16*AG16-100,1),IF(ROUND(100/AF16*AG16-100,1)&gt;999,999,-999)))</f>
        <v>14.1</v>
      </c>
      <c r="AI16" s="680"/>
      <c r="AJ16" s="680"/>
    </row>
    <row r="17" spans="1:36" s="681" customFormat="1" ht="18.75" x14ac:dyDescent="0.3">
      <c r="A17" s="701"/>
      <c r="B17" s="684"/>
      <c r="C17" s="679"/>
      <c r="D17" s="679"/>
      <c r="E17" s="684"/>
      <c r="F17" s="679"/>
      <c r="G17" s="679"/>
      <c r="H17" s="684"/>
      <c r="I17" s="679"/>
      <c r="J17" s="679"/>
      <c r="K17" s="685"/>
      <c r="L17" s="686"/>
      <c r="M17" s="679"/>
      <c r="N17" s="684"/>
      <c r="O17" s="687"/>
      <c r="P17" s="679"/>
      <c r="Q17" s="685"/>
      <c r="R17" s="686"/>
      <c r="S17" s="679"/>
      <c r="T17" s="685"/>
      <c r="U17" s="686"/>
      <c r="V17" s="679"/>
      <c r="W17" s="685"/>
      <c r="X17" s="686"/>
      <c r="Y17" s="679"/>
      <c r="Z17" s="685"/>
      <c r="AA17" s="686"/>
      <c r="AB17" s="679"/>
      <c r="AC17" s="685"/>
      <c r="AD17" s="686"/>
      <c r="AE17" s="679"/>
      <c r="AF17" s="682"/>
      <c r="AG17" s="682"/>
      <c r="AH17" s="679"/>
      <c r="AI17" s="680"/>
      <c r="AJ17" s="680"/>
    </row>
    <row r="18" spans="1:36" s="681" customFormat="1" ht="18.75" x14ac:dyDescent="0.3">
      <c r="A18" s="702" t="s">
        <v>427</v>
      </c>
      <c r="B18" s="688"/>
      <c r="C18" s="689"/>
      <c r="D18" s="689"/>
      <c r="E18" s="688">
        <v>8213.0144287000003</v>
      </c>
      <c r="F18" s="689">
        <v>5574.29</v>
      </c>
      <c r="G18" s="689">
        <f>IF(E18=0, "    ---- ", IF(ABS(ROUND(100/E18*F18-100,1))&lt;999,ROUND(100/E18*F18-100,1),IF(ROUND(100/E18*F18-100,1)&gt;999,999,-999)))</f>
        <v>-32.1</v>
      </c>
      <c r="H18" s="688"/>
      <c r="I18" s="689"/>
      <c r="J18" s="689"/>
      <c r="K18" s="690"/>
      <c r="L18" s="691"/>
      <c r="M18" s="689"/>
      <c r="N18" s="688">
        <v>704</v>
      </c>
      <c r="O18" s="692">
        <v>316</v>
      </c>
      <c r="P18" s="689">
        <f>IF(N18=0, "    ---- ", IF(ABS(ROUND(100/N18*O18-100,1))&lt;999,ROUND(100/N18*O18-100,1),IF(ROUND(100/N18*O18-100,1)&gt;999,999,-999)))</f>
        <v>-55.1</v>
      </c>
      <c r="Q18" s="693">
        <v>61</v>
      </c>
      <c r="R18" s="694">
        <v>24</v>
      </c>
      <c r="S18" s="689">
        <f>IF(Q18=0, "    ---- ", IF(ABS(ROUND(100/Q18*R18-100,1))&lt;999,ROUND(100/Q18*R18-100,1),IF(ROUND(100/Q18*R18-100,1)&gt;999,999,-999)))</f>
        <v>-60.7</v>
      </c>
      <c r="T18" s="693">
        <v>1860</v>
      </c>
      <c r="U18" s="694">
        <v>890</v>
      </c>
      <c r="V18" s="689">
        <f>IF(T18=0, "    ---- ", IF(ABS(ROUND(100/T18*U18-100,1))&lt;999,ROUND(100/T18*U18-100,1),IF(ROUND(100/T18*U18-100,1)&gt;999,999,-999)))</f>
        <v>-52.2</v>
      </c>
      <c r="W18" s="693">
        <v>1244</v>
      </c>
      <c r="X18" s="694">
        <v>551</v>
      </c>
      <c r="Y18" s="689">
        <f>IF(W18=0, "    ---- ", IF(ABS(ROUND(100/W18*X18-100,1))&lt;999,ROUND(100/W18*X18-100,1),IF(ROUND(100/W18*X18-100,1)&gt;999,999,-999)))</f>
        <v>-55.7</v>
      </c>
      <c r="Z18" s="693">
        <v>49.402999999999999</v>
      </c>
      <c r="AA18" s="694">
        <v>16.228000000000002</v>
      </c>
      <c r="AB18" s="689">
        <f>IF(Z18=0, "    ---- ", IF(ABS(ROUND(100/Z18*AA18-100,1))&lt;999,ROUND(100/Z18*AA18-100,1),IF(ROUND(100/Z18*AA18-100,1)&gt;999,999,-999)))</f>
        <v>-67.2</v>
      </c>
      <c r="AC18" s="693">
        <v>8610</v>
      </c>
      <c r="AD18" s="694">
        <v>5051</v>
      </c>
      <c r="AE18" s="689">
        <f>IF(AC18=0, "    ---- ", IF(ABS(ROUND(100/AC18*AD18-100,1))&lt;999,ROUND(100/AC18*AD18-100,1),IF(ROUND(100/AC18*AD18-100,1)&gt;999,999,-999)))</f>
        <v>-41.3</v>
      </c>
      <c r="AF18" s="695">
        <f>B18+E18+H18+K18+N18+Q18+T18+W18+Z18+AC18</f>
        <v>20741.417428699999</v>
      </c>
      <c r="AG18" s="695">
        <f>C18+F18+I18+L18+O18+R18+U18+X18+AA18+AD18</f>
        <v>12422.518</v>
      </c>
      <c r="AH18" s="689">
        <f>IF(AF18=0, "    ---- ", IF(ABS(ROUND(100/AF18*AG18-100,1))&lt;999,ROUND(100/AF18*AG18-100,1),IF(ROUND(100/AF18*AG18-100,1)&gt;999,999,-999)))</f>
        <v>-40.1</v>
      </c>
      <c r="AI18" s="680"/>
      <c r="AJ18" s="680"/>
    </row>
    <row r="19" spans="1:36" ht="18.75" x14ac:dyDescent="0.3">
      <c r="A19" s="696"/>
      <c r="N19" s="697"/>
      <c r="T19" s="697"/>
      <c r="AC19" s="697"/>
      <c r="AF19" s="697"/>
      <c r="AJ19" s="661"/>
    </row>
    <row r="20" spans="1:36" ht="20.100000000000001" customHeight="1" x14ac:dyDescent="0.2"/>
    <row r="21" spans="1:36" ht="20.100000000000001" customHeight="1" x14ac:dyDescent="0.2"/>
    <row r="22" spans="1:36" ht="20.100000000000001" customHeight="1" x14ac:dyDescent="0.2"/>
    <row r="23" spans="1:36" ht="20.100000000000001" customHeight="1" x14ac:dyDescent="0.2"/>
    <row r="24" spans="1:36" ht="20.100000000000001" customHeight="1" x14ac:dyDescent="0.2"/>
    <row r="25" spans="1:36" ht="20.100000000000001" customHeight="1" x14ac:dyDescent="0.2"/>
    <row r="26" spans="1:36" ht="20.100000000000001" customHeight="1" x14ac:dyDescent="0.2"/>
    <row r="27" spans="1:36" ht="20.100000000000001" customHeight="1" x14ac:dyDescent="0.2"/>
    <row r="28" spans="1:36" ht="20.100000000000001" customHeight="1" x14ac:dyDescent="0.2"/>
    <row r="29" spans="1:36" ht="20.100000000000001" customHeight="1" x14ac:dyDescent="0.2"/>
    <row r="30" spans="1:36" ht="20.100000000000001" customHeight="1" x14ac:dyDescent="0.2"/>
    <row r="31" spans="1:36" ht="20.100000000000001" customHeight="1" x14ac:dyDescent="0.2"/>
    <row r="32" spans="1:36"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19.5" customHeight="1" x14ac:dyDescent="0.2"/>
    <row r="46" ht="19.5" customHeight="1" x14ac:dyDescent="0.2"/>
  </sheetData>
  <protectedRanges>
    <protectedRange sqref="B9:C10 B17:C18" name="Område1"/>
    <protectedRange sqref="B11:C16" name="Område1_1"/>
    <protectedRange sqref="E9:F10" name="Område1_9"/>
    <protectedRange sqref="E11:F18" name="Område1_2_1"/>
    <protectedRange sqref="H9:I13 H15:I18" name="Område1_10"/>
    <protectedRange sqref="H14:I14" name="Område1_4_1"/>
    <protectedRange sqref="K9:L10" name="Område1_2"/>
    <protectedRange sqref="K11:L18" name="Område1_7_1"/>
    <protectedRange sqref="N9:O10" name="Område1_4"/>
    <protectedRange sqref="N11:O18" name="Område1_3_1"/>
    <protectedRange sqref="T9:U10" name="Område1_3"/>
    <protectedRange sqref="T11:U18" name="Område1_5_1"/>
    <protectedRange sqref="W9:X10" name="Område1_5"/>
    <protectedRange sqref="W11:X13 W15:X18 W14" name="Område1_6_1"/>
    <protectedRange sqref="X14" name="Område1_6_1_1"/>
    <protectedRange sqref="Z9:AA18" name="Område1_6"/>
    <protectedRange sqref="AC9:AD10" name="Område1_7"/>
    <protectedRange sqref="AC11:AD18" name="Område1_8_1"/>
  </protectedRanges>
  <mergeCells count="30">
    <mergeCell ref="AT6:AV6"/>
    <mergeCell ref="AW6:AY6"/>
    <mergeCell ref="Z6:AB6"/>
    <mergeCell ref="AC6:AE6"/>
    <mergeCell ref="AF6:AH6"/>
    <mergeCell ref="AK6:AM6"/>
    <mergeCell ref="AN6:AP6"/>
    <mergeCell ref="AQ6:AS6"/>
    <mergeCell ref="AT5:AV5"/>
    <mergeCell ref="AW5:AY5"/>
    <mergeCell ref="B6:D6"/>
    <mergeCell ref="E6:G6"/>
    <mergeCell ref="H6:J6"/>
    <mergeCell ref="K6:M6"/>
    <mergeCell ref="N6:P6"/>
    <mergeCell ref="Q6:S6"/>
    <mergeCell ref="T6:V6"/>
    <mergeCell ref="W6:Y6"/>
    <mergeCell ref="Z5:AB5"/>
    <mergeCell ref="AC5:AE5"/>
    <mergeCell ref="AF5:AH5"/>
    <mergeCell ref="AK5:AM5"/>
    <mergeCell ref="AN5:AP5"/>
    <mergeCell ref="AQ5:AS5"/>
    <mergeCell ref="W5:Y5"/>
    <mergeCell ref="B5:D5"/>
    <mergeCell ref="E5:G5"/>
    <mergeCell ref="H5:J5"/>
    <mergeCell ref="K5:M5"/>
    <mergeCell ref="Q5:S5"/>
  </mergeCells>
  <hyperlinks>
    <hyperlink ref="B1" location="Innhold!A1" display="Tilbake" xr:uid="{AFD8B601-3D6B-4B8B-834A-653F5E28D8D9}"/>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zoomScale="90" zoomScaleNormal="90" workbookViewId="0">
      <selection activeCell="A4" sqref="A4"/>
    </sheetView>
  </sheetViews>
  <sheetFormatPr baseColWidth="10" defaultColWidth="11.42578125" defaultRowHeight="12.75" x14ac:dyDescent="0.2"/>
  <cols>
    <col min="1" max="1" width="66.28515625" style="1" customWidth="1"/>
    <col min="2" max="2" width="4.28515625" style="50"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34"/>
      <c r="D2" s="334"/>
      <c r="E2" s="334"/>
    </row>
    <row r="3" spans="1:17" x14ac:dyDescent="0.2">
      <c r="A3" s="43" t="s">
        <v>51</v>
      </c>
    </row>
    <row r="4" spans="1:17" x14ac:dyDescent="0.2">
      <c r="C4" s="334"/>
      <c r="D4" s="334"/>
      <c r="E4" s="334"/>
      <c r="F4" s="334"/>
      <c r="G4" s="334"/>
      <c r="H4" s="334"/>
      <c r="I4" s="334"/>
      <c r="J4" s="334"/>
      <c r="K4" s="334"/>
    </row>
    <row r="6" spans="1:17" ht="15.75" x14ac:dyDescent="0.25">
      <c r="C6" s="341" t="s">
        <v>16</v>
      </c>
      <c r="D6" s="3"/>
      <c r="E6" s="341"/>
    </row>
    <row r="7" spans="1:17" ht="18.75" customHeight="1" x14ac:dyDescent="0.2">
      <c r="C7" s="3"/>
      <c r="D7" s="3"/>
      <c r="E7" s="50"/>
    </row>
    <row r="8" spans="1:17" ht="15.75" x14ac:dyDescent="0.25">
      <c r="B8" s="335">
        <v>1</v>
      </c>
      <c r="C8" s="336" t="s">
        <v>362</v>
      </c>
      <c r="E8" s="345"/>
    </row>
    <row r="9" spans="1:17" ht="31.5" x14ac:dyDescent="0.2">
      <c r="B9" s="335">
        <v>2</v>
      </c>
      <c r="C9" s="338" t="s">
        <v>288</v>
      </c>
      <c r="E9" s="8"/>
      <c r="Q9" s="3"/>
    </row>
    <row r="10" spans="1:17" ht="47.25" x14ac:dyDescent="0.2">
      <c r="B10" s="335">
        <v>3</v>
      </c>
      <c r="C10" s="336" t="s">
        <v>289</v>
      </c>
      <c r="E10" s="8"/>
    </row>
    <row r="11" spans="1:17" ht="47.25" x14ac:dyDescent="0.2">
      <c r="B11" s="335">
        <v>4</v>
      </c>
      <c r="C11" s="338" t="s">
        <v>290</v>
      </c>
      <c r="E11" s="8"/>
    </row>
    <row r="12" spans="1:17" ht="31.5" x14ac:dyDescent="0.2">
      <c r="B12" s="335">
        <v>5</v>
      </c>
      <c r="C12" s="336" t="s">
        <v>21</v>
      </c>
      <c r="E12" s="3"/>
    </row>
    <row r="13" spans="1:17" ht="15.75" x14ac:dyDescent="0.2">
      <c r="B13" s="335">
        <v>6</v>
      </c>
      <c r="C13" s="336" t="s">
        <v>363</v>
      </c>
      <c r="E13" s="3"/>
    </row>
    <row r="14" spans="1:17" ht="15.75" x14ac:dyDescent="0.2">
      <c r="B14" s="335">
        <v>7</v>
      </c>
      <c r="C14" s="336" t="s">
        <v>17</v>
      </c>
    </row>
    <row r="15" spans="1:17" ht="18.75" customHeight="1" x14ac:dyDescent="0.2">
      <c r="B15" s="335">
        <v>8</v>
      </c>
      <c r="C15" s="336" t="s">
        <v>18</v>
      </c>
    </row>
    <row r="16" spans="1:17" ht="18.75" customHeight="1" x14ac:dyDescent="0.2">
      <c r="B16" s="335">
        <v>9</v>
      </c>
      <c r="C16" s="336" t="s">
        <v>22</v>
      </c>
    </row>
    <row r="17" spans="2:9" ht="63" x14ac:dyDescent="0.25">
      <c r="B17" s="335">
        <v>10</v>
      </c>
      <c r="C17" s="336" t="s">
        <v>372</v>
      </c>
      <c r="E17" s="341"/>
    </row>
    <row r="18" spans="2:9" ht="15.75" x14ac:dyDescent="0.2">
      <c r="B18" s="335">
        <v>11</v>
      </c>
      <c r="C18" s="336" t="s">
        <v>19</v>
      </c>
      <c r="E18" s="8"/>
    </row>
    <row r="19" spans="2:9" ht="15.75" x14ac:dyDescent="0.2">
      <c r="B19" s="335">
        <v>12</v>
      </c>
      <c r="C19" s="336" t="s">
        <v>292</v>
      </c>
      <c r="E19" s="8"/>
    </row>
    <row r="20" spans="2:9" ht="15.75" x14ac:dyDescent="0.2">
      <c r="B20" s="335">
        <v>13</v>
      </c>
      <c r="C20" s="336" t="s">
        <v>20</v>
      </c>
      <c r="E20" s="3"/>
    </row>
    <row r="21" spans="2:9" ht="47.25" x14ac:dyDescent="0.2">
      <c r="B21" s="335">
        <v>14</v>
      </c>
      <c r="C21" s="336" t="s">
        <v>293</v>
      </c>
      <c r="E21" s="346"/>
    </row>
    <row r="22" spans="2:9" ht="31.5" x14ac:dyDescent="0.2">
      <c r="B22" s="335">
        <v>15</v>
      </c>
      <c r="C22" s="338" t="s">
        <v>351</v>
      </c>
      <c r="E22" s="3"/>
    </row>
    <row r="23" spans="2:9" ht="15.75" x14ac:dyDescent="0.25">
      <c r="B23" s="335">
        <v>16</v>
      </c>
      <c r="C23" s="340" t="s">
        <v>291</v>
      </c>
      <c r="D23" s="339"/>
      <c r="E23" s="334"/>
      <c r="F23" s="339"/>
      <c r="G23" s="2"/>
      <c r="H23" s="2"/>
      <c r="I23" s="2"/>
    </row>
    <row r="24" spans="2:9" ht="18.75" customHeight="1" x14ac:dyDescent="0.25">
      <c r="B24" s="337">
        <v>17</v>
      </c>
      <c r="C24" s="340" t="s">
        <v>294</v>
      </c>
    </row>
    <row r="25" spans="2:9" ht="18.75" customHeight="1" x14ac:dyDescent="0.25">
      <c r="B25" s="337"/>
      <c r="C25" s="343"/>
    </row>
    <row r="26" spans="2:9" ht="18.75" customHeight="1" x14ac:dyDescent="0.25">
      <c r="B26" s="337"/>
      <c r="C26" s="358"/>
    </row>
    <row r="27" spans="2:9" ht="18.75" customHeight="1" x14ac:dyDescent="0.2">
      <c r="C27" s="343"/>
    </row>
    <row r="28" spans="2:9" ht="18.75" customHeight="1" x14ac:dyDescent="0.2">
      <c r="C28" s="343"/>
    </row>
    <row r="29" spans="2:9" ht="18.75" customHeight="1" x14ac:dyDescent="0.2">
      <c r="C29" s="343"/>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44"/>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34"/>
      <c r="E50" s="334"/>
      <c r="F50" s="334"/>
      <c r="G50" s="334"/>
      <c r="H50" s="334"/>
      <c r="I50" s="334"/>
      <c r="J50" s="334"/>
      <c r="K50" s="334"/>
      <c r="L50" s="334"/>
      <c r="M50" s="334"/>
      <c r="N50" s="334"/>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0"/>
  <sheetViews>
    <sheetView showGridLines="0" showZeros="0" zoomScale="70" zoomScaleNormal="70" workbookViewId="0">
      <pane ySplit="7" topLeftCell="A8" activePane="bottomLeft" state="frozen"/>
      <selection activeCell="J44" sqref="J44"/>
      <selection pane="bottomLeft" activeCell="B8" sqref="B8"/>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9" style="87" bestFit="1" customWidth="1"/>
    <col min="6" max="6" width="4.7109375" style="87" customWidth="1"/>
    <col min="7" max="7" width="18.42578125" style="87" customWidth="1"/>
    <col min="8" max="8" width="17.85546875" style="87" customWidth="1"/>
    <col min="9" max="9" width="8.7109375" style="87" customWidth="1"/>
    <col min="10" max="10" width="9" style="87" bestFit="1" customWidth="1"/>
    <col min="11" max="11" width="13.42578125" style="87" hidden="1" customWidth="1"/>
    <col min="12" max="12" width="14.85546875" style="189" hidden="1" customWidth="1"/>
    <col min="13" max="13" width="13.85546875" style="189" hidden="1" customWidth="1"/>
    <col min="14" max="15" width="15.7109375" style="189" hidden="1" customWidth="1"/>
    <col min="16" max="16" width="11.42578125" style="87" hidden="1" customWidth="1"/>
    <col min="17" max="19" width="11.42578125" style="87" customWidth="1"/>
    <col min="20" max="16384" width="11.42578125" style="87"/>
  </cols>
  <sheetData>
    <row r="1" spans="1:16" ht="20.25" x14ac:dyDescent="0.3">
      <c r="A1" s="80" t="s">
        <v>80</v>
      </c>
      <c r="B1" s="73" t="s">
        <v>52</v>
      </c>
      <c r="C1" s="74"/>
      <c r="D1" s="74"/>
      <c r="E1" s="74"/>
      <c r="F1" s="74"/>
      <c r="G1" s="74"/>
      <c r="H1" s="74"/>
      <c r="I1" s="74"/>
      <c r="J1" s="74"/>
      <c r="K1" s="74"/>
    </row>
    <row r="2" spans="1:16" ht="20.25" x14ac:dyDescent="0.3">
      <c r="A2" s="80" t="s">
        <v>81</v>
      </c>
      <c r="B2" s="74"/>
      <c r="C2" s="74"/>
      <c r="D2" s="74"/>
      <c r="E2" s="74"/>
      <c r="F2" s="74"/>
      <c r="G2" s="74"/>
      <c r="H2" s="74"/>
      <c r="I2" s="74"/>
      <c r="J2" s="74"/>
      <c r="K2" s="74"/>
    </row>
    <row r="3" spans="1:16" ht="18.75" x14ac:dyDescent="0.3">
      <c r="A3" s="707" t="s">
        <v>82</v>
      </c>
      <c r="B3" s="707"/>
      <c r="C3" s="74"/>
      <c r="D3" s="74"/>
      <c r="E3" s="74"/>
      <c r="F3" s="74"/>
      <c r="G3" s="74"/>
      <c r="H3" s="74"/>
      <c r="I3" s="74"/>
      <c r="J3" s="74"/>
      <c r="K3" s="74"/>
    </row>
    <row r="4" spans="1:16" ht="18.75" x14ac:dyDescent="0.3">
      <c r="A4" s="82" t="s">
        <v>421</v>
      </c>
      <c r="B4" s="83"/>
      <c r="C4" s="84"/>
      <c r="D4" s="84"/>
      <c r="E4" s="85"/>
      <c r="F4" s="86"/>
      <c r="G4" s="83"/>
      <c r="H4" s="84"/>
      <c r="I4" s="84"/>
      <c r="J4" s="85"/>
      <c r="K4" s="112"/>
      <c r="L4" s="212"/>
      <c r="M4" s="213"/>
      <c r="N4" s="214"/>
      <c r="O4" s="213"/>
    </row>
    <row r="5" spans="1:16" ht="22.5" x14ac:dyDescent="0.3">
      <c r="A5" s="88"/>
      <c r="B5" s="708" t="s">
        <v>83</v>
      </c>
      <c r="C5" s="709"/>
      <c r="D5" s="709"/>
      <c r="E5" s="710"/>
      <c r="F5" s="90"/>
      <c r="G5" s="708" t="s">
        <v>406</v>
      </c>
      <c r="H5" s="709"/>
      <c r="I5" s="709"/>
      <c r="J5" s="710"/>
      <c r="K5" s="89"/>
      <c r="L5" s="711" t="s">
        <v>146</v>
      </c>
      <c r="M5" s="706"/>
      <c r="N5" s="705" t="s">
        <v>147</v>
      </c>
      <c r="O5" s="706"/>
    </row>
    <row r="6" spans="1:16" ht="18.75" x14ac:dyDescent="0.3">
      <c r="A6" s="91"/>
      <c r="B6" s="92"/>
      <c r="C6" s="93"/>
      <c r="D6" s="93" t="s">
        <v>84</v>
      </c>
      <c r="E6" s="94" t="s">
        <v>29</v>
      </c>
      <c r="F6" s="95"/>
      <c r="G6" s="92"/>
      <c r="H6" s="93"/>
      <c r="I6" s="93" t="s">
        <v>84</v>
      </c>
      <c r="J6" s="94" t="s">
        <v>29</v>
      </c>
      <c r="K6" s="100"/>
      <c r="L6" s="215"/>
      <c r="M6" s="216"/>
      <c r="N6" s="217"/>
      <c r="O6" s="216"/>
    </row>
    <row r="7" spans="1:16" ht="15.75" x14ac:dyDescent="0.25">
      <c r="A7" s="96" t="s">
        <v>85</v>
      </c>
      <c r="B7" s="97">
        <v>2017</v>
      </c>
      <c r="C7" s="97">
        <v>2018</v>
      </c>
      <c r="D7" s="98" t="s">
        <v>86</v>
      </c>
      <c r="E7" s="99" t="s">
        <v>30</v>
      </c>
      <c r="F7" s="95"/>
      <c r="G7" s="97">
        <v>2017</v>
      </c>
      <c r="H7" s="97">
        <v>2018</v>
      </c>
      <c r="I7" s="98" t="s">
        <v>86</v>
      </c>
      <c r="J7" s="99" t="s">
        <v>30</v>
      </c>
      <c r="K7" s="100"/>
      <c r="L7" s="218">
        <v>2015</v>
      </c>
      <c r="M7" s="219">
        <v>2016</v>
      </c>
      <c r="N7" s="220">
        <v>2015</v>
      </c>
      <c r="O7" s="219">
        <v>2016</v>
      </c>
      <c r="P7" s="87" t="s">
        <v>150</v>
      </c>
    </row>
    <row r="8" spans="1:16" ht="18.75" x14ac:dyDescent="0.3">
      <c r="A8" s="101" t="s">
        <v>0</v>
      </c>
      <c r="B8" s="129"/>
      <c r="C8" s="103"/>
      <c r="D8" s="104" t="str">
        <f t="shared" ref="D8:D31" si="0">IF(B8=0, "    ---- ", IF(ABS(ROUND(100/B8*C8-100,1))&lt;999,ROUND(100/B8*C8-100,1),IF(ROUND(100/B8*C8-100,1)&gt;999,999,-999)))</f>
        <v xml:space="preserve">    ---- </v>
      </c>
      <c r="E8" s="413"/>
      <c r="F8" s="177"/>
      <c r="G8" s="129"/>
      <c r="H8" s="129"/>
      <c r="I8" s="103"/>
      <c r="J8" s="413"/>
      <c r="K8" s="139"/>
      <c r="L8" s="221" t="s">
        <v>0</v>
      </c>
      <c r="M8" s="222"/>
      <c r="N8" s="223"/>
      <c r="O8" s="222"/>
      <c r="P8" s="87" t="s">
        <v>158</v>
      </c>
    </row>
    <row r="9" spans="1:16" ht="18.75" x14ac:dyDescent="0.3">
      <c r="A9" s="194" t="s">
        <v>87</v>
      </c>
      <c r="B9" s="177">
        <f>'ACE European Group'!B7+'ACE European Group'!B22+'ACE European Group'!B36+'ACE European Group'!B47+'ACE European Group'!B66+'ACE European Group'!B134</f>
        <v>0</v>
      </c>
      <c r="C9" s="177">
        <f>'ACE European Group'!C7+'ACE European Group'!C22+'ACE European Group'!C36+'ACE European Group'!C47+'ACE European Group'!C66+'ACE European Group'!C134</f>
        <v>0</v>
      </c>
      <c r="D9" s="104" t="str">
        <f t="shared" si="0"/>
        <v xml:space="preserve">    ---- </v>
      </c>
      <c r="E9" s="413">
        <f>100/C$31*C9</f>
        <v>0</v>
      </c>
      <c r="F9" s="103"/>
      <c r="G9" s="177">
        <f>'ACE European Group'!B10+'ACE European Group'!B29+'ACE European Group'!B37+'ACE European Group'!B87+'ACE European Group'!B135</f>
        <v>0</v>
      </c>
      <c r="H9" s="177">
        <f>'ACE European Group'!C10+'ACE European Group'!C29+'ACE European Group'!C37+'ACE European Group'!C87+'ACE European Group'!C135</f>
        <v>0</v>
      </c>
      <c r="I9" s="104" t="str">
        <f t="shared" ref="I9:I31" si="1">IF(G9=0, "    ---- ", IF(ABS(ROUND(100/G9*H9-100,1))&lt;999,ROUND(100/G9*H9-100,1),IF(ROUND(100/G9*H9-100,1)&gt;999,999,-999)))</f>
        <v xml:space="preserve">    ---- </v>
      </c>
      <c r="J9" s="413">
        <f t="shared" ref="J9" si="2">100/H$31*H9</f>
        <v>0</v>
      </c>
      <c r="K9" s="208" t="s">
        <v>154</v>
      </c>
      <c r="L9" s="224">
        <f t="shared" ref="L9:L30" ca="1" si="3">INDIRECT("'" &amp; $A9 &amp; "'!" &amp; $P$7)</f>
        <v>0</v>
      </c>
      <c r="M9" s="222">
        <f t="shared" ref="M9:M30" ca="1" si="4">INDIRECT("'" &amp; $A9 &amp; "'!" &amp; $P$8)</f>
        <v>0</v>
      </c>
      <c r="N9" s="224">
        <f t="shared" ref="N9:N30" ca="1" si="5">INDIRECT("'" &amp; $A9 &amp; "'!" &amp; $P$9)</f>
        <v>0</v>
      </c>
      <c r="O9" s="222">
        <f t="shared" ref="O9:O30" ca="1" si="6">INDIRECT("'" &amp; $A9 &amp; "'!" &amp; $P$10)</f>
        <v>0</v>
      </c>
      <c r="P9" s="87" t="s">
        <v>162</v>
      </c>
    </row>
    <row r="10" spans="1:16" ht="18.75" x14ac:dyDescent="0.3">
      <c r="A10" s="194" t="s">
        <v>88</v>
      </c>
      <c r="B10" s="177">
        <f>'Danica Pensjonsforsikring'!B7+'Danica Pensjonsforsikring'!B22+'Danica Pensjonsforsikring'!B36+'Danica Pensjonsforsikring'!B47+'Danica Pensjonsforsikring'!B66+'Danica Pensjonsforsikring'!B134</f>
        <v>296945.32299999997</v>
      </c>
      <c r="C10" s="177">
        <f>'Danica Pensjonsforsikring'!C7+'Danica Pensjonsforsikring'!C22+'Danica Pensjonsforsikring'!C36+'Danica Pensjonsforsikring'!C47+'Danica Pensjonsforsikring'!C66+'Danica Pensjonsforsikring'!C134</f>
        <v>311903.85599999997</v>
      </c>
      <c r="D10" s="104">
        <f t="shared" si="0"/>
        <v>5</v>
      </c>
      <c r="E10" s="413">
        <f t="shared" ref="E10:E30" si="7">100/C$31*C10</f>
        <v>0.61242938630824462</v>
      </c>
      <c r="F10" s="103"/>
      <c r="G10" s="177">
        <f>'Danica Pensjonsforsikring'!B10+'Danica Pensjonsforsikring'!B29+'Danica Pensjonsforsikring'!B37+'Danica Pensjonsforsikring'!B87+'Danica Pensjonsforsikring'!B135</f>
        <v>1007145.416</v>
      </c>
      <c r="H10" s="177">
        <f>'Danica Pensjonsforsikring'!C10+'Danica Pensjonsforsikring'!C29+'Danica Pensjonsforsikring'!C37+'Danica Pensjonsforsikring'!C87+'Danica Pensjonsforsikring'!C135</f>
        <v>1087595.622</v>
      </c>
      <c r="I10" s="104">
        <f t="shared" si="1"/>
        <v>8</v>
      </c>
      <c r="J10" s="413">
        <f t="shared" ref="J10:J30" si="8">100/H$31*H10</f>
        <v>0.10811618050447064</v>
      </c>
      <c r="K10" s="209" t="s">
        <v>155</v>
      </c>
      <c r="L10" s="224">
        <f t="shared" ca="1" si="3"/>
        <v>0</v>
      </c>
      <c r="M10" s="222">
        <f t="shared" ca="1" si="4"/>
        <v>0</v>
      </c>
      <c r="N10" s="224">
        <f t="shared" ca="1" si="5"/>
        <v>0</v>
      </c>
      <c r="O10" s="222">
        <f t="shared" ca="1" si="6"/>
        <v>0</v>
      </c>
      <c r="P10" s="87" t="s">
        <v>167</v>
      </c>
    </row>
    <row r="11" spans="1:16" ht="18.75" x14ac:dyDescent="0.3">
      <c r="A11" s="194" t="s">
        <v>89</v>
      </c>
      <c r="B11" s="177">
        <f>'DNB Livsforsikring'!B7+'DNB Livsforsikring'!B22+'DNB Livsforsikring'!B36+'DNB Livsforsikring'!B47+'DNB Livsforsikring'!B66+'DNB Livsforsikring'!B134</f>
        <v>4014341.2930000001</v>
      </c>
      <c r="C11" s="177">
        <f>'DNB Livsforsikring'!C7+'DNB Livsforsikring'!C22+'DNB Livsforsikring'!C36+'DNB Livsforsikring'!C47+'DNB Livsforsikring'!C66+'DNB Livsforsikring'!C134</f>
        <v>3693482</v>
      </c>
      <c r="D11" s="104">
        <f t="shared" si="0"/>
        <v>-8</v>
      </c>
      <c r="E11" s="413">
        <f t="shared" si="7"/>
        <v>7.2522249118989679</v>
      </c>
      <c r="F11" s="103"/>
      <c r="G11" s="177">
        <f>'DNB Livsforsikring'!B10+'DNB Livsforsikring'!B29+'DNB Livsforsikring'!B37+'DNB Livsforsikring'!B87+'DNB Livsforsikring'!B135</f>
        <v>203732853</v>
      </c>
      <c r="H11" s="177">
        <f>'DNB Livsforsikring'!C10+'DNB Livsforsikring'!C29+'DNB Livsforsikring'!C37+'DNB Livsforsikring'!C87+'DNB Livsforsikring'!C135</f>
        <v>201016641</v>
      </c>
      <c r="I11" s="104">
        <f t="shared" si="1"/>
        <v>-1.3</v>
      </c>
      <c r="J11" s="413">
        <f t="shared" si="8"/>
        <v>19.982750025044119</v>
      </c>
      <c r="K11" s="87" t="s">
        <v>148</v>
      </c>
      <c r="L11" s="224">
        <f t="shared" ca="1" si="3"/>
        <v>0</v>
      </c>
      <c r="M11" s="222">
        <f t="shared" ca="1" si="4"/>
        <v>0</v>
      </c>
      <c r="N11" s="224">
        <f t="shared" ca="1" si="5"/>
        <v>0</v>
      </c>
      <c r="O11" s="222">
        <f t="shared" ca="1" si="6"/>
        <v>0</v>
      </c>
    </row>
    <row r="12" spans="1:16" ht="18.75" x14ac:dyDescent="0.3">
      <c r="A12" s="194" t="s">
        <v>90</v>
      </c>
      <c r="B12" s="177">
        <f>'Eika Forsikring AS'!B7+'Eika Forsikring AS'!B22+'Eika Forsikring AS'!B36+'Eika Forsikring AS'!B47+'Eika Forsikring AS'!B66+'Eika Forsikring AS'!B134</f>
        <v>210802</v>
      </c>
      <c r="C12" s="177">
        <f>'Eika Forsikring AS'!C7+'Eika Forsikring AS'!C22+'Eika Forsikring AS'!C36+'Eika Forsikring AS'!C47+'Eika Forsikring AS'!C66+'Eika Forsikring AS'!C134</f>
        <v>228170</v>
      </c>
      <c r="D12" s="104">
        <f t="shared" si="0"/>
        <v>8.1999999999999993</v>
      </c>
      <c r="E12" s="413">
        <f t="shared" si="7"/>
        <v>0.44801630497941713</v>
      </c>
      <c r="F12" s="103"/>
      <c r="G12" s="177">
        <f>'Eika Forsikring AS'!B10+'Eika Forsikring AS'!B29+'Eika Forsikring AS'!B37+'Eika Forsikring AS'!B87+'Eika Forsikring AS'!B135</f>
        <v>0</v>
      </c>
      <c r="H12" s="177">
        <f>'Eika Forsikring AS'!C10+'Eika Forsikring AS'!C29+'Eika Forsikring AS'!C37+'Eika Forsikring AS'!C87+'Eika Forsikring AS'!C135</f>
        <v>0</v>
      </c>
      <c r="I12" s="104" t="str">
        <f t="shared" si="1"/>
        <v xml:space="preserve">    ---- </v>
      </c>
      <c r="J12" s="413">
        <f t="shared" si="8"/>
        <v>0</v>
      </c>
      <c r="K12" s="87" t="s">
        <v>156</v>
      </c>
      <c r="L12" s="224">
        <f t="shared" ca="1" si="3"/>
        <v>0</v>
      </c>
      <c r="M12" s="222">
        <f t="shared" ca="1" si="4"/>
        <v>0</v>
      </c>
      <c r="N12" s="224">
        <f t="shared" ca="1" si="5"/>
        <v>0</v>
      </c>
      <c r="O12" s="222">
        <f t="shared" ca="1" si="6"/>
        <v>0</v>
      </c>
    </row>
    <row r="13" spans="1:16" ht="18.75" x14ac:dyDescent="0.3">
      <c r="A13" s="194" t="s">
        <v>91</v>
      </c>
      <c r="B13" s="178">
        <f>'Frende Livsforsikring'!B7+'Frende Livsforsikring'!B22+'Frende Livsforsikring'!B36+'Frende Livsforsikring'!B47+'Frende Livsforsikring'!B66+'Frende Livsforsikring'!B134</f>
        <v>437712.8</v>
      </c>
      <c r="C13" s="178">
        <f>'Frende Livsforsikring'!C7+'Frende Livsforsikring'!C22+'Frende Livsforsikring'!C36+'Frende Livsforsikring'!C47+'Frende Livsforsikring'!C66+'Frende Livsforsikring'!C134</f>
        <v>463177</v>
      </c>
      <c r="D13" s="104">
        <f t="shared" si="0"/>
        <v>5.8</v>
      </c>
      <c r="E13" s="413">
        <f t="shared" si="7"/>
        <v>0.90945719459811314</v>
      </c>
      <c r="F13" s="103"/>
      <c r="G13" s="177">
        <f>'Frende Livsforsikring'!B10+'Frende Livsforsikring'!B29+'Frende Livsforsikring'!B37+'Frende Livsforsikring'!B87+'Frende Livsforsikring'!B135</f>
        <v>771494</v>
      </c>
      <c r="H13" s="177">
        <f>'Frende Livsforsikring'!C10+'Frende Livsforsikring'!C29+'Frende Livsforsikring'!C37+'Frende Livsforsikring'!C87+'Frende Livsforsikring'!C135</f>
        <v>833959.8</v>
      </c>
      <c r="I13" s="104">
        <f t="shared" si="1"/>
        <v>8.1</v>
      </c>
      <c r="J13" s="413">
        <f t="shared" si="8"/>
        <v>8.2902639957732602E-2</v>
      </c>
      <c r="K13" s="87" t="s">
        <v>149</v>
      </c>
      <c r="L13" s="224">
        <f t="shared" ca="1" si="3"/>
        <v>0</v>
      </c>
      <c r="M13" s="222">
        <f t="shared" ca="1" si="4"/>
        <v>0</v>
      </c>
      <c r="N13" s="224">
        <f t="shared" ca="1" si="5"/>
        <v>0</v>
      </c>
      <c r="O13" s="222">
        <f t="shared" ca="1" si="6"/>
        <v>0</v>
      </c>
    </row>
    <row r="14" spans="1:16" ht="18.75" x14ac:dyDescent="0.3">
      <c r="A14" s="194" t="s">
        <v>92</v>
      </c>
      <c r="B14" s="177">
        <f>'Frende Skadeforsikring'!B7+'Frende Skadeforsikring'!B22+'Frende Skadeforsikring'!B36+'Frende Skadeforsikring'!B47+'Frende Skadeforsikring'!B66+'Frende Skadeforsikring'!B134</f>
        <v>5631</v>
      </c>
      <c r="C14" s="177">
        <f>'Frende Skadeforsikring'!C7+'Frende Skadeforsikring'!C22+'Frende Skadeforsikring'!C36+'Frende Skadeforsikring'!C47+'Frende Skadeforsikring'!C66+'Frende Skadeforsikring'!C134</f>
        <v>6101</v>
      </c>
      <c r="D14" s="104">
        <f t="shared" si="0"/>
        <v>8.3000000000000007</v>
      </c>
      <c r="E14" s="413">
        <f t="shared" si="7"/>
        <v>1.1979434091595844E-2</v>
      </c>
      <c r="F14" s="103"/>
      <c r="G14" s="177">
        <f>'Frende Skadeforsikring'!B10+'Frende Skadeforsikring'!B29+'Frende Skadeforsikring'!B37+'Frende Skadeforsikring'!B87+'Frende Skadeforsikring'!B135</f>
        <v>0</v>
      </c>
      <c r="H14" s="177">
        <f>'Frende Skadeforsikring'!C10+'Frende Skadeforsikring'!C29+'Frende Skadeforsikring'!C37+'Frende Skadeforsikring'!C87+'Frende Skadeforsikring'!C135</f>
        <v>0</v>
      </c>
      <c r="I14" s="104" t="str">
        <f t="shared" si="1"/>
        <v xml:space="preserve">    ---- </v>
      </c>
      <c r="J14" s="413">
        <f t="shared" si="8"/>
        <v>0</v>
      </c>
      <c r="K14" s="87" t="s">
        <v>157</v>
      </c>
      <c r="L14" s="224">
        <f t="shared" ca="1" si="3"/>
        <v>0</v>
      </c>
      <c r="M14" s="222">
        <f t="shared" ca="1" si="4"/>
        <v>0</v>
      </c>
      <c r="N14" s="224">
        <f t="shared" ca="1" si="5"/>
        <v>0</v>
      </c>
      <c r="O14" s="222">
        <f t="shared" ca="1" si="6"/>
        <v>0</v>
      </c>
    </row>
    <row r="15" spans="1:16" ht="18.75" x14ac:dyDescent="0.3">
      <c r="A15" s="194" t="s">
        <v>93</v>
      </c>
      <c r="B15" s="177">
        <f>'Gjensidige Forsikring'!B7+'Gjensidige Forsikring'!B22+'Gjensidige Forsikring'!B36+'Gjensidige Forsikring'!B47+'Gjensidige Forsikring'!B66+'Gjensidige Forsikring'!B134</f>
        <v>1345481</v>
      </c>
      <c r="C15" s="177">
        <f>'Gjensidige Forsikring'!C7+'Gjensidige Forsikring'!C22+'Gjensidige Forsikring'!C36+'Gjensidige Forsikring'!C47+'Gjensidige Forsikring'!C66+'Gjensidige Forsikring'!C134</f>
        <v>1376815</v>
      </c>
      <c r="D15" s="104">
        <f t="shared" si="0"/>
        <v>2.2999999999999998</v>
      </c>
      <c r="E15" s="413">
        <f t="shared" si="7"/>
        <v>2.7034034664514888</v>
      </c>
      <c r="F15" s="103"/>
      <c r="G15" s="177">
        <f>'Gjensidige Forsikring'!B10+'Gjensidige Forsikring'!B29+'Gjensidige Forsikring'!B37+'Gjensidige Forsikring'!B87+'Gjensidige Forsikring'!B135</f>
        <v>0</v>
      </c>
      <c r="H15" s="177">
        <f>'Gjensidige Forsikring'!C10+'Gjensidige Forsikring'!C29+'Gjensidige Forsikring'!C37+'Gjensidige Forsikring'!C87+'Gjensidige Forsikring'!C135</f>
        <v>0</v>
      </c>
      <c r="I15" s="104" t="str">
        <f t="shared" si="1"/>
        <v xml:space="preserve">    ---- </v>
      </c>
      <c r="J15" s="413">
        <f t="shared" si="8"/>
        <v>0</v>
      </c>
      <c r="K15" s="87" t="s">
        <v>150</v>
      </c>
      <c r="L15" s="224">
        <f t="shared" ca="1" si="3"/>
        <v>0</v>
      </c>
      <c r="M15" s="222">
        <f t="shared" ca="1" si="4"/>
        <v>0</v>
      </c>
      <c r="N15" s="224">
        <f t="shared" ca="1" si="5"/>
        <v>0</v>
      </c>
      <c r="O15" s="222">
        <f t="shared" ca="1" si="6"/>
        <v>0</v>
      </c>
    </row>
    <row r="16" spans="1:16" ht="18.75" x14ac:dyDescent="0.3">
      <c r="A16" s="194" t="s">
        <v>94</v>
      </c>
      <c r="B16" s="177">
        <f>'Gjensidige Pensjon'!B7+'Gjensidige Pensjon'!B22+'Gjensidige Pensjon'!B36+'Gjensidige Pensjon'!B47+'Gjensidige Pensjon'!B66+'Gjensidige Pensjon'!B134</f>
        <v>397649.359</v>
      </c>
      <c r="C16" s="177">
        <f>'Gjensidige Pensjon'!C7+'Gjensidige Pensjon'!C22+'Gjensidige Pensjon'!C36+'Gjensidige Pensjon'!C47+'Gjensidige Pensjon'!C66+'Gjensidige Pensjon'!C134</f>
        <v>448350</v>
      </c>
      <c r="D16" s="104">
        <f t="shared" si="0"/>
        <v>12.8</v>
      </c>
      <c r="E16" s="413">
        <f t="shared" si="7"/>
        <v>0.88034408702950284</v>
      </c>
      <c r="F16" s="103"/>
      <c r="G16" s="177">
        <f>'Gjensidige Pensjon'!B10+'Gjensidige Pensjon'!B29+'Gjensidige Pensjon'!B37+'Gjensidige Pensjon'!B87+'Gjensidige Pensjon'!B135</f>
        <v>5849818.0779999997</v>
      </c>
      <c r="H16" s="177">
        <f>'Gjensidige Pensjon'!C10+'Gjensidige Pensjon'!C29+'Gjensidige Pensjon'!C37+'Gjensidige Pensjon'!C87+'Gjensidige Pensjon'!C135</f>
        <v>6474253</v>
      </c>
      <c r="I16" s="104">
        <f t="shared" si="1"/>
        <v>10.7</v>
      </c>
      <c r="J16" s="413">
        <f t="shared" si="8"/>
        <v>0.64359536929030647</v>
      </c>
      <c r="K16" s="87" t="s">
        <v>158</v>
      </c>
      <c r="L16" s="224">
        <f t="shared" ca="1" si="3"/>
        <v>0</v>
      </c>
      <c r="M16" s="222">
        <f t="shared" ca="1" si="4"/>
        <v>0</v>
      </c>
      <c r="N16" s="224">
        <f t="shared" ca="1" si="5"/>
        <v>0</v>
      </c>
      <c r="O16" s="222">
        <f t="shared" ca="1" si="6"/>
        <v>0</v>
      </c>
    </row>
    <row r="17" spans="1:21" ht="18.75" x14ac:dyDescent="0.3">
      <c r="A17" s="194" t="s">
        <v>95</v>
      </c>
      <c r="B17" s="177">
        <f>'Handelsbanken Liv'!B7+'Handelsbanken Liv'!B22+'Handelsbanken Liv'!B36+'Handelsbanken Liv'!B47+'Handelsbanken Liv'!B66+'Handelsbanken Liv'!B134</f>
        <v>28772</v>
      </c>
      <c r="C17" s="177">
        <f>'Handelsbanken Liv'!C7+'Handelsbanken Liv'!C22+'Handelsbanken Liv'!C36+'Handelsbanken Liv'!C47+'Handelsbanken Liv'!C66+'Handelsbanken Liv'!C134</f>
        <v>27672</v>
      </c>
      <c r="D17" s="104">
        <f t="shared" si="0"/>
        <v>-3.8</v>
      </c>
      <c r="E17" s="413">
        <f t="shared" si="7"/>
        <v>5.4334518961258842E-2</v>
      </c>
      <c r="F17" s="103"/>
      <c r="G17" s="177">
        <f>'Handelsbanken Liv'!B10+'Handelsbanken Liv'!B29+'Handelsbanken Liv'!B37+'Handelsbanken Liv'!B87+'Handelsbanken Liv'!B135</f>
        <v>24751</v>
      </c>
      <c r="H17" s="177">
        <f>'Handelsbanken Liv'!C10+'Handelsbanken Liv'!C29+'Handelsbanken Liv'!C37+'Handelsbanken Liv'!C87+'Handelsbanken Liv'!C135</f>
        <v>22959</v>
      </c>
      <c r="I17" s="104">
        <f t="shared" si="1"/>
        <v>-7.2</v>
      </c>
      <c r="J17" s="413">
        <f t="shared" si="8"/>
        <v>2.2823182973442874E-3</v>
      </c>
      <c r="K17" s="139"/>
      <c r="L17" s="224">
        <f t="shared" ca="1" si="3"/>
        <v>0</v>
      </c>
      <c r="M17" s="222">
        <f t="shared" ca="1" si="4"/>
        <v>0</v>
      </c>
      <c r="N17" s="224">
        <f t="shared" ca="1" si="5"/>
        <v>0</v>
      </c>
      <c r="O17" s="222">
        <f t="shared" ca="1" si="6"/>
        <v>0</v>
      </c>
    </row>
    <row r="18" spans="1:21" ht="18.75" x14ac:dyDescent="0.3">
      <c r="A18" s="194" t="s">
        <v>96</v>
      </c>
      <c r="B18" s="177">
        <f>'If Skadeforsikring NUF'!B7+'If Skadeforsikring NUF'!B22+'If Skadeforsikring NUF'!B36+'If Skadeforsikring NUF'!B47+'If Skadeforsikring NUF'!B66+'If Skadeforsikring NUF'!B134</f>
        <v>349378.46600000001</v>
      </c>
      <c r="C18" s="177">
        <f>'If Skadeforsikring NUF'!C7+'If Skadeforsikring NUF'!C22+'If Skadeforsikring NUF'!C36+'If Skadeforsikring NUF'!C47+'If Skadeforsikring NUF'!C66+'If Skadeforsikring NUF'!C134</f>
        <v>354933.20600000001</v>
      </c>
      <c r="D18" s="104">
        <f t="shared" si="0"/>
        <v>1.6</v>
      </c>
      <c r="E18" s="413">
        <f t="shared" si="7"/>
        <v>0.696918365545945</v>
      </c>
      <c r="F18" s="103"/>
      <c r="G18" s="177">
        <f>'If Skadeforsikring NUF'!B10+'If Skadeforsikring NUF'!B29+'If Skadeforsikring NUF'!B37+'If Skadeforsikring NUF'!B87+'If Skadeforsikring NUF'!B135</f>
        <v>0</v>
      </c>
      <c r="H18" s="177">
        <f>'If Skadeforsikring NUF'!C10+'If Skadeforsikring NUF'!C29+'If Skadeforsikring NUF'!C37+'If Skadeforsikring NUF'!C87+'If Skadeforsikring NUF'!C135</f>
        <v>0</v>
      </c>
      <c r="I18" s="104" t="str">
        <f t="shared" si="1"/>
        <v xml:space="preserve">    ---- </v>
      </c>
      <c r="J18" s="413">
        <f t="shared" si="8"/>
        <v>0</v>
      </c>
      <c r="K18" s="139"/>
      <c r="L18" s="224">
        <f t="shared" ca="1" si="3"/>
        <v>0</v>
      </c>
      <c r="M18" s="222">
        <f t="shared" ca="1" si="4"/>
        <v>0</v>
      </c>
      <c r="N18" s="224">
        <f t="shared" ca="1" si="5"/>
        <v>0</v>
      </c>
      <c r="O18" s="222">
        <f t="shared" ca="1" si="6"/>
        <v>0</v>
      </c>
    </row>
    <row r="19" spans="1:21" ht="18.75" x14ac:dyDescent="0.3">
      <c r="A19" s="194" t="s">
        <v>64</v>
      </c>
      <c r="B19" s="177">
        <f>KLP!B7+KLP!B22+KLP!B36+KLP!B47+KLP!B66+KLP!B134</f>
        <v>23695892.482170001</v>
      </c>
      <c r="C19" s="177">
        <f>KLP!C7+KLP!C22+KLP!C36+KLP!C47+KLP!C66+KLP!C134</f>
        <v>31138078.29101</v>
      </c>
      <c r="D19" s="104">
        <f t="shared" si="0"/>
        <v>31.4</v>
      </c>
      <c r="E19" s="413">
        <f t="shared" si="7"/>
        <v>61.140232195722938</v>
      </c>
      <c r="F19" s="103"/>
      <c r="G19" s="177">
        <f>KLP!B10+KLP!B29+KLP!B37+KLP!B87+KLP!B135</f>
        <v>439040297.38777</v>
      </c>
      <c r="H19" s="177">
        <f>KLP!C10+KLP!C29+KLP!C37+KLP!C87+KLP!C135</f>
        <v>469261417.09344</v>
      </c>
      <c r="I19" s="104">
        <f t="shared" si="1"/>
        <v>6.9</v>
      </c>
      <c r="J19" s="413">
        <f t="shared" si="8"/>
        <v>46.648543859491596</v>
      </c>
      <c r="K19" s="139"/>
      <c r="L19" s="224">
        <f t="shared" ca="1" si="3"/>
        <v>0</v>
      </c>
      <c r="M19" s="222">
        <f t="shared" ca="1" si="4"/>
        <v>0</v>
      </c>
      <c r="N19" s="224">
        <f t="shared" ca="1" si="5"/>
        <v>0</v>
      </c>
      <c r="O19" s="222">
        <f t="shared" ca="1" si="6"/>
        <v>0</v>
      </c>
    </row>
    <row r="20" spans="1:21" ht="18.75" x14ac:dyDescent="0.3">
      <c r="A20" s="108" t="s">
        <v>97</v>
      </c>
      <c r="B20" s="177">
        <f>'KLP Bedriftspensjon AS'!B7+'KLP Bedriftspensjon AS'!B22+'KLP Bedriftspensjon AS'!B36+'KLP Bedriftspensjon AS'!B47+'KLP Bedriftspensjon AS'!B66+'KLP Bedriftspensjon AS'!B134</f>
        <v>61324</v>
      </c>
      <c r="C20" s="177">
        <f>'KLP Bedriftspensjon AS'!C7+'KLP Bedriftspensjon AS'!C22+'KLP Bedriftspensjon AS'!C36+'KLP Bedriftspensjon AS'!C47+'KLP Bedriftspensjon AS'!C66+'KLP Bedriftspensjon AS'!C134</f>
        <v>66367</v>
      </c>
      <c r="D20" s="104">
        <f t="shared" si="0"/>
        <v>8.1999999999999993</v>
      </c>
      <c r="E20" s="413">
        <f t="shared" si="7"/>
        <v>0.13031291630174421</v>
      </c>
      <c r="F20" s="103"/>
      <c r="G20" s="177">
        <f>'KLP Bedriftspensjon AS'!B10+'KLP Bedriftspensjon AS'!B29+'KLP Bedriftspensjon AS'!B37+'KLP Bedriftspensjon AS'!B87+'KLP Bedriftspensjon AS'!B135</f>
        <v>1539670</v>
      </c>
      <c r="H20" s="177">
        <f>'KLP Bedriftspensjon AS'!C10+'KLP Bedriftspensjon AS'!C29+'KLP Bedriftspensjon AS'!C37+'KLP Bedriftspensjon AS'!C87+'KLP Bedriftspensjon AS'!C135</f>
        <v>1682836</v>
      </c>
      <c r="I20" s="104">
        <f t="shared" si="1"/>
        <v>9.3000000000000007</v>
      </c>
      <c r="J20" s="413">
        <f t="shared" si="8"/>
        <v>0.16728809592010416</v>
      </c>
      <c r="K20" s="139"/>
      <c r="L20" s="224">
        <f t="shared" ca="1" si="3"/>
        <v>0</v>
      </c>
      <c r="M20" s="222">
        <f t="shared" ca="1" si="4"/>
        <v>0</v>
      </c>
      <c r="N20" s="224">
        <f t="shared" ca="1" si="5"/>
        <v>0</v>
      </c>
      <c r="O20" s="222">
        <f t="shared" ca="1" si="6"/>
        <v>0</v>
      </c>
    </row>
    <row r="21" spans="1:21" ht="18.75" x14ac:dyDescent="0.3">
      <c r="A21" s="108" t="s">
        <v>98</v>
      </c>
      <c r="B21" s="177">
        <f>'KLP Skadeforsikring AS'!B7+'KLP Skadeforsikring AS'!B22+'KLP Skadeforsikring AS'!B36+'KLP Skadeforsikring AS'!B47+'KLP Skadeforsikring AS'!B66+'KLP Skadeforsikring AS'!B134</f>
        <v>138577.38699999999</v>
      </c>
      <c r="C21" s="177">
        <f>'KLP Skadeforsikring AS'!C7+'KLP Skadeforsikring AS'!C22+'KLP Skadeforsikring AS'!C36+'KLP Skadeforsikring AS'!C47+'KLP Skadeforsikring AS'!C66+'KLP Skadeforsikring AS'!C134</f>
        <v>126445.98299999999</v>
      </c>
      <c r="D21" s="104">
        <f t="shared" si="0"/>
        <v>-8.8000000000000007</v>
      </c>
      <c r="E21" s="413">
        <f t="shared" si="7"/>
        <v>0.24827918693583814</v>
      </c>
      <c r="F21" s="103"/>
      <c r="G21" s="177">
        <f>'KLP Skadeforsikring AS'!B10+'KLP Skadeforsikring AS'!B29+'KLP Skadeforsikring AS'!B37+'KLP Skadeforsikring AS'!B87+'KLP Skadeforsikring AS'!B135</f>
        <v>4442</v>
      </c>
      <c r="H21" s="177">
        <f>'KLP Skadeforsikring AS'!C10+'KLP Skadeforsikring AS'!C29+'KLP Skadeforsikring AS'!C37+'KLP Skadeforsikring AS'!C87+'KLP Skadeforsikring AS'!C135</f>
        <v>17207.845999999998</v>
      </c>
      <c r="I21" s="104">
        <f t="shared" si="1"/>
        <v>287.39999999999998</v>
      </c>
      <c r="J21" s="413">
        <f t="shared" si="8"/>
        <v>1.7106050691965114E-3</v>
      </c>
      <c r="K21" s="139"/>
      <c r="L21" s="224">
        <f t="shared" ca="1" si="3"/>
        <v>0</v>
      </c>
      <c r="M21" s="222">
        <f t="shared" ca="1" si="4"/>
        <v>0</v>
      </c>
      <c r="N21" s="224">
        <f t="shared" ca="1" si="5"/>
        <v>0</v>
      </c>
      <c r="O21" s="222">
        <f t="shared" ca="1" si="6"/>
        <v>0</v>
      </c>
    </row>
    <row r="22" spans="1:21" ht="18.75" x14ac:dyDescent="0.3">
      <c r="A22" s="108" t="s">
        <v>99</v>
      </c>
      <c r="B22" s="177">
        <f>'Landbruksforsikring AS'!B7+'Landbruksforsikring AS'!B22+'Landbruksforsikring AS'!B36+'Landbruksforsikring AS'!B47+'Landbruksforsikring AS'!B66+'Landbruksforsikring AS'!B134</f>
        <v>24813</v>
      </c>
      <c r="C22" s="177">
        <f>'Landbruksforsikring AS'!C7+'Landbruksforsikring AS'!C22+'Landbruksforsikring AS'!C36+'Landbruksforsikring AS'!C47+'Landbruksforsikring AS'!C66+'Landbruksforsikring AS'!C134</f>
        <v>24377</v>
      </c>
      <c r="D22" s="104">
        <f t="shared" si="0"/>
        <v>-1.8</v>
      </c>
      <c r="E22" s="413">
        <f t="shared" si="7"/>
        <v>4.7864721332704786E-2</v>
      </c>
      <c r="F22" s="103"/>
      <c r="G22" s="177">
        <f>'Landbruksforsikring AS'!B10+'Landbruksforsikring AS'!B29+'Landbruksforsikring AS'!B37+'Landbruksforsikring AS'!B87+'Landbruksforsikring AS'!B135</f>
        <v>0</v>
      </c>
      <c r="H22" s="177">
        <f>'Landbruksforsikring AS'!C10+'Landbruksforsikring AS'!C29+'Landbruksforsikring AS'!C37+'Landbruksforsikring AS'!C87+'Landbruksforsikring AS'!C135</f>
        <v>0</v>
      </c>
      <c r="I22" s="104"/>
      <c r="J22" s="413">
        <f t="shared" si="8"/>
        <v>0</v>
      </c>
      <c r="K22" s="139"/>
      <c r="L22" s="224">
        <f t="shared" ca="1" si="3"/>
        <v>0</v>
      </c>
      <c r="M22" s="222">
        <f t="shared" ca="1" si="4"/>
        <v>0</v>
      </c>
      <c r="N22" s="224">
        <f t="shared" ca="1" si="5"/>
        <v>0</v>
      </c>
      <c r="O22" s="222">
        <f t="shared" ca="1" si="6"/>
        <v>0</v>
      </c>
    </row>
    <row r="23" spans="1:21" ht="18.75" x14ac:dyDescent="0.3">
      <c r="A23" s="194" t="s">
        <v>100</v>
      </c>
      <c r="B23" s="177">
        <f>'NEMI Forsikring'!B7+'NEMI Forsikring'!B22+'NEMI Forsikring'!B36+'NEMI Forsikring'!B47+'NEMI Forsikring'!B66+'NEMI Forsikring'!B134</f>
        <v>2011</v>
      </c>
      <c r="C23" s="177">
        <f>'NEMI Forsikring'!C7+'NEMI Forsikring'!C22+'NEMI Forsikring'!C36+'NEMI Forsikring'!C47+'NEMI Forsikring'!C66+'NEMI Forsikring'!C134</f>
        <v>1079</v>
      </c>
      <c r="D23" s="104">
        <f t="shared" si="0"/>
        <v>-46.3</v>
      </c>
      <c r="E23" s="413">
        <f t="shared" si="7"/>
        <v>2.1186378273777931E-3</v>
      </c>
      <c r="F23" s="103"/>
      <c r="G23" s="177">
        <f>'NEMI Forsikring'!B10+'NEMI Forsikring'!B29+'NEMI Forsikring'!B37+'NEMI Forsikring'!B87+'NEMI Forsikring'!B135</f>
        <v>0</v>
      </c>
      <c r="H23" s="177">
        <f>'NEMI Forsikring'!C10+'NEMI Forsikring'!C29+'NEMI Forsikring'!C37+'NEMI Forsikring'!C87+'NEMI Forsikring'!C135</f>
        <v>0</v>
      </c>
      <c r="I23" s="104"/>
      <c r="J23" s="413">
        <f t="shared" si="8"/>
        <v>0</v>
      </c>
      <c r="K23" s="139"/>
      <c r="L23" s="224">
        <f t="shared" ca="1" si="3"/>
        <v>0</v>
      </c>
      <c r="M23" s="222">
        <f t="shared" ca="1" si="4"/>
        <v>0</v>
      </c>
      <c r="N23" s="224">
        <f t="shared" ca="1" si="5"/>
        <v>0</v>
      </c>
      <c r="O23" s="222">
        <f t="shared" ca="1" si="6"/>
        <v>0</v>
      </c>
    </row>
    <row r="24" spans="1:21" ht="18.75" x14ac:dyDescent="0.3">
      <c r="A24" s="108" t="s">
        <v>101</v>
      </c>
      <c r="B24" s="177">
        <f>'Nordea Liv '!B7+'Nordea Liv '!B22+'Nordea Liv '!B36+'Nordea Liv '!B47+'Nordea Liv '!B66+'Nordea Liv '!B134</f>
        <v>1392867.1153005019</v>
      </c>
      <c r="C24" s="177">
        <f>'Nordea Liv '!C7+'Nordea Liv '!C22+'Nordea Liv '!C36+'Nordea Liv '!C47+'Nordea Liv '!C66+'Nordea Liv '!C134</f>
        <v>1223827.0734030721</v>
      </c>
      <c r="D24" s="104">
        <f t="shared" si="0"/>
        <v>-12.1</v>
      </c>
      <c r="E24" s="413">
        <f t="shared" si="7"/>
        <v>2.4030086486383757</v>
      </c>
      <c r="F24" s="103"/>
      <c r="G24" s="178">
        <f>'Nordea Liv '!B10+'Nordea Liv '!B29+'Nordea Liv '!B37+'Nordea Liv '!B87+'Nordea Liv '!B135</f>
        <v>49518955.082999974</v>
      </c>
      <c r="H24" s="178">
        <f>'Nordea Liv '!C10+'Nordea Liv '!C29+'Nordea Liv '!C37+'Nordea Liv '!C87+'Nordea Liv '!C135</f>
        <v>50214570.000432804</v>
      </c>
      <c r="I24" s="104">
        <f t="shared" si="1"/>
        <v>1.4</v>
      </c>
      <c r="J24" s="413">
        <f t="shared" si="8"/>
        <v>4.9917519014444593</v>
      </c>
      <c r="K24" s="139"/>
      <c r="L24" s="224">
        <f t="shared" ca="1" si="3"/>
        <v>0</v>
      </c>
      <c r="M24" s="222">
        <f t="shared" ca="1" si="4"/>
        <v>0</v>
      </c>
      <c r="N24" s="224">
        <f t="shared" ca="1" si="5"/>
        <v>0</v>
      </c>
      <c r="O24" s="222">
        <f t="shared" ca="1" si="6"/>
        <v>0</v>
      </c>
    </row>
    <row r="25" spans="1:21" ht="18.75" x14ac:dyDescent="0.3">
      <c r="A25" s="108" t="s">
        <v>102</v>
      </c>
      <c r="B25" s="177">
        <f>'Oslo Pensjonsforsikring'!B7+'Oslo Pensjonsforsikring'!B22+'Oslo Pensjonsforsikring'!B36+'Oslo Pensjonsforsikring'!B47+'Oslo Pensjonsforsikring'!B66+'Oslo Pensjonsforsikring'!B134</f>
        <v>3152879</v>
      </c>
      <c r="C25" s="177">
        <f>'Oslo Pensjonsforsikring'!C7+'Oslo Pensjonsforsikring'!C22+'Oslo Pensjonsforsikring'!C36+'Oslo Pensjonsforsikring'!C47+'Oslo Pensjonsforsikring'!C66+'Oslo Pensjonsforsikring'!C134</f>
        <v>4003368.5150000001</v>
      </c>
      <c r="D25" s="104">
        <f t="shared" si="0"/>
        <v>27</v>
      </c>
      <c r="E25" s="413">
        <f t="shared" si="7"/>
        <v>7.860693209279205</v>
      </c>
      <c r="F25" s="103"/>
      <c r="G25" s="177">
        <f>'Oslo Pensjonsforsikring'!B10+'Oslo Pensjonsforsikring'!B29+'Oslo Pensjonsforsikring'!B37+'Oslo Pensjonsforsikring'!B87+'Oslo Pensjonsforsikring'!B135</f>
        <v>69246198</v>
      </c>
      <c r="H25" s="177">
        <f>'Oslo Pensjonsforsikring'!C10+'Oslo Pensjonsforsikring'!C29+'Oslo Pensjonsforsikring'!C37+'Oslo Pensjonsforsikring'!C87+'Oslo Pensjonsforsikring'!C135</f>
        <v>74741399.903610006</v>
      </c>
      <c r="I25" s="104">
        <f t="shared" si="1"/>
        <v>7.9</v>
      </c>
      <c r="J25" s="413">
        <f t="shared" si="8"/>
        <v>7.4299257184169907</v>
      </c>
      <c r="K25" s="139"/>
      <c r="L25" s="224">
        <f t="shared" ca="1" si="3"/>
        <v>0</v>
      </c>
      <c r="M25" s="222">
        <f t="shared" ca="1" si="4"/>
        <v>0</v>
      </c>
      <c r="N25" s="224">
        <f t="shared" ca="1" si="5"/>
        <v>0</v>
      </c>
      <c r="O25" s="222">
        <f t="shared" ca="1" si="6"/>
        <v>0</v>
      </c>
    </row>
    <row r="26" spans="1:21" ht="18.75" x14ac:dyDescent="0.3">
      <c r="A26" s="108" t="s">
        <v>375</v>
      </c>
      <c r="B26" s="177">
        <f>'Protector Forsikring'!B7+'Protector Forsikring'!B22+'Protector Forsikring'!B36+'Protector Forsikring'!B47+'Protector Forsikring'!B66+'Protector Forsikring'!B134</f>
        <v>0</v>
      </c>
      <c r="C26" s="177">
        <f>'Protector Forsikring'!C7+'Protector Forsikring'!C22+'Protector Forsikring'!C36+'Protector Forsikring'!C47+'Protector Forsikring'!C66+'Protector Forsikring'!C134</f>
        <v>299297.71739252901</v>
      </c>
      <c r="D26" s="104" t="str">
        <f t="shared" si="0"/>
        <v xml:space="preserve">    ---- </v>
      </c>
      <c r="E26" s="413">
        <f t="shared" si="7"/>
        <v>0.587676983981131</v>
      </c>
      <c r="F26" s="103"/>
      <c r="G26" s="177">
        <f>'Protector Forsikring'!B10+'Protector Forsikring'!B29+'Protector Forsikring'!B37+'Protector Forsikring'!B87+'Protector Forsikring'!B135</f>
        <v>0</v>
      </c>
      <c r="H26" s="177">
        <f>'Protector Forsikring'!C10+'Protector Forsikring'!C29+'Protector Forsikring'!C37+'Protector Forsikring'!C87+'Protector Forsikring'!C135</f>
        <v>0</v>
      </c>
      <c r="I26" s="104"/>
      <c r="J26" s="413">
        <f t="shared" si="8"/>
        <v>0</v>
      </c>
      <c r="K26" s="139"/>
      <c r="L26" s="224">
        <f t="shared" ca="1" si="3"/>
        <v>0</v>
      </c>
      <c r="M26" s="222">
        <f t="shared" ca="1" si="4"/>
        <v>0</v>
      </c>
      <c r="N26" s="224">
        <f t="shared" ca="1" si="5"/>
        <v>0</v>
      </c>
      <c r="O26" s="222">
        <f t="shared" ca="1" si="6"/>
        <v>0</v>
      </c>
    </row>
    <row r="27" spans="1:21" ht="18.75" x14ac:dyDescent="0.3">
      <c r="A27" s="194" t="s">
        <v>71</v>
      </c>
      <c r="B27" s="177">
        <f>'Sparebank 1'!B7+'Sparebank 1'!B22+'Sparebank 1'!B36+'Sparebank 1'!B47+'Sparebank 1'!B66+'Sparebank 1'!B134</f>
        <v>2146555.9024900002</v>
      </c>
      <c r="C27" s="177">
        <f>'Sparebank 1'!C7+'Sparebank 1'!C22+'Sparebank 1'!C36+'Sparebank 1'!C47+'Sparebank 1'!C66+'Sparebank 1'!C134</f>
        <v>2103059.9592800001</v>
      </c>
      <c r="D27" s="104">
        <f t="shared" si="0"/>
        <v>-2</v>
      </c>
      <c r="E27" s="413">
        <f t="shared" si="7"/>
        <v>4.1293997988639566</v>
      </c>
      <c r="F27" s="103"/>
      <c r="G27" s="177">
        <f>'Sparebank 1'!B10+'Sparebank 1'!B29+'Sparebank 1'!B37+'Sparebank 1'!B87+'Sparebank 1'!B135</f>
        <v>18169216.95149</v>
      </c>
      <c r="H27" s="177">
        <f>'Sparebank 1'!C10+'Sparebank 1'!C29+'Sparebank 1'!C37+'Sparebank 1'!C87+'Sparebank 1'!C135</f>
        <v>19235566.757199999</v>
      </c>
      <c r="I27" s="104">
        <f t="shared" si="1"/>
        <v>5.9</v>
      </c>
      <c r="J27" s="413">
        <f t="shared" si="8"/>
        <v>1.912177619658743</v>
      </c>
      <c r="K27" s="139"/>
      <c r="L27" s="224">
        <f t="shared" ca="1" si="3"/>
        <v>0</v>
      </c>
      <c r="M27" s="222">
        <f t="shared" ca="1" si="4"/>
        <v>0</v>
      </c>
      <c r="N27" s="224">
        <f t="shared" ca="1" si="5"/>
        <v>0</v>
      </c>
      <c r="O27" s="222">
        <f t="shared" ca="1" si="6"/>
        <v>0</v>
      </c>
    </row>
    <row r="28" spans="1:21" ht="18.75" x14ac:dyDescent="0.3">
      <c r="A28" s="194" t="s">
        <v>103</v>
      </c>
      <c r="B28" s="177">
        <f>'Storebrand Livsforsikring'!B7+'Storebrand Livsforsikring'!B22+'Storebrand Livsforsikring'!B36+'Storebrand Livsforsikring'!B47+'Storebrand Livsforsikring'!B66+'Storebrand Livsforsikring'!B134</f>
        <v>4796050.1289999997</v>
      </c>
      <c r="C28" s="177">
        <f>'Storebrand Livsforsikring'!C7+'Storebrand Livsforsikring'!C22+'Storebrand Livsforsikring'!C36+'Storebrand Livsforsikring'!C47+'Storebrand Livsforsikring'!C66+'Storebrand Livsforsikring'!C134</f>
        <v>4517436.4090000009</v>
      </c>
      <c r="D28" s="104">
        <f t="shared" si="0"/>
        <v>-5.8</v>
      </c>
      <c r="E28" s="413">
        <f t="shared" si="7"/>
        <v>8.8700756801493057</v>
      </c>
      <c r="F28" s="103"/>
      <c r="G28" s="177">
        <f>'Storebrand Livsforsikring'!B10+'Storebrand Livsforsikring'!B29+'Storebrand Livsforsikring'!B37+'Storebrand Livsforsikring'!B87+'Storebrand Livsforsikring'!B135</f>
        <v>179943354.95199999</v>
      </c>
      <c r="H28" s="177">
        <f>'Storebrand Livsforsikring'!C10+'Storebrand Livsforsikring'!C29+'Storebrand Livsforsikring'!C37+'Storebrand Livsforsikring'!C87+'Storebrand Livsforsikring'!C135</f>
        <v>181362430.31399998</v>
      </c>
      <c r="I28" s="104">
        <f t="shared" si="1"/>
        <v>0.8</v>
      </c>
      <c r="J28" s="413">
        <f t="shared" si="8"/>
        <v>18.028955666904938</v>
      </c>
      <c r="K28" s="139"/>
      <c r="L28" s="224">
        <f t="shared" ca="1" si="3"/>
        <v>0</v>
      </c>
      <c r="M28" s="222">
        <f t="shared" ca="1" si="4"/>
        <v>0</v>
      </c>
      <c r="N28" s="224">
        <f t="shared" ca="1" si="5"/>
        <v>0</v>
      </c>
      <c r="O28" s="222">
        <f t="shared" ca="1" si="6"/>
        <v>0</v>
      </c>
    </row>
    <row r="29" spans="1:21" ht="18.75" x14ac:dyDescent="0.3">
      <c r="A29" s="194" t="s">
        <v>104</v>
      </c>
      <c r="B29" s="177">
        <f>'Telenor Forsikring'!B7+'Telenor Forsikring'!B22+'Telenor Forsikring'!B36+'Telenor Forsikring'!B47+'Telenor Forsikring'!B66+'Telenor Forsikring'!B134</f>
        <v>23751</v>
      </c>
      <c r="C29" s="177">
        <f>'Telenor Forsikring'!C7+'Telenor Forsikring'!C22+'Telenor Forsikring'!C36+'Telenor Forsikring'!C47+'Telenor Forsikring'!C66+'Telenor Forsikring'!C134</f>
        <v>20446</v>
      </c>
      <c r="D29" s="104">
        <f t="shared" si="0"/>
        <v>-13.9</v>
      </c>
      <c r="E29" s="413">
        <f t="shared" si="7"/>
        <v>4.0146125133055016E-2</v>
      </c>
      <c r="F29" s="103"/>
      <c r="G29" s="177">
        <f>'Telenor Forsikring'!B10+'Telenor Forsikring'!B29+'Telenor Forsikring'!B37+'Telenor Forsikring'!B87+'Telenor Forsikring'!B135</f>
        <v>0</v>
      </c>
      <c r="H29" s="177">
        <f>'Telenor Forsikring'!C10+'Telenor Forsikring'!C29+'Telenor Forsikring'!C37+'Telenor Forsikring'!C87+'Telenor Forsikring'!C135</f>
        <v>0</v>
      </c>
      <c r="I29" s="104"/>
      <c r="J29" s="413">
        <f t="shared" si="8"/>
        <v>0</v>
      </c>
      <c r="K29" s="208"/>
      <c r="L29" s="224">
        <f t="shared" ca="1" si="3"/>
        <v>0</v>
      </c>
      <c r="M29" s="222">
        <f t="shared" ca="1" si="4"/>
        <v>0</v>
      </c>
      <c r="N29" s="224">
        <f t="shared" ca="1" si="5"/>
        <v>0</v>
      </c>
      <c r="O29" s="222">
        <f t="shared" ca="1" si="6"/>
        <v>0</v>
      </c>
    </row>
    <row r="30" spans="1:21" ht="18.75" x14ac:dyDescent="0.3">
      <c r="A30" s="194" t="s">
        <v>105</v>
      </c>
      <c r="B30" s="177">
        <f>'Tryg Forsikring'!B7+'Tryg Forsikring'!B22+'Tryg Forsikring'!B36+'Tryg Forsikring'!B47+'Tryg Forsikring'!B66+'Tryg Forsikring'!B134</f>
        <v>487718.42099999997</v>
      </c>
      <c r="C30" s="177">
        <f>'Tryg Forsikring'!C7+'Tryg Forsikring'!C22+'Tryg Forsikring'!C36+'Tryg Forsikring'!C47+'Tryg Forsikring'!C66+'Tryg Forsikring'!C134</f>
        <v>494563</v>
      </c>
      <c r="D30" s="104">
        <f t="shared" si="0"/>
        <v>1.4</v>
      </c>
      <c r="E30" s="413">
        <f t="shared" si="7"/>
        <v>0.97108422596982713</v>
      </c>
      <c r="F30" s="103"/>
      <c r="G30" s="177">
        <f>'Tryg Forsikring'!B10+'Tryg Forsikring'!B29+'Tryg Forsikring'!B37+'Tryg Forsikring'!B87+'Tryg Forsikring'!B135</f>
        <v>0</v>
      </c>
      <c r="H30" s="177">
        <f>'Tryg Forsikring'!C10+'Tryg Forsikring'!C29+'Tryg Forsikring'!C37+'Tryg Forsikring'!C87+'Tryg Forsikring'!C135</f>
        <v>0</v>
      </c>
      <c r="I30" s="104"/>
      <c r="J30" s="413">
        <f t="shared" si="8"/>
        <v>0</v>
      </c>
      <c r="K30" s="208"/>
      <c r="L30" s="224">
        <f t="shared" ca="1" si="3"/>
        <v>0</v>
      </c>
      <c r="M30" s="222">
        <f t="shared" ca="1" si="4"/>
        <v>0</v>
      </c>
      <c r="N30" s="224">
        <f t="shared" ca="1" si="5"/>
        <v>0</v>
      </c>
      <c r="O30" s="222">
        <f t="shared" ca="1" si="6"/>
        <v>0</v>
      </c>
    </row>
    <row r="31" spans="1:21" s="111" customFormat="1" ht="18.75" x14ac:dyDescent="0.3">
      <c r="A31" s="137" t="s">
        <v>106</v>
      </c>
      <c r="B31" s="179">
        <f>SUM(B9:B30)</f>
        <v>43009152.677960493</v>
      </c>
      <c r="C31" s="243">
        <f>SUM(C9:C30)</f>
        <v>50928950.010085605</v>
      </c>
      <c r="D31" s="104">
        <f t="shared" si="0"/>
        <v>18.399999999999999</v>
      </c>
      <c r="E31" s="414">
        <f>SUM(E9:E30)</f>
        <v>100</v>
      </c>
      <c r="F31" s="109"/>
      <c r="G31" s="179">
        <f>SUM(G9:G30)</f>
        <v>968848195.86826003</v>
      </c>
      <c r="H31" s="179">
        <f>SUM(H9:H30)</f>
        <v>1005950836.3366828</v>
      </c>
      <c r="I31" s="104">
        <f t="shared" si="1"/>
        <v>3.8</v>
      </c>
      <c r="J31" s="414">
        <f>SUM(J9:J30)</f>
        <v>100</v>
      </c>
      <c r="K31" s="210"/>
      <c r="L31" s="224">
        <f ca="1">SUM(L9:L30)</f>
        <v>0</v>
      </c>
      <c r="M31" s="222">
        <f ca="1">SUM(M9:M30)</f>
        <v>0</v>
      </c>
      <c r="N31" s="224">
        <f ca="1">SUM(N9:N30)</f>
        <v>0</v>
      </c>
      <c r="O31" s="222">
        <f ca="1">SUM(O9:O30)</f>
        <v>0</v>
      </c>
      <c r="U31" s="206"/>
    </row>
    <row r="32" spans="1:21" ht="18.75" x14ac:dyDescent="0.3">
      <c r="A32" s="86"/>
      <c r="B32" s="177"/>
      <c r="C32" s="139"/>
      <c r="D32" s="104"/>
      <c r="E32" s="413"/>
      <c r="F32" s="103"/>
      <c r="G32" s="177"/>
      <c r="H32" s="103"/>
      <c r="I32" s="104"/>
      <c r="J32" s="413"/>
      <c r="K32" s="208"/>
      <c r="L32" s="221" t="s">
        <v>1</v>
      </c>
      <c r="M32" s="222"/>
      <c r="N32" s="224"/>
      <c r="O32" s="222"/>
    </row>
    <row r="33" spans="1:20" ht="18.75" x14ac:dyDescent="0.3">
      <c r="A33" s="101" t="s">
        <v>1</v>
      </c>
      <c r="B33" s="177"/>
      <c r="C33" s="139"/>
      <c r="D33" s="104"/>
      <c r="E33" s="413"/>
      <c r="F33" s="103"/>
      <c r="G33" s="177"/>
      <c r="H33" s="103"/>
      <c r="I33" s="104"/>
      <c r="J33" s="413"/>
      <c r="K33" s="208"/>
      <c r="L33" s="225">
        <v>2015</v>
      </c>
      <c r="M33" s="226">
        <v>2016</v>
      </c>
      <c r="N33" s="225">
        <v>2015</v>
      </c>
      <c r="O33" s="226">
        <v>2016</v>
      </c>
      <c r="P33" s="87" t="s">
        <v>163</v>
      </c>
    </row>
    <row r="34" spans="1:20" ht="18.75" x14ac:dyDescent="0.3">
      <c r="A34" s="107" t="s">
        <v>88</v>
      </c>
      <c r="B34" s="130">
        <f>'Danica Pensjonsforsikring'!F7+'Danica Pensjonsforsikring'!F22+'Danica Pensjonsforsikring'!F66+'Danica Pensjonsforsikring'!F134</f>
        <v>1286598.7120000001</v>
      </c>
      <c r="C34" s="130">
        <f>'Danica Pensjonsforsikring'!G7+'Danica Pensjonsforsikring'!G22+'Danica Pensjonsforsikring'!G66+'Danica Pensjonsforsikring'!G134</f>
        <v>1378607.102</v>
      </c>
      <c r="D34" s="104">
        <f t="shared" ref="D34:D44" si="9">IF(B34=0, "    ---- ", IF(ABS(ROUND(100/B34*C34-100,1))&lt;999,ROUND(100/B34*C34-100,1),IF(ROUND(100/B34*C34-100,1)&gt;999,999,-999)))</f>
        <v>7.2</v>
      </c>
      <c r="E34" s="413">
        <f t="shared" ref="E34:E43" si="10">100/C$44*C34</f>
        <v>4.9468715991910681</v>
      </c>
      <c r="F34" s="103"/>
      <c r="G34" s="177">
        <f>'Danica Pensjonsforsikring'!F10+'Danica Pensjonsforsikring'!F29+'Danica Pensjonsforsikring'!F87+'Danica Pensjonsforsikring'!F135</f>
        <v>16087298.015000001</v>
      </c>
      <c r="H34" s="177">
        <f>'Danica Pensjonsforsikring'!G10+'Danica Pensjonsforsikring'!G29+'Danica Pensjonsforsikring'!G87+'Danica Pensjonsforsikring'!G135</f>
        <v>17958434.743000001</v>
      </c>
      <c r="I34" s="104">
        <f t="shared" ref="I34:I44" si="11">IF(G34=0, "    ---- ", IF(ABS(ROUND(100/G34*H34-100,1))&lt;999,ROUND(100/G34*H34-100,1),IF(ROUND(100/G34*H34-100,1)&gt;999,999,-999)))</f>
        <v>11.6</v>
      </c>
      <c r="J34" s="413">
        <f t="shared" ref="J34:J43" si="12">100/H$44*H34</f>
        <v>5.4873020166151436</v>
      </c>
      <c r="K34" s="208" t="s">
        <v>151</v>
      </c>
      <c r="L34" s="224">
        <f t="shared" ref="L34:L43" ca="1" si="13">INDIRECT("'" &amp; $A34 &amp; "'!" &amp; $P$33)</f>
        <v>0</v>
      </c>
      <c r="M34" s="222">
        <f t="shared" ref="M34:M43" ca="1" si="14">INDIRECT("'" &amp; $A34 &amp; "'!" &amp; $P$34)</f>
        <v>0</v>
      </c>
      <c r="N34" s="224">
        <f t="shared" ref="N34:N43" ca="1" si="15">INDIRECT("'" &amp; $A34 &amp; "'!" &amp; $P$35)</f>
        <v>0</v>
      </c>
      <c r="O34" s="222">
        <f t="shared" ref="O34:O43" ca="1" si="16">INDIRECT("'"&amp;$A34&amp;"'!"&amp;$P$36)</f>
        <v>0</v>
      </c>
      <c r="P34" s="87" t="s">
        <v>165</v>
      </c>
    </row>
    <row r="35" spans="1:20" ht="18.75" x14ac:dyDescent="0.3">
      <c r="A35" s="86" t="s">
        <v>89</v>
      </c>
      <c r="B35" s="130">
        <f>'DNB Livsforsikring'!F7+'DNB Livsforsikring'!F22+'DNB Livsforsikring'!F66+'DNB Livsforsikring'!F134</f>
        <v>6258891</v>
      </c>
      <c r="C35" s="130">
        <f>'DNB Livsforsikring'!G7+'DNB Livsforsikring'!G22+'DNB Livsforsikring'!G66+'DNB Livsforsikring'!G134</f>
        <v>6459699</v>
      </c>
      <c r="D35" s="104">
        <f t="shared" si="9"/>
        <v>3.2</v>
      </c>
      <c r="E35" s="413">
        <f t="shared" si="10"/>
        <v>23.179411651125346</v>
      </c>
      <c r="F35" s="103"/>
      <c r="G35" s="177">
        <f>'DNB Livsforsikring'!F10+'DNB Livsforsikring'!F29+'DNB Livsforsikring'!F87+'DNB Livsforsikring'!F135</f>
        <v>70689761</v>
      </c>
      <c r="H35" s="177">
        <f>'DNB Livsforsikring'!G10+'DNB Livsforsikring'!G29+'DNB Livsforsikring'!G87+'DNB Livsforsikring'!G135</f>
        <v>82380384</v>
      </c>
      <c r="I35" s="104">
        <f t="shared" si="11"/>
        <v>16.5</v>
      </c>
      <c r="J35" s="413">
        <f t="shared" si="12"/>
        <v>25.171795522376051</v>
      </c>
      <c r="K35" s="87" t="s">
        <v>159</v>
      </c>
      <c r="L35" s="224">
        <f t="shared" ca="1" si="13"/>
        <v>0</v>
      </c>
      <c r="M35" s="222">
        <f t="shared" ca="1" si="14"/>
        <v>0</v>
      </c>
      <c r="N35" s="224">
        <f t="shared" ca="1" si="15"/>
        <v>0</v>
      </c>
      <c r="O35" s="222">
        <f t="shared" ca="1" si="16"/>
        <v>0</v>
      </c>
      <c r="P35" s="87" t="s">
        <v>164</v>
      </c>
    </row>
    <row r="36" spans="1:20" ht="18.75" x14ac:dyDescent="0.3">
      <c r="A36" s="107" t="s">
        <v>91</v>
      </c>
      <c r="B36" s="130">
        <f>'Frende Livsforsikring'!F7+'Frende Livsforsikring'!F22+'Frende Livsforsikring'!F66+'Frende Livsforsikring'!F134</f>
        <v>255316</v>
      </c>
      <c r="C36" s="130">
        <f>'Frende Livsforsikring'!G7+'Frende Livsforsikring'!G22+'Frende Livsforsikring'!G66+'Frende Livsforsikring'!G134</f>
        <v>272300</v>
      </c>
      <c r="D36" s="104">
        <f t="shared" si="9"/>
        <v>6.7</v>
      </c>
      <c r="E36" s="413">
        <f t="shared" si="10"/>
        <v>0.97709719796563754</v>
      </c>
      <c r="F36" s="103"/>
      <c r="G36" s="177">
        <f>'Frende Livsforsikring'!F10+'Frende Livsforsikring'!F29+'Frende Livsforsikring'!F87+'Frende Livsforsikring'!F135</f>
        <v>3022527.8</v>
      </c>
      <c r="H36" s="177">
        <f>'Frende Livsforsikring'!G10+'Frende Livsforsikring'!G29+'Frende Livsforsikring'!G87+'Frende Livsforsikring'!G135</f>
        <v>3471864</v>
      </c>
      <c r="I36" s="104">
        <f t="shared" si="11"/>
        <v>14.9</v>
      </c>
      <c r="J36" s="413">
        <f t="shared" si="12"/>
        <v>1.0608478189358599</v>
      </c>
      <c r="K36" s="87" t="s">
        <v>152</v>
      </c>
      <c r="L36" s="224">
        <f t="shared" ca="1" si="13"/>
        <v>0</v>
      </c>
      <c r="M36" s="222">
        <f t="shared" ca="1" si="14"/>
        <v>0</v>
      </c>
      <c r="N36" s="224">
        <f t="shared" ca="1" si="15"/>
        <v>0</v>
      </c>
      <c r="O36" s="222">
        <f t="shared" ca="1" si="16"/>
        <v>0</v>
      </c>
      <c r="P36" s="87" t="s">
        <v>166</v>
      </c>
    </row>
    <row r="37" spans="1:20" ht="18.75" x14ac:dyDescent="0.3">
      <c r="A37" s="107" t="s">
        <v>94</v>
      </c>
      <c r="B37" s="130">
        <f>'Gjensidige Pensjon'!F7+'Gjensidige Pensjon'!F22+'Gjensidige Pensjon'!F66+'Gjensidige Pensjon'!F134</f>
        <v>1851333.284</v>
      </c>
      <c r="C37" s="130">
        <f>'Gjensidige Pensjon'!G7+'Gjensidige Pensjon'!G22+'Gjensidige Pensjon'!G66+'Gjensidige Pensjon'!G134</f>
        <v>2075074</v>
      </c>
      <c r="D37" s="104">
        <f t="shared" si="9"/>
        <v>12.1</v>
      </c>
      <c r="E37" s="413">
        <f t="shared" si="10"/>
        <v>7.4460117185873944</v>
      </c>
      <c r="F37" s="103"/>
      <c r="G37" s="177">
        <f>'Gjensidige Pensjon'!F10+'Gjensidige Pensjon'!F29+'Gjensidige Pensjon'!F87+'Gjensidige Pensjon'!F135</f>
        <v>21451220.490000002</v>
      </c>
      <c r="H37" s="177">
        <f>'Gjensidige Pensjon'!G10+'Gjensidige Pensjon'!G29+'Gjensidige Pensjon'!G87+'Gjensidige Pensjon'!G135</f>
        <v>25237226</v>
      </c>
      <c r="I37" s="104">
        <f t="shared" si="11"/>
        <v>17.600000000000001</v>
      </c>
      <c r="J37" s="413">
        <f t="shared" si="12"/>
        <v>7.711378140990365</v>
      </c>
      <c r="K37" s="87" t="s">
        <v>160</v>
      </c>
      <c r="L37" s="224">
        <f t="shared" ca="1" si="13"/>
        <v>0</v>
      </c>
      <c r="M37" s="222">
        <f t="shared" ca="1" si="14"/>
        <v>0</v>
      </c>
      <c r="N37" s="224">
        <f t="shared" ca="1" si="15"/>
        <v>0</v>
      </c>
      <c r="O37" s="222">
        <f t="shared" ca="1" si="16"/>
        <v>0</v>
      </c>
    </row>
    <row r="38" spans="1:20" ht="18.75" x14ac:dyDescent="0.3">
      <c r="A38" s="107" t="s">
        <v>64</v>
      </c>
      <c r="B38" s="130">
        <f>KLP!F7+KLP!F22+KLP!F66+KLP!F134</f>
        <v>84881.887000000002</v>
      </c>
      <c r="C38" s="130">
        <f>KLP!G7+KLP!G22+KLP!G66+KLP!G134</f>
        <v>116827.63</v>
      </c>
      <c r="D38" s="104">
        <f t="shared" si="9"/>
        <v>37.6</v>
      </c>
      <c r="E38" s="413">
        <f t="shared" si="10"/>
        <v>0.41921391817101089</v>
      </c>
      <c r="F38" s="103"/>
      <c r="G38" s="177">
        <f>KLP!F10+KLP!F29+KLP!F87+KLP!F135</f>
        <v>2330198.9161499999</v>
      </c>
      <c r="H38" s="177">
        <f>KLP!G10+KLP!G29+KLP!G87+KLP!G135</f>
        <v>2478827.29715</v>
      </c>
      <c r="I38" s="104">
        <f t="shared" si="11"/>
        <v>6.4</v>
      </c>
      <c r="J38" s="413">
        <f t="shared" si="12"/>
        <v>0.7574197986154555</v>
      </c>
      <c r="K38" s="87" t="s">
        <v>153</v>
      </c>
      <c r="L38" s="224">
        <f t="shared" ca="1" si="13"/>
        <v>0</v>
      </c>
      <c r="M38" s="222">
        <f t="shared" ca="1" si="14"/>
        <v>0</v>
      </c>
      <c r="N38" s="224">
        <f t="shared" ca="1" si="15"/>
        <v>0</v>
      </c>
      <c r="O38" s="222">
        <f t="shared" ca="1" si="16"/>
        <v>0</v>
      </c>
    </row>
    <row r="39" spans="1:20" ht="18.75" x14ac:dyDescent="0.3">
      <c r="A39" s="107" t="s">
        <v>97</v>
      </c>
      <c r="B39" s="130">
        <f>'KLP Bedriftspensjon AS'!F7+'KLP Bedriftspensjon AS'!F22+'KLP Bedriftspensjon AS'!F66+'KLP Bedriftspensjon AS'!F134</f>
        <v>262322</v>
      </c>
      <c r="C39" s="130">
        <f>'KLP Bedriftspensjon AS'!G7+'KLP Bedriftspensjon AS'!G22+'KLP Bedriftspensjon AS'!G66+'KLP Bedriftspensjon AS'!G134</f>
        <v>315306</v>
      </c>
      <c r="D39" s="104">
        <f t="shared" si="9"/>
        <v>20.2</v>
      </c>
      <c r="E39" s="413">
        <f t="shared" si="10"/>
        <v>1.1314161186256091</v>
      </c>
      <c r="F39" s="103"/>
      <c r="G39" s="177">
        <f>'KLP Bedriftspensjon AS'!F10+'KLP Bedriftspensjon AS'!F29+'KLP Bedriftspensjon AS'!F87+'KLP Bedriftspensjon AS'!F135</f>
        <v>2432471</v>
      </c>
      <c r="H39" s="177">
        <f>'KLP Bedriftspensjon AS'!G10+'KLP Bedriftspensjon AS'!G29+'KLP Bedriftspensjon AS'!G87+'KLP Bedriftspensjon AS'!G135</f>
        <v>3400155</v>
      </c>
      <c r="I39" s="104">
        <f t="shared" si="11"/>
        <v>39.799999999999997</v>
      </c>
      <c r="J39" s="413">
        <f t="shared" si="12"/>
        <v>1.0389367255727351</v>
      </c>
      <c r="K39" s="87" t="s">
        <v>161</v>
      </c>
      <c r="L39" s="224">
        <f t="shared" ca="1" si="13"/>
        <v>0</v>
      </c>
      <c r="M39" s="222">
        <f t="shared" ca="1" si="14"/>
        <v>0</v>
      </c>
      <c r="N39" s="224">
        <f t="shared" ca="1" si="15"/>
        <v>0</v>
      </c>
      <c r="O39" s="222">
        <f t="shared" ca="1" si="16"/>
        <v>0</v>
      </c>
    </row>
    <row r="40" spans="1:20" ht="18.75" x14ac:dyDescent="0.3">
      <c r="A40" s="107" t="s">
        <v>101</v>
      </c>
      <c r="B40" s="130">
        <f>'Nordea Liv '!F7+'Nordea Liv '!F22+'Nordea Liv '!F66+'Nordea Liv '!F134</f>
        <v>6592823.6751499996</v>
      </c>
      <c r="C40" s="130">
        <f>'Nordea Liv '!G7+'Nordea Liv '!G22+'Nordea Liv '!G66+'Nordea Liv '!G134</f>
        <v>6126379.0115300007</v>
      </c>
      <c r="D40" s="104">
        <f t="shared" si="9"/>
        <v>-7.1</v>
      </c>
      <c r="E40" s="413">
        <f t="shared" si="10"/>
        <v>21.983355732065576</v>
      </c>
      <c r="F40" s="103"/>
      <c r="G40" s="177">
        <f>'Nordea Liv '!F10+'Nordea Liv '!F29+'Nordea Liv '!F87+'Nordea Liv '!F135</f>
        <v>54647570</v>
      </c>
      <c r="H40" s="177">
        <f>'Nordea Liv '!G10+'Nordea Liv '!G29+'Nordea Liv '!G87+'Nordea Liv '!G135</f>
        <v>62133840</v>
      </c>
      <c r="I40" s="104">
        <f t="shared" si="11"/>
        <v>13.7</v>
      </c>
      <c r="J40" s="413">
        <f t="shared" si="12"/>
        <v>18.985348690533293</v>
      </c>
      <c r="K40" s="208"/>
      <c r="L40" s="224">
        <f t="shared" ca="1" si="13"/>
        <v>0</v>
      </c>
      <c r="M40" s="222">
        <f t="shared" ca="1" si="14"/>
        <v>0</v>
      </c>
      <c r="N40" s="224">
        <f t="shared" ca="1" si="15"/>
        <v>0</v>
      </c>
      <c r="O40" s="222">
        <f t="shared" ca="1" si="16"/>
        <v>0</v>
      </c>
    </row>
    <row r="41" spans="1:20" ht="18.75" x14ac:dyDescent="0.3">
      <c r="A41" s="107" t="s">
        <v>75</v>
      </c>
      <c r="B41" s="130">
        <f>'SHB Liv'!F7+'SHB Liv'!F22+'SHB Liv'!F66+'SHB Liv'!F134</f>
        <v>84302</v>
      </c>
      <c r="C41" s="130">
        <f>'SHB Liv'!G7+'SHB Liv'!G22+'SHB Liv'!G66+'SHB Liv'!G134</f>
        <v>108843</v>
      </c>
      <c r="D41" s="104">
        <f t="shared" si="9"/>
        <v>29.1</v>
      </c>
      <c r="E41" s="413">
        <f t="shared" si="10"/>
        <v>0.39056257920739584</v>
      </c>
      <c r="F41" s="103"/>
      <c r="G41" s="177">
        <f>'SHB Liv'!F10+'SHB Liv'!F29+'SHB Liv'!F87+'SHB Liv'!F135</f>
        <v>1949500</v>
      </c>
      <c r="H41" s="177">
        <f>'SHB Liv'!G10+'SHB Liv'!G29+'SHB Liv'!G87+'SHB Liv'!G135</f>
        <v>2249653.4116099998</v>
      </c>
      <c r="I41" s="104">
        <f t="shared" si="11"/>
        <v>15.4</v>
      </c>
      <c r="J41" s="413">
        <f t="shared" si="12"/>
        <v>0.68739441264637224</v>
      </c>
      <c r="K41" s="208"/>
      <c r="L41" s="224">
        <f t="shared" ca="1" si="13"/>
        <v>0</v>
      </c>
      <c r="M41" s="222">
        <f t="shared" ca="1" si="14"/>
        <v>0</v>
      </c>
      <c r="N41" s="224">
        <f t="shared" ca="1" si="15"/>
        <v>0</v>
      </c>
      <c r="O41" s="222">
        <f t="shared" ca="1" si="16"/>
        <v>0</v>
      </c>
    </row>
    <row r="42" spans="1:20" ht="18.75" x14ac:dyDescent="0.3">
      <c r="A42" s="86" t="s">
        <v>71</v>
      </c>
      <c r="B42" s="130">
        <f>'Sparebank 1'!F7+'Sparebank 1'!F22+'Sparebank 1'!F66+'Sparebank 1'!F134</f>
        <v>2157471.7934900001</v>
      </c>
      <c r="C42" s="130">
        <f>'Sparebank 1'!G7+'Sparebank 1'!G22+'Sparebank 1'!G66+'Sparebank 1'!G134</f>
        <v>2837915.8733999999</v>
      </c>
      <c r="D42" s="104">
        <f t="shared" si="9"/>
        <v>31.5</v>
      </c>
      <c r="E42" s="413">
        <f t="shared" si="10"/>
        <v>10.183325919799284</v>
      </c>
      <c r="F42" s="103"/>
      <c r="G42" s="177">
        <f>'Sparebank 1'!F10+'Sparebank 1'!F29+'Sparebank 1'!F87+'Sparebank 1'!F135</f>
        <v>23504999.904489998</v>
      </c>
      <c r="H42" s="177">
        <f>'Sparebank 1'!G10+'Sparebank 1'!G29+'Sparebank 1'!G87+'Sparebank 1'!G135</f>
        <v>29524731.95205</v>
      </c>
      <c r="I42" s="104">
        <f t="shared" si="11"/>
        <v>25.6</v>
      </c>
      <c r="J42" s="413">
        <f t="shared" si="12"/>
        <v>9.0214500038014549</v>
      </c>
      <c r="K42" s="139"/>
      <c r="L42" s="224">
        <f t="shared" ca="1" si="13"/>
        <v>0</v>
      </c>
      <c r="M42" s="222">
        <f t="shared" ca="1" si="14"/>
        <v>0</v>
      </c>
      <c r="N42" s="224">
        <f t="shared" ca="1" si="15"/>
        <v>0</v>
      </c>
      <c r="O42" s="222">
        <f t="shared" ca="1" si="16"/>
        <v>0</v>
      </c>
    </row>
    <row r="43" spans="1:20" ht="18.75" x14ac:dyDescent="0.3">
      <c r="A43" s="86" t="s">
        <v>103</v>
      </c>
      <c r="B43" s="130">
        <f>'Storebrand Livsforsikring'!F7+'Storebrand Livsforsikring'!F22+'Storebrand Livsforsikring'!F66+'Storebrand Livsforsikring'!F134</f>
        <v>7537662.6210000012</v>
      </c>
      <c r="C43" s="130">
        <f>'Storebrand Livsforsikring'!G7+'Storebrand Livsforsikring'!G22+'Storebrand Livsforsikring'!G66+'Storebrand Livsforsikring'!G134</f>
        <v>8177309.6540000001</v>
      </c>
      <c r="D43" s="104">
        <f t="shared" si="9"/>
        <v>8.5</v>
      </c>
      <c r="E43" s="413">
        <f t="shared" si="10"/>
        <v>29.342733565261689</v>
      </c>
      <c r="F43" s="103"/>
      <c r="G43" s="177">
        <f>'Storebrand Livsforsikring'!F10+'Storebrand Livsforsikring'!F29+'Storebrand Livsforsikring'!F87+'Storebrand Livsforsikring'!F135</f>
        <v>75354538.838</v>
      </c>
      <c r="H43" s="177">
        <f>'Storebrand Livsforsikring'!G10+'Storebrand Livsforsikring'!G29+'Storebrand Livsforsikring'!G87+'Storebrand Livsforsikring'!G135</f>
        <v>98437461.060000002</v>
      </c>
      <c r="I43" s="104">
        <f t="shared" si="11"/>
        <v>30.6</v>
      </c>
      <c r="J43" s="413">
        <f t="shared" si="12"/>
        <v>30.078126869913291</v>
      </c>
      <c r="K43" s="139"/>
      <c r="L43" s="224">
        <f t="shared" ca="1" si="13"/>
        <v>0</v>
      </c>
      <c r="M43" s="222">
        <f t="shared" ca="1" si="14"/>
        <v>0</v>
      </c>
      <c r="N43" s="224">
        <f t="shared" ca="1" si="15"/>
        <v>0</v>
      </c>
      <c r="O43" s="222">
        <f t="shared" ca="1" si="16"/>
        <v>0</v>
      </c>
    </row>
    <row r="44" spans="1:20" s="111" customFormat="1" ht="18.75" x14ac:dyDescent="0.3">
      <c r="A44" s="101" t="s">
        <v>107</v>
      </c>
      <c r="B44" s="243">
        <f>SUM(B34:B43)</f>
        <v>26371602.97264</v>
      </c>
      <c r="C44" s="243">
        <f>SUM(C34:C43)</f>
        <v>27868261.27093</v>
      </c>
      <c r="D44" s="104">
        <f t="shared" si="9"/>
        <v>5.7</v>
      </c>
      <c r="E44" s="414">
        <f>SUM(E34:E43)</f>
        <v>100</v>
      </c>
      <c r="F44" s="109"/>
      <c r="G44" s="179">
        <f>SUM(G34:G43)</f>
        <v>271470085.96363997</v>
      </c>
      <c r="H44" s="179">
        <f>SUM(H34:H43)</f>
        <v>327272577.46380997</v>
      </c>
      <c r="I44" s="104">
        <f t="shared" si="11"/>
        <v>20.6</v>
      </c>
      <c r="J44" s="414">
        <f>SUM(J34:J43)</f>
        <v>100.00000000000001</v>
      </c>
      <c r="K44" s="139"/>
      <c r="L44" s="224">
        <f ca="1">SUM(L34:L43)</f>
        <v>0</v>
      </c>
      <c r="M44" s="222">
        <f ca="1">SUM(M34:M43)</f>
        <v>0</v>
      </c>
      <c r="N44" s="224">
        <f ca="1">SUM(N34:N43)</f>
        <v>0</v>
      </c>
      <c r="O44" s="222">
        <f ca="1">SUM(O34:O43)</f>
        <v>0</v>
      </c>
    </row>
    <row r="45" spans="1:20" ht="18.75" x14ac:dyDescent="0.3">
      <c r="A45" s="101"/>
      <c r="B45" s="130"/>
      <c r="C45" s="109"/>
      <c r="D45" s="110"/>
      <c r="E45" s="413"/>
      <c r="F45" s="109"/>
      <c r="G45" s="179"/>
      <c r="H45" s="109"/>
      <c r="I45" s="110"/>
      <c r="J45" s="414"/>
      <c r="K45" s="139"/>
      <c r="L45" s="221" t="s">
        <v>108</v>
      </c>
      <c r="M45" s="227"/>
      <c r="N45" s="228"/>
      <c r="O45" s="227"/>
    </row>
    <row r="46" spans="1:20" ht="18.75" x14ac:dyDescent="0.3">
      <c r="A46" s="86"/>
      <c r="B46" s="130"/>
      <c r="C46" s="103"/>
      <c r="D46" s="104"/>
      <c r="E46" s="413"/>
      <c r="F46" s="103"/>
      <c r="G46" s="177"/>
      <c r="H46" s="103"/>
      <c r="I46" s="104"/>
      <c r="J46" s="413"/>
      <c r="K46" s="139"/>
      <c r="L46" s="225">
        <v>2015</v>
      </c>
      <c r="M46" s="226">
        <v>2016</v>
      </c>
      <c r="N46" s="225">
        <v>2015</v>
      </c>
      <c r="O46" s="226">
        <v>2016</v>
      </c>
    </row>
    <row r="47" spans="1:20" ht="18.75" x14ac:dyDescent="0.3">
      <c r="A47" s="101" t="s">
        <v>108</v>
      </c>
      <c r="B47" s="130"/>
      <c r="C47" s="103"/>
      <c r="D47" s="104"/>
      <c r="E47" s="413"/>
      <c r="F47" s="103"/>
      <c r="G47" s="177"/>
      <c r="H47" s="103"/>
      <c r="I47" s="104"/>
      <c r="J47" s="413"/>
      <c r="K47" s="139"/>
      <c r="L47" s="224"/>
      <c r="M47" s="222"/>
      <c r="N47" s="224"/>
      <c r="O47" s="222"/>
      <c r="P47" s="208"/>
      <c r="Q47" s="208"/>
      <c r="R47" s="208"/>
      <c r="S47" s="183"/>
      <c r="T47" s="139"/>
    </row>
    <row r="48" spans="1:20" ht="18.75" x14ac:dyDescent="0.3">
      <c r="A48" s="86" t="s">
        <v>87</v>
      </c>
      <c r="B48" s="130">
        <f>B9</f>
        <v>0</v>
      </c>
      <c r="C48" s="181">
        <f>C9</f>
        <v>0</v>
      </c>
      <c r="D48" s="104"/>
      <c r="E48" s="413">
        <f t="shared" ref="E48:E70" si="17">100/C$71*C48</f>
        <v>0</v>
      </c>
      <c r="F48" s="103"/>
      <c r="G48" s="177">
        <f>G9</f>
        <v>0</v>
      </c>
      <c r="H48" s="177">
        <f>H9</f>
        <v>0</v>
      </c>
      <c r="I48" s="104"/>
      <c r="J48" s="413">
        <f t="shared" ref="J48:J70" si="18">100/H$71*H48</f>
        <v>0</v>
      </c>
      <c r="K48" s="139"/>
      <c r="L48" s="224">
        <f ca="1">L9</f>
        <v>0</v>
      </c>
      <c r="M48" s="229">
        <f ca="1">M9</f>
        <v>0</v>
      </c>
      <c r="N48" s="224">
        <f ca="1">N9</f>
        <v>0</v>
      </c>
      <c r="O48" s="229">
        <f ca="1">O9</f>
        <v>0</v>
      </c>
      <c r="P48" s="208"/>
      <c r="Q48" s="208"/>
      <c r="R48" s="208"/>
      <c r="S48" s="183"/>
      <c r="T48" s="139"/>
    </row>
    <row r="49" spans="1:20" ht="18.75" x14ac:dyDescent="0.3">
      <c r="A49" s="107" t="s">
        <v>88</v>
      </c>
      <c r="B49" s="130">
        <f>B10+B34</f>
        <v>1583544.0350000001</v>
      </c>
      <c r="C49" s="103">
        <f>C10+C34</f>
        <v>1690510.9579999999</v>
      </c>
      <c r="D49" s="104">
        <f t="shared" ref="D49:D70" si="19">IF(B49=0, "    ---- ", IF(ABS(ROUND(100/B49*C49-100,1))&lt;999,ROUND(100/B49*C49-100,1),IF(ROUND(100/B49*C49-100,1)&gt;999,999,-999)))</f>
        <v>6.8</v>
      </c>
      <c r="E49" s="413">
        <f t="shared" si="17"/>
        <v>2.1453943997727367</v>
      </c>
      <c r="F49" s="103"/>
      <c r="G49" s="177">
        <f>G10+G34</f>
        <v>17094443.431000002</v>
      </c>
      <c r="H49" s="177">
        <f>H10+H34</f>
        <v>19046030.365000002</v>
      </c>
      <c r="I49" s="104">
        <f t="shared" ref="I49:I68" si="20">IF(G49=0, "    ---- ", IF(ABS(ROUND(100/G49*H49-100,1))&lt;999,ROUND(100/G49*H49-100,1),IF(ROUND(100/G49*H49-100,1)&gt;999,999,-999)))</f>
        <v>11.4</v>
      </c>
      <c r="J49" s="413">
        <f t="shared" si="18"/>
        <v>1.4285700481892454</v>
      </c>
      <c r="K49" s="139"/>
      <c r="L49" s="224">
        <f ca="1">L10+L34</f>
        <v>0</v>
      </c>
      <c r="M49" s="222">
        <f ca="1">M10+M34</f>
        <v>0</v>
      </c>
      <c r="N49" s="224">
        <f ca="1">N10+N34</f>
        <v>0</v>
      </c>
      <c r="O49" s="222">
        <f ca="1">O10+O34</f>
        <v>0</v>
      </c>
      <c r="P49" s="208"/>
      <c r="Q49" s="208"/>
      <c r="R49" s="208"/>
      <c r="S49" s="183"/>
      <c r="T49" s="139"/>
    </row>
    <row r="50" spans="1:20" ht="18.75" x14ac:dyDescent="0.3">
      <c r="A50" s="86" t="s">
        <v>89</v>
      </c>
      <c r="B50" s="130">
        <f>B11+B35</f>
        <v>10273232.293</v>
      </c>
      <c r="C50" s="103">
        <f>+C11+C35</f>
        <v>10153181</v>
      </c>
      <c r="D50" s="104">
        <f t="shared" si="19"/>
        <v>-1.2</v>
      </c>
      <c r="E50" s="413">
        <f t="shared" si="17"/>
        <v>12.885203467151353</v>
      </c>
      <c r="F50" s="103"/>
      <c r="G50" s="177">
        <f>+G11+G35</f>
        <v>274422614</v>
      </c>
      <c r="H50" s="177">
        <f>+H11+H35</f>
        <v>283397025</v>
      </c>
      <c r="I50" s="104">
        <f t="shared" si="20"/>
        <v>3.3</v>
      </c>
      <c r="J50" s="413">
        <f t="shared" si="18"/>
        <v>21.256529255824208</v>
      </c>
      <c r="K50" s="139"/>
      <c r="L50" s="224">
        <f ca="1">L11+L35</f>
        <v>0</v>
      </c>
      <c r="M50" s="222">
        <f ca="1">+M11+M35</f>
        <v>0</v>
      </c>
      <c r="N50" s="224">
        <f ca="1">+N11+N35</f>
        <v>0</v>
      </c>
      <c r="O50" s="222">
        <f ca="1">+O11+O35</f>
        <v>0</v>
      </c>
      <c r="P50" s="208"/>
      <c r="Q50" s="208"/>
      <c r="R50" s="208"/>
      <c r="S50" s="183"/>
      <c r="T50" s="139"/>
    </row>
    <row r="51" spans="1:20" ht="18.75" x14ac:dyDescent="0.3">
      <c r="A51" s="86" t="s">
        <v>90</v>
      </c>
      <c r="B51" s="130">
        <f>B12</f>
        <v>210802</v>
      </c>
      <c r="C51" s="103">
        <f>C12</f>
        <v>228170</v>
      </c>
      <c r="D51" s="104">
        <f t="shared" si="19"/>
        <v>8.1999999999999993</v>
      </c>
      <c r="E51" s="413">
        <f t="shared" si="17"/>
        <v>0.28956608525938071</v>
      </c>
      <c r="F51" s="103"/>
      <c r="G51" s="177">
        <f>G12</f>
        <v>0</v>
      </c>
      <c r="H51" s="177">
        <f>H12</f>
        <v>0</v>
      </c>
      <c r="I51" s="104"/>
      <c r="J51" s="413">
        <f t="shared" si="18"/>
        <v>0</v>
      </c>
      <c r="K51" s="139"/>
      <c r="L51" s="224">
        <f ca="1">L12</f>
        <v>0</v>
      </c>
      <c r="M51" s="222">
        <f ca="1">M12</f>
        <v>0</v>
      </c>
      <c r="N51" s="224">
        <f ca="1">N12</f>
        <v>0</v>
      </c>
      <c r="O51" s="222">
        <f ca="1">+O12+O36</f>
        <v>0</v>
      </c>
      <c r="P51" s="208"/>
      <c r="Q51" s="208"/>
      <c r="R51" s="208"/>
      <c r="S51" s="183"/>
      <c r="T51" s="139"/>
    </row>
    <row r="52" spans="1:20" ht="18.75" x14ac:dyDescent="0.3">
      <c r="A52" s="107" t="s">
        <v>91</v>
      </c>
      <c r="B52" s="130">
        <f>B13+B36</f>
        <v>693028.8</v>
      </c>
      <c r="C52" s="105">
        <f>C13+C36</f>
        <v>735477</v>
      </c>
      <c r="D52" s="106">
        <f t="shared" si="19"/>
        <v>6.1</v>
      </c>
      <c r="E52" s="415">
        <f t="shared" si="17"/>
        <v>0.93337947884609529</v>
      </c>
      <c r="F52" s="105"/>
      <c r="G52" s="178">
        <f>G13+G36</f>
        <v>3794021.8</v>
      </c>
      <c r="H52" s="178">
        <f>H13+H36</f>
        <v>4305823.8</v>
      </c>
      <c r="I52" s="104">
        <f t="shared" si="20"/>
        <v>13.5</v>
      </c>
      <c r="J52" s="413">
        <f t="shared" si="18"/>
        <v>0.32296340999036305</v>
      </c>
      <c r="K52" s="139"/>
      <c r="L52" s="224">
        <f ca="1">L13+L36</f>
        <v>0</v>
      </c>
      <c r="M52" s="222">
        <f ca="1">M13+M36</f>
        <v>0</v>
      </c>
      <c r="N52" s="224">
        <f ca="1">N13+N36</f>
        <v>0</v>
      </c>
      <c r="O52" s="222">
        <f ca="1">O13+O36</f>
        <v>0</v>
      </c>
      <c r="P52" s="211"/>
      <c r="Q52" s="211"/>
      <c r="R52" s="211"/>
      <c r="S52" s="183"/>
      <c r="T52" s="139"/>
    </row>
    <row r="53" spans="1:20" ht="18.75" x14ac:dyDescent="0.3">
      <c r="A53" s="107" t="s">
        <v>92</v>
      </c>
      <c r="B53" s="130">
        <f>B14</f>
        <v>5631</v>
      </c>
      <c r="C53" s="105">
        <f>C14</f>
        <v>6101</v>
      </c>
      <c r="D53" s="106">
        <f t="shared" si="19"/>
        <v>8.3000000000000007</v>
      </c>
      <c r="E53" s="415">
        <f t="shared" si="17"/>
        <v>7.7426597982534155E-3</v>
      </c>
      <c r="F53" s="105"/>
      <c r="G53" s="178">
        <f>G14</f>
        <v>0</v>
      </c>
      <c r="H53" s="178">
        <f>H14</f>
        <v>0</v>
      </c>
      <c r="I53" s="104"/>
      <c r="J53" s="413">
        <f t="shared" si="18"/>
        <v>0</v>
      </c>
      <c r="K53" s="139"/>
      <c r="L53" s="224">
        <f ca="1">L14</f>
        <v>0</v>
      </c>
      <c r="M53" s="222">
        <f ca="1">M14</f>
        <v>0</v>
      </c>
      <c r="N53" s="224">
        <f ca="1">N14</f>
        <v>0</v>
      </c>
      <c r="O53" s="222">
        <f ca="1">O14</f>
        <v>0</v>
      </c>
      <c r="P53" s="211"/>
      <c r="Q53" s="211"/>
      <c r="R53" s="211"/>
      <c r="S53" s="183"/>
      <c r="T53" s="139"/>
    </row>
    <row r="54" spans="1:20" ht="18.75" x14ac:dyDescent="0.3">
      <c r="A54" s="86" t="s">
        <v>93</v>
      </c>
      <c r="B54" s="103">
        <f>B15</f>
        <v>1345481</v>
      </c>
      <c r="C54" s="103">
        <f>+C15</f>
        <v>1376815</v>
      </c>
      <c r="D54" s="104">
        <f t="shared" si="19"/>
        <v>2.2999999999999998</v>
      </c>
      <c r="E54" s="413">
        <f t="shared" si="17"/>
        <v>1.7472889936292864</v>
      </c>
      <c r="F54" s="103"/>
      <c r="G54" s="177">
        <f>+G15</f>
        <v>0</v>
      </c>
      <c r="H54" s="177">
        <f>+H15</f>
        <v>0</v>
      </c>
      <c r="I54" s="104"/>
      <c r="J54" s="413">
        <f t="shared" si="18"/>
        <v>0</v>
      </c>
      <c r="K54" s="139"/>
      <c r="L54" s="224">
        <f ca="1">L15</f>
        <v>0</v>
      </c>
      <c r="M54" s="222">
        <f ca="1">+M15</f>
        <v>0</v>
      </c>
      <c r="N54" s="224">
        <f ca="1">+N15</f>
        <v>0</v>
      </c>
      <c r="O54" s="222">
        <f ca="1">+O15</f>
        <v>0</v>
      </c>
      <c r="P54" s="208"/>
      <c r="Q54" s="208"/>
      <c r="R54" s="208"/>
      <c r="S54" s="183"/>
      <c r="T54" s="139"/>
    </row>
    <row r="55" spans="1:20" ht="18.75" x14ac:dyDescent="0.3">
      <c r="A55" s="86" t="s">
        <v>94</v>
      </c>
      <c r="B55" s="103">
        <f>B16+B37</f>
        <v>2248982.6430000002</v>
      </c>
      <c r="C55" s="103">
        <f>C16+C37</f>
        <v>2523424</v>
      </c>
      <c r="D55" s="104">
        <f t="shared" si="19"/>
        <v>12.2</v>
      </c>
      <c r="E55" s="413">
        <f t="shared" si="17"/>
        <v>3.202428054212068</v>
      </c>
      <c r="F55" s="103"/>
      <c r="G55" s="177">
        <f>G16+G37</f>
        <v>27301038.568000004</v>
      </c>
      <c r="H55" s="177">
        <f>H16+H37</f>
        <v>31711479</v>
      </c>
      <c r="I55" s="104">
        <f t="shared" si="20"/>
        <v>16.2</v>
      </c>
      <c r="J55" s="413">
        <f t="shared" si="18"/>
        <v>2.3785570124067288</v>
      </c>
      <c r="K55" s="139"/>
      <c r="L55" s="224">
        <f ca="1">L16+L37</f>
        <v>0</v>
      </c>
      <c r="M55" s="222">
        <f ca="1">M16+M37</f>
        <v>0</v>
      </c>
      <c r="N55" s="224">
        <f ca="1">N16+N37</f>
        <v>0</v>
      </c>
      <c r="O55" s="222">
        <f ca="1">O16+O37</f>
        <v>0</v>
      </c>
      <c r="P55" s="208"/>
      <c r="Q55" s="208"/>
      <c r="R55" s="208"/>
      <c r="S55" s="183"/>
      <c r="T55" s="139"/>
    </row>
    <row r="56" spans="1:20" ht="18.75" x14ac:dyDescent="0.3">
      <c r="A56" s="86" t="s">
        <v>95</v>
      </c>
      <c r="B56" s="103">
        <f>B17</f>
        <v>28772</v>
      </c>
      <c r="C56" s="103">
        <f>+C17</f>
        <v>27672</v>
      </c>
      <c r="D56" s="104">
        <f t="shared" si="19"/>
        <v>-3.8</v>
      </c>
      <c r="E56" s="413">
        <f t="shared" si="17"/>
        <v>3.5117994089045812E-2</v>
      </c>
      <c r="F56" s="103"/>
      <c r="G56" s="177">
        <f>+G17</f>
        <v>24751</v>
      </c>
      <c r="H56" s="177">
        <f>+H17</f>
        <v>22959</v>
      </c>
      <c r="I56" s="104">
        <f t="shared" si="20"/>
        <v>-7.2</v>
      </c>
      <c r="J56" s="413">
        <f t="shared" si="18"/>
        <v>1.7220669665973663E-3</v>
      </c>
      <c r="K56" s="139"/>
      <c r="L56" s="224">
        <f ca="1">L17</f>
        <v>0</v>
      </c>
      <c r="M56" s="222">
        <f t="shared" ref="M56:O57" ca="1" si="21">+M17</f>
        <v>0</v>
      </c>
      <c r="N56" s="224">
        <f t="shared" ca="1" si="21"/>
        <v>0</v>
      </c>
      <c r="O56" s="222">
        <f t="shared" ca="1" si="21"/>
        <v>0</v>
      </c>
      <c r="P56" s="208"/>
      <c r="Q56" s="208"/>
      <c r="R56" s="208"/>
      <c r="S56" s="183"/>
      <c r="T56" s="139"/>
    </row>
    <row r="57" spans="1:20" ht="18.75" x14ac:dyDescent="0.3">
      <c r="A57" s="86" t="s">
        <v>96</v>
      </c>
      <c r="B57" s="103">
        <f>B18</f>
        <v>349378.46600000001</v>
      </c>
      <c r="C57" s="103">
        <f>+C18</f>
        <v>354933.20600000001</v>
      </c>
      <c r="D57" s="104">
        <f t="shared" si="19"/>
        <v>1.6</v>
      </c>
      <c r="E57" s="413">
        <f t="shared" si="17"/>
        <v>0.45043879120822783</v>
      </c>
      <c r="F57" s="103"/>
      <c r="G57" s="177">
        <f>+G18</f>
        <v>0</v>
      </c>
      <c r="H57" s="177">
        <f>+H18</f>
        <v>0</v>
      </c>
      <c r="I57" s="104"/>
      <c r="J57" s="413">
        <f t="shared" si="18"/>
        <v>0</v>
      </c>
      <c r="K57" s="139"/>
      <c r="L57" s="224">
        <f ca="1">L18</f>
        <v>0</v>
      </c>
      <c r="M57" s="222">
        <f t="shared" ca="1" si="21"/>
        <v>0</v>
      </c>
      <c r="N57" s="224">
        <f t="shared" ca="1" si="21"/>
        <v>0</v>
      </c>
      <c r="O57" s="222">
        <f t="shared" ca="1" si="21"/>
        <v>0</v>
      </c>
      <c r="P57" s="208"/>
      <c r="Q57" s="208"/>
      <c r="R57" s="208"/>
      <c r="S57" s="183"/>
      <c r="T57" s="139"/>
    </row>
    <row r="58" spans="1:20" ht="18.75" x14ac:dyDescent="0.3">
      <c r="A58" s="86" t="s">
        <v>64</v>
      </c>
      <c r="B58" s="105">
        <f>B19+B38</f>
        <v>23780774.369169999</v>
      </c>
      <c r="C58" s="105">
        <f>C19+C38</f>
        <v>31254905.921009999</v>
      </c>
      <c r="D58" s="106">
        <f t="shared" si="19"/>
        <v>31.4</v>
      </c>
      <c r="E58" s="415">
        <f t="shared" si="17"/>
        <v>39.664989931617235</v>
      </c>
      <c r="F58" s="105"/>
      <c r="G58" s="178">
        <f>G19+G38</f>
        <v>441370496.30391997</v>
      </c>
      <c r="H58" s="178">
        <f>H19+H38</f>
        <v>471740244.39059001</v>
      </c>
      <c r="I58" s="104">
        <f t="shared" si="20"/>
        <v>6.9</v>
      </c>
      <c r="J58" s="413">
        <f t="shared" si="18"/>
        <v>35.383435327305357</v>
      </c>
      <c r="K58" s="139"/>
      <c r="L58" s="224">
        <f ca="1">L19+L38</f>
        <v>0</v>
      </c>
      <c r="M58" s="222">
        <f ca="1">M19+M38</f>
        <v>0</v>
      </c>
      <c r="N58" s="224">
        <f ca="1">N19+N38</f>
        <v>0</v>
      </c>
      <c r="O58" s="222">
        <f ca="1">O19+O38</f>
        <v>0</v>
      </c>
      <c r="P58" s="211"/>
      <c r="Q58" s="211"/>
      <c r="R58" s="211"/>
      <c r="S58" s="183"/>
      <c r="T58" s="139"/>
    </row>
    <row r="59" spans="1:20" ht="18.75" x14ac:dyDescent="0.3">
      <c r="A59" s="86" t="s">
        <v>97</v>
      </c>
      <c r="B59" s="103">
        <f>B20+B39</f>
        <v>323646</v>
      </c>
      <c r="C59" s="103">
        <f>+C20+C39</f>
        <v>381673</v>
      </c>
      <c r="D59" s="104">
        <f t="shared" si="19"/>
        <v>17.899999999999999</v>
      </c>
      <c r="E59" s="413">
        <f t="shared" si="17"/>
        <v>0.48437374089145646</v>
      </c>
      <c r="F59" s="103"/>
      <c r="G59" s="177">
        <f>G20+G39</f>
        <v>3972141</v>
      </c>
      <c r="H59" s="177">
        <f>H20+H39</f>
        <v>5082991</v>
      </c>
      <c r="I59" s="104">
        <f t="shared" si="20"/>
        <v>28</v>
      </c>
      <c r="J59" s="413">
        <f t="shared" si="18"/>
        <v>0.38125575559091046</v>
      </c>
      <c r="K59" s="139"/>
      <c r="L59" s="224">
        <f ca="1">L20+L39</f>
        <v>0</v>
      </c>
      <c r="M59" s="222">
        <f ca="1">+M20+M39</f>
        <v>0</v>
      </c>
      <c r="N59" s="224">
        <f ca="1">N20+N39</f>
        <v>0</v>
      </c>
      <c r="O59" s="222">
        <f ca="1">O20+O39</f>
        <v>0</v>
      </c>
      <c r="P59" s="208"/>
      <c r="Q59" s="208"/>
      <c r="R59" s="208"/>
      <c r="S59" s="183"/>
      <c r="T59" s="139"/>
    </row>
    <row r="60" spans="1:20" ht="18.75" x14ac:dyDescent="0.3">
      <c r="A60" s="86" t="s">
        <v>98</v>
      </c>
      <c r="B60" s="103">
        <f t="shared" ref="B60:C62" si="22">B21</f>
        <v>138577.38699999999</v>
      </c>
      <c r="C60" s="103">
        <f t="shared" si="22"/>
        <v>126445.98299999999</v>
      </c>
      <c r="D60" s="104">
        <f t="shared" si="19"/>
        <v>-8.8000000000000007</v>
      </c>
      <c r="E60" s="413">
        <f t="shared" si="17"/>
        <v>0.16047012444267084</v>
      </c>
      <c r="F60" s="103"/>
      <c r="G60" s="177">
        <f t="shared" ref="G60:H62" si="23">G21</f>
        <v>4442</v>
      </c>
      <c r="H60" s="177">
        <f t="shared" si="23"/>
        <v>17207.845999999998</v>
      </c>
      <c r="I60" s="104">
        <f t="shared" si="20"/>
        <v>287.39999999999998</v>
      </c>
      <c r="J60" s="413">
        <f t="shared" si="18"/>
        <v>1.2906948544315789E-3</v>
      </c>
      <c r="K60" s="139"/>
      <c r="L60" s="224">
        <f t="shared" ref="L60:O62" ca="1" si="24">L21</f>
        <v>0</v>
      </c>
      <c r="M60" s="222">
        <f t="shared" ca="1" si="24"/>
        <v>0</v>
      </c>
      <c r="N60" s="224">
        <f t="shared" ca="1" si="24"/>
        <v>0</v>
      </c>
      <c r="O60" s="222">
        <f t="shared" ca="1" si="24"/>
        <v>0</v>
      </c>
      <c r="P60" s="208"/>
      <c r="Q60" s="208"/>
      <c r="R60" s="208"/>
      <c r="S60" s="183"/>
      <c r="T60" s="139"/>
    </row>
    <row r="61" spans="1:20" ht="18.75" x14ac:dyDescent="0.3">
      <c r="A61" s="86" t="s">
        <v>99</v>
      </c>
      <c r="B61" s="103">
        <f t="shared" si="22"/>
        <v>24813</v>
      </c>
      <c r="C61" s="103">
        <f t="shared" si="22"/>
        <v>24377</v>
      </c>
      <c r="D61" s="104">
        <f t="shared" si="19"/>
        <v>-1.8</v>
      </c>
      <c r="E61" s="413">
        <f t="shared" si="17"/>
        <v>3.0936374020984019E-2</v>
      </c>
      <c r="F61" s="103"/>
      <c r="G61" s="177">
        <f t="shared" si="23"/>
        <v>0</v>
      </c>
      <c r="H61" s="177">
        <f t="shared" si="23"/>
        <v>0</v>
      </c>
      <c r="I61" s="104"/>
      <c r="J61" s="413">
        <f t="shared" si="18"/>
        <v>0</v>
      </c>
      <c r="K61" s="139"/>
      <c r="L61" s="224">
        <f t="shared" ca="1" si="24"/>
        <v>0</v>
      </c>
      <c r="M61" s="222">
        <f t="shared" ca="1" si="24"/>
        <v>0</v>
      </c>
      <c r="N61" s="224">
        <f t="shared" ca="1" si="24"/>
        <v>0</v>
      </c>
      <c r="O61" s="222">
        <f t="shared" ca="1" si="24"/>
        <v>0</v>
      </c>
      <c r="P61" s="208"/>
      <c r="Q61" s="208"/>
      <c r="R61" s="208"/>
      <c r="S61" s="183"/>
      <c r="T61" s="139"/>
    </row>
    <row r="62" spans="1:20" ht="18.75" x14ac:dyDescent="0.3">
      <c r="A62" s="86" t="s">
        <v>100</v>
      </c>
      <c r="B62" s="103">
        <f t="shared" si="22"/>
        <v>2011</v>
      </c>
      <c r="C62" s="103">
        <f t="shared" si="22"/>
        <v>1079</v>
      </c>
      <c r="D62" s="104">
        <f t="shared" si="19"/>
        <v>-46.3</v>
      </c>
      <c r="E62" s="413">
        <f t="shared" si="17"/>
        <v>1.369337800740114E-3</v>
      </c>
      <c r="F62" s="103"/>
      <c r="G62" s="177">
        <f t="shared" si="23"/>
        <v>0</v>
      </c>
      <c r="H62" s="177">
        <f t="shared" si="23"/>
        <v>0</v>
      </c>
      <c r="I62" s="104"/>
      <c r="J62" s="413">
        <f t="shared" si="18"/>
        <v>0</v>
      </c>
      <c r="K62" s="139"/>
      <c r="L62" s="224">
        <f t="shared" ca="1" si="24"/>
        <v>0</v>
      </c>
      <c r="M62" s="222">
        <f t="shared" ca="1" si="24"/>
        <v>0</v>
      </c>
      <c r="N62" s="224">
        <f t="shared" ca="1" si="24"/>
        <v>0</v>
      </c>
      <c r="O62" s="222">
        <f t="shared" ca="1" si="24"/>
        <v>0</v>
      </c>
      <c r="P62" s="208"/>
      <c r="Q62" s="208"/>
      <c r="R62" s="208"/>
      <c r="S62" s="183"/>
      <c r="T62" s="139"/>
    </row>
    <row r="63" spans="1:20" ht="18.75" x14ac:dyDescent="0.3">
      <c r="A63" s="107" t="s">
        <v>69</v>
      </c>
      <c r="B63" s="103">
        <f>B24+B40</f>
        <v>7985690.7904505013</v>
      </c>
      <c r="C63" s="103">
        <f>+C24+C40</f>
        <v>7350206.0849330723</v>
      </c>
      <c r="D63" s="104">
        <f t="shared" si="19"/>
        <v>-8</v>
      </c>
      <c r="E63" s="413">
        <f t="shared" si="17"/>
        <v>9.3280028130943986</v>
      </c>
      <c r="F63" s="103"/>
      <c r="G63" s="177">
        <f>+G24+G40</f>
        <v>104166525.08299997</v>
      </c>
      <c r="H63" s="177">
        <f>+H24+H40</f>
        <v>112348410.0004328</v>
      </c>
      <c r="I63" s="104">
        <f t="shared" si="20"/>
        <v>7.9</v>
      </c>
      <c r="J63" s="413">
        <f t="shared" si="18"/>
        <v>8.426825454570432</v>
      </c>
      <c r="K63" s="139"/>
      <c r="L63" s="224">
        <f ca="1">L24+L40</f>
        <v>0</v>
      </c>
      <c r="M63" s="222">
        <f ca="1">+M24+M40</f>
        <v>0</v>
      </c>
      <c r="N63" s="224">
        <f ca="1">+N24+N40</f>
        <v>0</v>
      </c>
      <c r="O63" s="222">
        <f ca="1">+O24+O40</f>
        <v>0</v>
      </c>
      <c r="P63" s="208"/>
      <c r="Q63" s="208"/>
      <c r="R63" s="208"/>
      <c r="S63" s="183"/>
      <c r="T63" s="139"/>
    </row>
    <row r="64" spans="1:20" ht="18.75" customHeight="1" x14ac:dyDescent="0.3">
      <c r="A64" s="107" t="s">
        <v>102</v>
      </c>
      <c r="B64" s="103">
        <f>B25</f>
        <v>3152879</v>
      </c>
      <c r="C64" s="103">
        <f>C25</f>
        <v>4003368.5150000001</v>
      </c>
      <c r="D64" s="104">
        <f t="shared" si="19"/>
        <v>27</v>
      </c>
      <c r="E64" s="413">
        <f t="shared" si="17"/>
        <v>5.0805966986861133</v>
      </c>
      <c r="F64" s="103"/>
      <c r="G64" s="177">
        <f>G25</f>
        <v>69246198</v>
      </c>
      <c r="H64" s="177">
        <f>H25</f>
        <v>74741399.903610006</v>
      </c>
      <c r="I64" s="104">
        <f t="shared" si="20"/>
        <v>7.9</v>
      </c>
      <c r="J64" s="413">
        <f t="shared" si="18"/>
        <v>5.6060671549828118</v>
      </c>
      <c r="K64" s="139"/>
      <c r="L64" s="224">
        <f ca="1">L25</f>
        <v>0</v>
      </c>
      <c r="M64" s="222">
        <f ca="1">M25</f>
        <v>0</v>
      </c>
      <c r="N64" s="224">
        <f ca="1">N25</f>
        <v>0</v>
      </c>
      <c r="O64" s="222">
        <f ca="1">O25</f>
        <v>0</v>
      </c>
      <c r="P64" s="208"/>
      <c r="Q64" s="208"/>
      <c r="R64" s="208"/>
      <c r="S64" s="183"/>
      <c r="T64" s="139"/>
    </row>
    <row r="65" spans="1:240" ht="18.75" customHeight="1" x14ac:dyDescent="0.3">
      <c r="A65" s="107" t="s">
        <v>375</v>
      </c>
      <c r="B65" s="103">
        <f>B26</f>
        <v>0</v>
      </c>
      <c r="C65" s="103">
        <f>C26</f>
        <v>299297.71739252901</v>
      </c>
      <c r="D65" s="104" t="str">
        <f t="shared" ref="D65" si="25">IF(B65=0, "    ---- ", IF(ABS(ROUND(100/B65*C65-100,1))&lt;999,ROUND(100/B65*C65-100,1),IF(ROUND(100/B65*C65-100,1)&gt;999,999,-999)))</f>
        <v xml:space="preserve">    ---- </v>
      </c>
      <c r="E65" s="413">
        <f t="shared" si="17"/>
        <v>0.37983288053829639</v>
      </c>
      <c r="F65" s="103"/>
      <c r="G65" s="177">
        <f>G26</f>
        <v>0</v>
      </c>
      <c r="H65" s="177">
        <f>H26</f>
        <v>0</v>
      </c>
      <c r="I65" s="104"/>
      <c r="J65" s="413">
        <f t="shared" si="18"/>
        <v>0</v>
      </c>
      <c r="K65" s="139"/>
      <c r="L65" s="224"/>
      <c r="M65" s="222"/>
      <c r="N65" s="224"/>
      <c r="O65" s="222"/>
      <c r="P65" s="208"/>
      <c r="Q65" s="208"/>
      <c r="R65" s="208"/>
      <c r="S65" s="183"/>
      <c r="T65" s="139"/>
    </row>
    <row r="66" spans="1:240" ht="18.75" customHeight="1" x14ac:dyDescent="0.3">
      <c r="A66" s="107" t="s">
        <v>75</v>
      </c>
      <c r="B66" s="103">
        <f>B41</f>
        <v>84302</v>
      </c>
      <c r="C66" s="103">
        <f>C41</f>
        <v>108843</v>
      </c>
      <c r="D66" s="104">
        <f t="shared" si="19"/>
        <v>29.1</v>
      </c>
      <c r="E66" s="413">
        <f t="shared" si="17"/>
        <v>0.13813052293415776</v>
      </c>
      <c r="F66" s="103"/>
      <c r="G66" s="177">
        <f>G41</f>
        <v>1949500</v>
      </c>
      <c r="H66" s="177">
        <f>H41</f>
        <v>2249653.4116099998</v>
      </c>
      <c r="I66" s="104">
        <f t="shared" si="20"/>
        <v>15.4</v>
      </c>
      <c r="J66" s="413">
        <f t="shared" si="18"/>
        <v>0.16873791656547102</v>
      </c>
      <c r="K66" s="139"/>
      <c r="L66" s="224">
        <f ca="1">L41</f>
        <v>0</v>
      </c>
      <c r="M66" s="222">
        <f ca="1">M41</f>
        <v>0</v>
      </c>
      <c r="N66" s="224">
        <f ca="1">N41</f>
        <v>0</v>
      </c>
      <c r="O66" s="222">
        <f ca="1">O41</f>
        <v>0</v>
      </c>
      <c r="P66" s="208"/>
      <c r="Q66" s="208"/>
      <c r="R66" s="208"/>
      <c r="S66" s="183"/>
      <c r="T66" s="139"/>
    </row>
    <row r="67" spans="1:240" ht="18.75" customHeight="1" x14ac:dyDescent="0.3">
      <c r="A67" s="86" t="s">
        <v>71</v>
      </c>
      <c r="B67" s="103">
        <f>B27+B42</f>
        <v>4304027.6959800003</v>
      </c>
      <c r="C67" s="103">
        <f>+C27+C42</f>
        <v>4940975.83268</v>
      </c>
      <c r="D67" s="104">
        <f t="shared" si="19"/>
        <v>14.8</v>
      </c>
      <c r="E67" s="413">
        <f t="shared" si="17"/>
        <v>6.270495811151144</v>
      </c>
      <c r="F67" s="103"/>
      <c r="G67" s="177">
        <f>+G27+G42</f>
        <v>41674216.855979994</v>
      </c>
      <c r="H67" s="177">
        <f>+H27+H42</f>
        <v>48760298.709250003</v>
      </c>
      <c r="I67" s="104">
        <f t="shared" si="20"/>
        <v>17</v>
      </c>
      <c r="J67" s="413">
        <f t="shared" si="18"/>
        <v>3.6573239116956153</v>
      </c>
      <c r="K67" s="139"/>
      <c r="L67" s="224">
        <f ca="1">L27+L42</f>
        <v>0</v>
      </c>
      <c r="M67" s="222">
        <f t="shared" ref="M67:O68" ca="1" si="26">+M27+M42</f>
        <v>0</v>
      </c>
      <c r="N67" s="224">
        <f t="shared" ca="1" si="26"/>
        <v>0</v>
      </c>
      <c r="O67" s="222">
        <f t="shared" ca="1" si="26"/>
        <v>0</v>
      </c>
      <c r="P67" s="208"/>
      <c r="Q67" s="208"/>
      <c r="R67" s="208"/>
      <c r="S67" s="183"/>
      <c r="T67" s="139"/>
    </row>
    <row r="68" spans="1:240" ht="18.75" customHeight="1" x14ac:dyDescent="0.3">
      <c r="A68" s="86" t="s">
        <v>103</v>
      </c>
      <c r="B68" s="103">
        <f>B43+B28</f>
        <v>12333712.75</v>
      </c>
      <c r="C68" s="103">
        <f>+C28+C43</f>
        <v>12694746.063000001</v>
      </c>
      <c r="D68" s="104">
        <f t="shared" si="19"/>
        <v>2.9</v>
      </c>
      <c r="E68" s="413">
        <f t="shared" si="17"/>
        <v>16.110653989678074</v>
      </c>
      <c r="F68" s="103"/>
      <c r="G68" s="177">
        <f>+G28+G43</f>
        <v>255297893.78999999</v>
      </c>
      <c r="H68" s="177">
        <f>+H28+H43</f>
        <v>279799891.37399995</v>
      </c>
      <c r="I68" s="104">
        <f t="shared" si="20"/>
        <v>9.6</v>
      </c>
      <c r="J68" s="413">
        <f t="shared" si="18"/>
        <v>20.986721991057831</v>
      </c>
      <c r="K68" s="139"/>
      <c r="L68" s="224">
        <f ca="1">L43+L28</f>
        <v>0</v>
      </c>
      <c r="M68" s="222">
        <f t="shared" ca="1" si="26"/>
        <v>0</v>
      </c>
      <c r="N68" s="224">
        <f t="shared" ca="1" si="26"/>
        <v>0</v>
      </c>
      <c r="O68" s="222">
        <f t="shared" ca="1" si="26"/>
        <v>0</v>
      </c>
      <c r="P68" s="208"/>
      <c r="Q68" s="208"/>
      <c r="R68" s="208"/>
      <c r="S68" s="183"/>
      <c r="T68" s="139"/>
    </row>
    <row r="69" spans="1:240" ht="18.75" customHeight="1" x14ac:dyDescent="0.3">
      <c r="A69" s="86" t="s">
        <v>104</v>
      </c>
      <c r="B69" s="103">
        <f>B29</f>
        <v>23751</v>
      </c>
      <c r="C69" s="103">
        <f>+C29</f>
        <v>20446</v>
      </c>
      <c r="D69" s="104">
        <f t="shared" si="19"/>
        <v>-13.9</v>
      </c>
      <c r="E69" s="413">
        <f t="shared" si="17"/>
        <v>2.5947618789557338E-2</v>
      </c>
      <c r="F69" s="103"/>
      <c r="G69" s="177">
        <f>+G29</f>
        <v>0</v>
      </c>
      <c r="H69" s="177">
        <f>+H29</f>
        <v>0</v>
      </c>
      <c r="I69" s="104"/>
      <c r="J69" s="413">
        <f t="shared" si="18"/>
        <v>0</v>
      </c>
      <c r="K69" s="139"/>
      <c r="L69" s="224">
        <f ca="1">L29</f>
        <v>0</v>
      </c>
      <c r="M69" s="222">
        <f t="shared" ref="M69:O70" ca="1" si="27">+M29</f>
        <v>0</v>
      </c>
      <c r="N69" s="224">
        <f t="shared" ca="1" si="27"/>
        <v>0</v>
      </c>
      <c r="O69" s="222">
        <f t="shared" ca="1" si="27"/>
        <v>0</v>
      </c>
      <c r="P69" s="208"/>
      <c r="Q69" s="208"/>
      <c r="R69" s="208"/>
      <c r="S69" s="183"/>
      <c r="T69" s="139"/>
    </row>
    <row r="70" spans="1:240" ht="18.75" customHeight="1" x14ac:dyDescent="0.3">
      <c r="A70" s="86" t="s">
        <v>105</v>
      </c>
      <c r="B70" s="103">
        <f>B30</f>
        <v>487718.42099999997</v>
      </c>
      <c r="C70" s="103">
        <f>+C30</f>
        <v>494563</v>
      </c>
      <c r="D70" s="104">
        <f t="shared" si="19"/>
        <v>1.4</v>
      </c>
      <c r="E70" s="413">
        <f t="shared" si="17"/>
        <v>0.6276402323887238</v>
      </c>
      <c r="F70" s="103"/>
      <c r="G70" s="177">
        <f>+G30</f>
        <v>0</v>
      </c>
      <c r="H70" s="177">
        <f>+H30</f>
        <v>0</v>
      </c>
      <c r="I70" s="104"/>
      <c r="J70" s="413">
        <f t="shared" si="18"/>
        <v>0</v>
      </c>
      <c r="K70" s="139"/>
      <c r="L70" s="224">
        <f ca="1">L30</f>
        <v>0</v>
      </c>
      <c r="M70" s="222">
        <f t="shared" ca="1" si="27"/>
        <v>0</v>
      </c>
      <c r="N70" s="224">
        <f t="shared" ca="1" si="27"/>
        <v>0</v>
      </c>
      <c r="O70" s="222">
        <f t="shared" ca="1" si="27"/>
        <v>0</v>
      </c>
      <c r="P70" s="208"/>
      <c r="Q70" s="208"/>
      <c r="R70" s="208"/>
      <c r="S70" s="183"/>
      <c r="T70" s="139"/>
    </row>
    <row r="71" spans="1:240" s="111" customFormat="1" ht="18.75" customHeight="1" x14ac:dyDescent="0.3">
      <c r="A71" s="113" t="s">
        <v>2</v>
      </c>
      <c r="B71" s="114">
        <f>SUM(B48:B70)</f>
        <v>69380755.650600493</v>
      </c>
      <c r="C71" s="114">
        <f>SUM(C48:C70)</f>
        <v>78797211.281015605</v>
      </c>
      <c r="D71" s="115">
        <f>IF(B71=0, "    ---- ", IF(ABS(ROUND(100/B71*C71-100,1))&lt;999,ROUND(100/B71*C71-100,1),IF(ROUND(100/B71*C71-100,1)&gt;999,999,-999)))</f>
        <v>13.6</v>
      </c>
      <c r="E71" s="416">
        <f>SUM(E48:E70)</f>
        <v>100</v>
      </c>
      <c r="F71" s="109"/>
      <c r="G71" s="182">
        <f>SUM(G48:G70)</f>
        <v>1240318281.8319001</v>
      </c>
      <c r="H71" s="182">
        <f>SUM(H48:H70)</f>
        <v>1333223413.8004928</v>
      </c>
      <c r="I71" s="115">
        <f>IF(G71=0, "    ---- ", IF(ABS(ROUND(100/G71*H71-100,1))&lt;999,ROUND(100/G71*H71-100,1),IF(ROUND(100/G71*H71-100,1)&gt;999,999,-999)))</f>
        <v>7.5</v>
      </c>
      <c r="J71" s="416">
        <f>SUM(J48:J70)</f>
        <v>100.00000000000001</v>
      </c>
      <c r="K71" s="180"/>
      <c r="L71" s="230">
        <f ca="1">SUM(L48:L70)</f>
        <v>0</v>
      </c>
      <c r="M71" s="231">
        <f ca="1">SUM(M48:M70)</f>
        <v>0</v>
      </c>
      <c r="N71" s="230">
        <f ca="1">SUM(N48:N70)</f>
        <v>0</v>
      </c>
      <c r="O71" s="231">
        <f ca="1">SUM(O48:O70)</f>
        <v>0</v>
      </c>
      <c r="P71" s="210"/>
      <c r="Q71" s="210"/>
      <c r="R71" s="210"/>
      <c r="S71" s="138"/>
      <c r="T71" s="180"/>
    </row>
    <row r="72" spans="1:240" ht="18.75" customHeight="1" x14ac:dyDescent="0.3">
      <c r="A72" s="112" t="s">
        <v>109</v>
      </c>
      <c r="B72" s="112"/>
      <c r="C72" s="112"/>
      <c r="D72" s="112"/>
      <c r="E72" s="112"/>
      <c r="F72" s="112"/>
      <c r="G72" s="112"/>
      <c r="H72" s="112"/>
      <c r="I72" s="112"/>
      <c r="J72" s="112"/>
      <c r="K72" s="112"/>
      <c r="L72" s="187"/>
      <c r="M72" s="187"/>
      <c r="N72" s="187"/>
      <c r="O72" s="187"/>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112"/>
      <c r="DT72" s="112"/>
      <c r="DU72" s="112"/>
      <c r="DV72" s="112"/>
      <c r="DW72" s="112"/>
      <c r="DX72" s="112"/>
      <c r="DY72" s="112"/>
      <c r="DZ72" s="112"/>
      <c r="EA72" s="112"/>
      <c r="EB72" s="112"/>
      <c r="EC72" s="112"/>
      <c r="ED72" s="112"/>
      <c r="EE72" s="112"/>
      <c r="EF72" s="112"/>
      <c r="EG72" s="112"/>
      <c r="EH72" s="112"/>
      <c r="EI72" s="112"/>
      <c r="EJ72" s="112"/>
      <c r="EK72" s="112"/>
      <c r="EL72" s="112"/>
      <c r="EM72" s="112"/>
      <c r="EN72" s="112"/>
      <c r="EO72" s="112"/>
      <c r="EP72" s="112"/>
      <c r="EQ72" s="112"/>
      <c r="ER72" s="112"/>
      <c r="ES72" s="112"/>
      <c r="ET72" s="112"/>
      <c r="EU72" s="112"/>
      <c r="EV72" s="112"/>
      <c r="EW72" s="112"/>
      <c r="EX72" s="112"/>
      <c r="EY72" s="112"/>
      <c r="EZ72" s="112"/>
      <c r="FA72" s="112"/>
      <c r="FB72" s="112"/>
      <c r="FC72" s="112"/>
      <c r="FD72" s="112"/>
      <c r="FE72" s="112"/>
      <c r="FF72" s="112"/>
      <c r="FG72" s="112"/>
      <c r="FH72" s="112"/>
      <c r="FI72" s="112"/>
      <c r="FJ72" s="112"/>
      <c r="FK72" s="112"/>
      <c r="FL72" s="112"/>
      <c r="FM72" s="112"/>
      <c r="FN72" s="112"/>
      <c r="FO72" s="112"/>
      <c r="FP72" s="112"/>
      <c r="FQ72" s="112"/>
      <c r="FR72" s="112"/>
      <c r="FS72" s="112"/>
      <c r="FT72" s="112"/>
      <c r="FU72" s="112"/>
      <c r="FV72" s="112"/>
      <c r="FW72" s="112"/>
      <c r="FX72" s="112"/>
      <c r="FY72" s="112"/>
      <c r="FZ72" s="112"/>
      <c r="GA72" s="112"/>
      <c r="GB72" s="112"/>
      <c r="GC72" s="112"/>
      <c r="GD72" s="112"/>
      <c r="GE72" s="112"/>
      <c r="GF72" s="112"/>
      <c r="GG72" s="112"/>
      <c r="GH72" s="112"/>
      <c r="GI72" s="112"/>
      <c r="GJ72" s="112"/>
      <c r="GK72" s="112"/>
      <c r="GL72" s="112"/>
      <c r="GM72" s="112"/>
      <c r="GN72" s="112"/>
      <c r="GO72" s="112"/>
      <c r="GP72" s="112"/>
      <c r="GQ72" s="112"/>
      <c r="GR72" s="112"/>
      <c r="GS72" s="112"/>
      <c r="GT72" s="112"/>
      <c r="GU72" s="112"/>
      <c r="GV72" s="112"/>
      <c r="GW72" s="112"/>
      <c r="GX72" s="112"/>
      <c r="GY72" s="112"/>
      <c r="GZ72" s="112"/>
      <c r="HA72" s="112"/>
      <c r="HB72" s="112"/>
      <c r="HC72" s="112"/>
      <c r="HD72" s="112"/>
      <c r="HE72" s="112"/>
      <c r="HF72" s="112"/>
      <c r="HG72" s="112"/>
      <c r="HH72" s="112"/>
      <c r="HI72" s="112"/>
      <c r="HJ72" s="112"/>
      <c r="HK72" s="112"/>
      <c r="HL72" s="112"/>
      <c r="HM72" s="112"/>
      <c r="HN72" s="112"/>
      <c r="HO72" s="112"/>
      <c r="HP72" s="112"/>
      <c r="HQ72" s="112"/>
      <c r="HR72" s="112"/>
      <c r="HS72" s="112"/>
      <c r="HT72" s="112"/>
      <c r="HU72" s="112"/>
      <c r="HV72" s="112"/>
      <c r="HW72" s="112"/>
      <c r="HX72" s="112"/>
      <c r="HY72" s="112"/>
      <c r="HZ72" s="112"/>
      <c r="IA72" s="112"/>
      <c r="IB72" s="112"/>
      <c r="IC72" s="112"/>
      <c r="ID72" s="112"/>
      <c r="IE72" s="112"/>
      <c r="IF72" s="112"/>
    </row>
    <row r="73" spans="1:240" ht="18.75" customHeight="1" x14ac:dyDescent="0.3">
      <c r="A73" s="74"/>
      <c r="B73" s="74"/>
      <c r="C73" s="74"/>
      <c r="D73" s="74"/>
      <c r="E73" s="74"/>
      <c r="F73" s="74"/>
      <c r="G73" s="74"/>
      <c r="H73" s="74"/>
      <c r="I73" s="74"/>
      <c r="J73" s="74"/>
      <c r="K73" s="74"/>
    </row>
    <row r="74" spans="1:240" ht="18.75" customHeight="1" x14ac:dyDescent="0.3">
      <c r="A74" s="74"/>
      <c r="B74" s="74"/>
      <c r="C74" s="74"/>
      <c r="D74" s="74"/>
      <c r="E74" s="74"/>
      <c r="F74" s="74"/>
      <c r="G74" s="74"/>
      <c r="H74" s="74"/>
      <c r="I74" s="74"/>
      <c r="J74" s="74"/>
      <c r="K74" s="74"/>
    </row>
    <row r="75" spans="1:240" ht="18.75" customHeight="1" x14ac:dyDescent="0.3">
      <c r="A75" s="74"/>
      <c r="B75" s="77"/>
      <c r="C75" s="77"/>
      <c r="D75" s="74"/>
      <c r="E75" s="74"/>
      <c r="F75" s="74"/>
      <c r="G75" s="77"/>
      <c r="H75" s="77"/>
      <c r="I75" s="74"/>
      <c r="J75" s="74"/>
      <c r="K75" s="74"/>
    </row>
    <row r="76" spans="1:240" ht="18.75" customHeight="1" x14ac:dyDescent="0.3">
      <c r="A76" s="74"/>
      <c r="B76" s="74"/>
      <c r="C76" s="74"/>
      <c r="D76" s="74"/>
      <c r="E76" s="74"/>
      <c r="F76" s="74"/>
      <c r="G76" s="74"/>
      <c r="H76" s="74"/>
      <c r="I76" s="74"/>
      <c r="J76" s="74"/>
      <c r="K76" s="74"/>
    </row>
    <row r="77" spans="1:240" ht="18.75" customHeight="1" x14ac:dyDescent="0.3">
      <c r="A77" s="74"/>
      <c r="B77" s="74"/>
      <c r="C77" s="74"/>
      <c r="D77" s="74"/>
      <c r="E77" s="74"/>
      <c r="F77" s="74"/>
      <c r="G77" s="74"/>
      <c r="H77" s="74"/>
      <c r="I77" s="74"/>
      <c r="J77" s="74"/>
      <c r="K77" s="74"/>
    </row>
    <row r="78" spans="1:240" ht="18.75" customHeight="1" x14ac:dyDescent="0.3">
      <c r="A78" s="74"/>
      <c r="B78" s="74"/>
      <c r="C78" s="74"/>
      <c r="D78" s="74"/>
      <c r="E78" s="74"/>
      <c r="F78" s="74"/>
      <c r="G78" s="74"/>
      <c r="H78" s="74"/>
      <c r="I78" s="74"/>
      <c r="J78" s="74"/>
      <c r="K78" s="74"/>
    </row>
    <row r="79" spans="1:240" ht="18.75" customHeight="1" x14ac:dyDescent="0.3">
      <c r="A79" s="74"/>
      <c r="B79" s="74"/>
      <c r="C79" s="74"/>
      <c r="D79" s="74"/>
      <c r="E79" s="74"/>
      <c r="F79" s="74"/>
      <c r="G79" s="74"/>
      <c r="H79" s="74"/>
      <c r="I79" s="74"/>
      <c r="J79" s="74"/>
      <c r="K79" s="74"/>
    </row>
    <row r="80" spans="1:240" ht="18.75" x14ac:dyDescent="0.3">
      <c r="A80" s="74"/>
      <c r="B80" s="74"/>
      <c r="C80" s="74"/>
      <c r="D80" s="74"/>
      <c r="E80" s="74"/>
      <c r="F80" s="74"/>
      <c r="G80" s="74"/>
      <c r="H80" s="74"/>
      <c r="I80" s="74"/>
      <c r="J80" s="74"/>
      <c r="K80" s="74"/>
    </row>
    <row r="81" spans="1:11" ht="18.75" x14ac:dyDescent="0.3">
      <c r="A81" s="74"/>
      <c r="B81" s="74"/>
      <c r="C81" s="74"/>
      <c r="D81" s="74"/>
      <c r="E81" s="74"/>
      <c r="F81" s="74"/>
      <c r="G81" s="74"/>
      <c r="H81" s="74"/>
      <c r="I81" s="74"/>
      <c r="J81" s="74"/>
      <c r="K81" s="74"/>
    </row>
    <row r="82" spans="1:11" ht="18.75" x14ac:dyDescent="0.3">
      <c r="A82" s="74"/>
      <c r="B82" s="74"/>
      <c r="C82" s="74"/>
      <c r="D82" s="74"/>
      <c r="E82" s="74"/>
      <c r="F82" s="74"/>
      <c r="G82" s="74"/>
      <c r="H82" s="74"/>
      <c r="I82" s="74"/>
      <c r="J82" s="74"/>
      <c r="K82" s="74"/>
    </row>
    <row r="83" spans="1:11" ht="18.75" x14ac:dyDescent="0.3">
      <c r="A83" s="74"/>
      <c r="B83" s="74"/>
      <c r="C83" s="74"/>
      <c r="D83" s="74"/>
      <c r="E83" s="74"/>
      <c r="F83" s="74"/>
      <c r="G83" s="74"/>
      <c r="H83" s="74"/>
      <c r="I83" s="74"/>
      <c r="J83" s="74"/>
      <c r="K83" s="74"/>
    </row>
    <row r="84" spans="1:11" ht="18.75" x14ac:dyDescent="0.3">
      <c r="A84" s="74"/>
      <c r="B84" s="74"/>
      <c r="C84" s="74"/>
      <c r="D84" s="74"/>
      <c r="E84" s="74"/>
      <c r="F84" s="74"/>
      <c r="G84" s="74"/>
      <c r="H84" s="74"/>
      <c r="I84" s="74"/>
      <c r="J84" s="74"/>
      <c r="K84" s="74"/>
    </row>
    <row r="85" spans="1:11" ht="18.75"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74"/>
      <c r="B95" s="74"/>
      <c r="C95" s="74"/>
      <c r="D95" s="74"/>
      <c r="E95" s="74"/>
      <c r="F95" s="74"/>
      <c r="G95" s="74"/>
      <c r="H95" s="74"/>
      <c r="I95" s="74"/>
      <c r="J95" s="74"/>
      <c r="K95" s="74"/>
    </row>
    <row r="96" spans="1:11" ht="18.75" x14ac:dyDescent="0.3">
      <c r="A96" s="74"/>
      <c r="B96" s="74"/>
      <c r="C96" s="74"/>
      <c r="D96" s="74"/>
      <c r="E96" s="74"/>
      <c r="F96" s="74"/>
      <c r="G96" s="74"/>
      <c r="H96" s="74"/>
      <c r="I96" s="74"/>
      <c r="J96" s="74"/>
      <c r="K96" s="74"/>
    </row>
    <row r="97" spans="1:11" ht="18.75" x14ac:dyDescent="0.3">
      <c r="A97" s="112"/>
      <c r="B97" s="112"/>
      <c r="C97" s="112"/>
      <c r="D97" s="112"/>
      <c r="E97" s="112"/>
      <c r="F97" s="112"/>
      <c r="G97" s="112"/>
      <c r="H97" s="112"/>
      <c r="I97" s="112"/>
      <c r="J97" s="112"/>
      <c r="K97" s="112"/>
    </row>
    <row r="98" spans="1:11" ht="18.75" x14ac:dyDescent="0.3">
      <c r="A98" s="116"/>
      <c r="B98" s="117"/>
      <c r="C98" s="117"/>
      <c r="D98" s="117"/>
      <c r="E98" s="74"/>
      <c r="F98" s="74"/>
      <c r="G98" s="74"/>
      <c r="H98" s="74"/>
      <c r="I98" s="74"/>
      <c r="J98" s="75"/>
      <c r="K98" s="75"/>
    </row>
    <row r="99" spans="1:11" ht="18.75" x14ac:dyDescent="0.3">
      <c r="A99" s="74"/>
      <c r="B99" s="74"/>
      <c r="C99" s="74"/>
      <c r="D99" s="74"/>
      <c r="E99" s="74"/>
      <c r="F99" s="74"/>
      <c r="G99" s="74"/>
      <c r="H99" s="74"/>
      <c r="I99" s="74"/>
      <c r="J99" s="74"/>
      <c r="K99" s="74"/>
    </row>
    <row r="100" spans="1:11" ht="18.75" x14ac:dyDescent="0.3">
      <c r="A100" s="74"/>
      <c r="B100" s="74"/>
      <c r="C100" s="74"/>
      <c r="D100" s="74"/>
      <c r="E100" s="74"/>
      <c r="F100" s="74"/>
      <c r="G100" s="74"/>
      <c r="H100" s="74"/>
      <c r="I100" s="74"/>
      <c r="J100" s="74"/>
      <c r="K100" s="74"/>
    </row>
    <row r="101" spans="1:11" ht="18.75" x14ac:dyDescent="0.3">
      <c r="A101" s="74"/>
      <c r="B101" s="74"/>
      <c r="C101" s="74"/>
      <c r="D101" s="74"/>
      <c r="E101" s="74"/>
      <c r="F101" s="74"/>
      <c r="G101" s="74"/>
      <c r="H101" s="74"/>
      <c r="I101" s="74"/>
      <c r="J101" s="74"/>
      <c r="K101" s="74"/>
    </row>
    <row r="102" spans="1:11" ht="18.75" x14ac:dyDescent="0.3">
      <c r="A102" s="74"/>
      <c r="B102" s="74"/>
      <c r="C102" s="74"/>
      <c r="D102" s="74"/>
      <c r="E102" s="74"/>
      <c r="F102" s="74"/>
      <c r="G102" s="74"/>
      <c r="H102" s="74"/>
      <c r="I102" s="74"/>
      <c r="J102" s="74"/>
      <c r="K102" s="74"/>
    </row>
    <row r="103" spans="1:11" ht="18.75" x14ac:dyDescent="0.3">
      <c r="A103" s="74"/>
      <c r="B103" s="74"/>
      <c r="C103" s="74"/>
      <c r="D103" s="74"/>
      <c r="E103" s="74"/>
      <c r="F103" s="74"/>
      <c r="G103" s="74"/>
      <c r="H103" s="74"/>
      <c r="I103" s="74"/>
      <c r="J103" s="74"/>
      <c r="K103" s="74"/>
    </row>
    <row r="104" spans="1:11" ht="18.75" x14ac:dyDescent="0.3">
      <c r="A104" s="74"/>
      <c r="B104" s="74"/>
      <c r="C104" s="74"/>
      <c r="D104" s="74"/>
      <c r="E104" s="74"/>
      <c r="F104" s="74"/>
      <c r="G104" s="74"/>
      <c r="H104" s="74"/>
      <c r="I104" s="74"/>
      <c r="J104" s="74"/>
      <c r="K104" s="74"/>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row r="109" spans="1:11" ht="18.75" x14ac:dyDescent="0.3">
      <c r="A109" s="74"/>
      <c r="B109" s="74"/>
      <c r="C109" s="74"/>
      <c r="D109" s="74"/>
      <c r="E109" s="74"/>
      <c r="F109" s="74"/>
      <c r="G109" s="74"/>
      <c r="H109" s="74"/>
      <c r="I109" s="74"/>
      <c r="J109" s="74"/>
      <c r="K109" s="74"/>
    </row>
    <row r="110" spans="1:11" ht="18.75" x14ac:dyDescent="0.3">
      <c r="A110" s="74"/>
      <c r="B110" s="74"/>
      <c r="C110" s="74"/>
      <c r="D110" s="74"/>
      <c r="E110" s="74"/>
      <c r="F110" s="74"/>
      <c r="G110" s="74"/>
      <c r="H110" s="74"/>
      <c r="I110" s="74"/>
      <c r="J110" s="74"/>
      <c r="K110" s="74"/>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81" customWidth="1"/>
    <col min="2" max="2" width="16.7109375" style="81" customWidth="1"/>
    <col min="3" max="3" width="17.85546875" style="81" bestFit="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85546875" style="81" customWidth="1"/>
    <col min="11" max="11" width="18" style="81" bestFit="1" customWidth="1"/>
    <col min="12" max="12" width="9.28515625" style="81" bestFit="1" customWidth="1"/>
    <col min="13" max="13" width="11.42578125" style="81"/>
    <col min="14" max="14" width="19.28515625" style="81" bestFit="1" customWidth="1"/>
    <col min="15" max="15" width="17.140625" style="81" bestFit="1" customWidth="1"/>
    <col min="16" max="16384" width="11.42578125" style="81"/>
  </cols>
  <sheetData>
    <row r="1" spans="1:13" ht="20.25" x14ac:dyDescent="0.3">
      <c r="A1" s="80" t="s">
        <v>80</v>
      </c>
      <c r="B1" s="73" t="s">
        <v>52</v>
      </c>
      <c r="C1" s="74"/>
      <c r="D1" s="74"/>
      <c r="E1" s="74"/>
      <c r="F1" s="74"/>
      <c r="G1" s="74"/>
      <c r="H1" s="74"/>
      <c r="I1" s="74"/>
      <c r="J1" s="74"/>
      <c r="K1" s="74"/>
      <c r="L1" s="74"/>
      <c r="M1" s="74"/>
    </row>
    <row r="2" spans="1:13" ht="20.25" x14ac:dyDescent="0.3">
      <c r="A2" s="80" t="s">
        <v>110</v>
      </c>
      <c r="B2" s="73"/>
      <c r="C2" s="74"/>
      <c r="D2" s="74"/>
      <c r="E2" s="74"/>
      <c r="F2" s="74"/>
      <c r="G2" s="74"/>
      <c r="H2" s="74"/>
      <c r="I2" s="74"/>
      <c r="J2" s="74"/>
      <c r="K2" s="74"/>
      <c r="L2" s="74"/>
      <c r="M2" s="74"/>
    </row>
    <row r="3" spans="1:13" ht="18.75" x14ac:dyDescent="0.3">
      <c r="A3" s="75" t="s">
        <v>111</v>
      </c>
      <c r="B3" s="74"/>
      <c r="C3" s="74"/>
      <c r="D3" s="74"/>
      <c r="E3" s="74"/>
      <c r="F3" s="74"/>
      <c r="G3" s="74"/>
      <c r="H3" s="74"/>
      <c r="I3" s="74"/>
      <c r="J3" s="74"/>
      <c r="K3" s="74"/>
      <c r="L3" s="74"/>
      <c r="M3" s="74"/>
    </row>
    <row r="4" spans="1:13" ht="18.75" x14ac:dyDescent="0.3">
      <c r="A4" s="82" t="s">
        <v>421</v>
      </c>
      <c r="B4" s="102"/>
      <c r="C4" s="118"/>
      <c r="D4" s="119"/>
      <c r="E4" s="112"/>
      <c r="F4" s="83"/>
      <c r="G4" s="84"/>
      <c r="H4" s="85"/>
      <c r="I4" s="112"/>
      <c r="J4" s="83"/>
      <c r="K4" s="84"/>
      <c r="L4" s="85"/>
      <c r="M4" s="74"/>
    </row>
    <row r="5" spans="1:13" ht="18.75" x14ac:dyDescent="0.3">
      <c r="A5" s="120"/>
      <c r="B5" s="708" t="s">
        <v>0</v>
      </c>
      <c r="C5" s="709"/>
      <c r="D5" s="710"/>
      <c r="E5" s="89"/>
      <c r="F5" s="708" t="s">
        <v>1</v>
      </c>
      <c r="G5" s="709"/>
      <c r="H5" s="710"/>
      <c r="I5" s="121"/>
      <c r="J5" s="708" t="s">
        <v>112</v>
      </c>
      <c r="K5" s="709"/>
      <c r="L5" s="710"/>
      <c r="M5" s="74"/>
    </row>
    <row r="6" spans="1:13" ht="18.75" x14ac:dyDescent="0.3">
      <c r="A6" s="122"/>
      <c r="B6" s="123"/>
      <c r="C6" s="124"/>
      <c r="D6" s="94" t="s">
        <v>113</v>
      </c>
      <c r="E6" s="100"/>
      <c r="F6" s="123"/>
      <c r="G6" s="124"/>
      <c r="H6" s="94" t="s">
        <v>113</v>
      </c>
      <c r="I6" s="125"/>
      <c r="J6" s="123"/>
      <c r="K6" s="124"/>
      <c r="L6" s="94" t="s">
        <v>113</v>
      </c>
      <c r="M6" s="74"/>
    </row>
    <row r="7" spans="1:13" ht="18.75" x14ac:dyDescent="0.3">
      <c r="A7" s="126" t="s">
        <v>114</v>
      </c>
      <c r="B7" s="127">
        <v>2017</v>
      </c>
      <c r="C7" s="186">
        <v>2018</v>
      </c>
      <c r="D7" s="99" t="s">
        <v>86</v>
      </c>
      <c r="E7" s="100"/>
      <c r="F7" s="127">
        <v>2017</v>
      </c>
      <c r="G7" s="186">
        <v>2018</v>
      </c>
      <c r="H7" s="99" t="s">
        <v>86</v>
      </c>
      <c r="I7" s="128"/>
      <c r="J7" s="185">
        <v>2017</v>
      </c>
      <c r="K7" s="186">
        <v>2018</v>
      </c>
      <c r="L7" s="99" t="s">
        <v>86</v>
      </c>
      <c r="M7" s="74"/>
    </row>
    <row r="8" spans="1:13" ht="22.5" x14ac:dyDescent="0.3">
      <c r="A8" s="193" t="s">
        <v>115</v>
      </c>
      <c r="B8" s="233"/>
      <c r="C8" s="202"/>
      <c r="D8" s="202"/>
      <c r="E8" s="183"/>
      <c r="F8" s="202"/>
      <c r="G8" s="202"/>
      <c r="H8" s="202"/>
      <c r="I8" s="203"/>
      <c r="J8" s="202"/>
      <c r="K8" s="202"/>
      <c r="L8" s="202"/>
      <c r="M8" s="74"/>
    </row>
    <row r="9" spans="1:13" ht="18.75" x14ac:dyDescent="0.3">
      <c r="A9" s="194" t="s">
        <v>116</v>
      </c>
      <c r="B9" s="104">
        <f>'Skjema total MA'!B7</f>
        <v>3561428.1385919875</v>
      </c>
      <c r="C9" s="104">
        <f>'Skjema total MA'!C7</f>
        <v>3516656.0912063131</v>
      </c>
      <c r="D9" s="234">
        <f>IF(B9=0, "    ---- ", IF(ABS(ROUND(100/B9*C9-100,1))&lt;999,ROUND(100/B9*C9-100,1),IF(ROUND(100/B9*C9-100,1)&gt;999,999,-999)))</f>
        <v>-1.3</v>
      </c>
      <c r="E9" s="183"/>
      <c r="F9" s="197">
        <f>'Skjema total MA'!E7</f>
        <v>6324119.2612199988</v>
      </c>
      <c r="G9" s="197">
        <f>'Skjema total MA'!F7</f>
        <v>5497158.5092100007</v>
      </c>
      <c r="H9" s="234">
        <f>IF(F9=0, "    ---- ", IF(ABS(ROUND(100/F9*G9-100,1))&lt;999,ROUND(100/F9*G9-100,1),IF(ROUND(100/F9*G9-100,1)&gt;999,999,-999)))</f>
        <v>-13.1</v>
      </c>
      <c r="I9" s="183"/>
      <c r="J9" s="197">
        <f t="shared" ref="J9:K60" si="0">SUM(B9+F9)</f>
        <v>9885547.3998119868</v>
      </c>
      <c r="K9" s="197">
        <f t="shared" si="0"/>
        <v>9013814.6004163139</v>
      </c>
      <c r="L9" s="232">
        <f>IF(J9=0, "    ---- ", IF(ABS(ROUND(100/J9*K9-100,1))&lt;999,ROUND(100/J9*K9-100,1),IF(ROUND(100/J9*K9-100,1)&gt;999,999,-999)))</f>
        <v>-8.8000000000000007</v>
      </c>
      <c r="M9" s="74"/>
    </row>
    <row r="10" spans="1:13" ht="18.75" x14ac:dyDescent="0.3">
      <c r="A10" s="194" t="s">
        <v>117</v>
      </c>
      <c r="B10" s="104">
        <f>'Skjema total MA'!B22</f>
        <v>1319445.7121585142</v>
      </c>
      <c r="C10" s="104">
        <f>'Skjema total MA'!C22</f>
        <v>1200599.7574867592</v>
      </c>
      <c r="D10" s="234">
        <f t="shared" ref="D10:D17" si="1">IF(B10=0, "    ---- ", IF(ABS(ROUND(100/B10*C10-100,1))&lt;999,ROUND(100/B10*C10-100,1),IF(ROUND(100/B10*C10-100,1)&gt;999,999,-999)))</f>
        <v>-9</v>
      </c>
      <c r="E10" s="183"/>
      <c r="F10" s="197">
        <f>'Skjema total MA'!E22</f>
        <v>277737.84161</v>
      </c>
      <c r="G10" s="197">
        <f>'Skjema total MA'!F22</f>
        <v>771565.28350999998</v>
      </c>
      <c r="H10" s="234">
        <f t="shared" ref="H10:H57" si="2">IF(F10=0, "    ---- ", IF(ABS(ROUND(100/F10*G10-100,1))&lt;999,ROUND(100/F10*G10-100,1),IF(ROUND(100/F10*G10-100,1)&gt;999,999,-999)))</f>
        <v>177.8</v>
      </c>
      <c r="I10" s="183"/>
      <c r="J10" s="197">
        <f t="shared" si="0"/>
        <v>1597183.5537685142</v>
      </c>
      <c r="K10" s="197">
        <f t="shared" si="0"/>
        <v>1972165.0409967592</v>
      </c>
      <c r="L10" s="232">
        <f t="shared" ref="L10:L60" si="3">IF(J10=0, "    ---- ", IF(ABS(ROUND(100/J10*K10-100,1))&lt;999,ROUND(100/J10*K10-100,1),IF(ROUND(100/J10*K10-100,1)&gt;999,999,-999)))</f>
        <v>23.5</v>
      </c>
      <c r="M10" s="74"/>
    </row>
    <row r="11" spans="1:13" ht="18.75" x14ac:dyDescent="0.3">
      <c r="A11" s="194" t="s">
        <v>118</v>
      </c>
      <c r="B11" s="104">
        <f>'Skjema total MA'!B47</f>
        <v>3338287.7907300005</v>
      </c>
      <c r="C11" s="104">
        <f>'Skjema total MA'!C47</f>
        <v>3689873.4923725286</v>
      </c>
      <c r="D11" s="234">
        <f t="shared" si="1"/>
        <v>10.5</v>
      </c>
      <c r="E11" s="183"/>
      <c r="F11" s="197"/>
      <c r="G11" s="197"/>
      <c r="H11" s="234"/>
      <c r="I11" s="183"/>
      <c r="J11" s="197">
        <f t="shared" si="0"/>
        <v>3338287.7907300005</v>
      </c>
      <c r="K11" s="197">
        <f t="shared" si="0"/>
        <v>3689873.4923725286</v>
      </c>
      <c r="L11" s="232">
        <f t="shared" si="3"/>
        <v>10.5</v>
      </c>
      <c r="M11" s="74"/>
    </row>
    <row r="12" spans="1:13" ht="18.75" x14ac:dyDescent="0.3">
      <c r="A12" s="194" t="s">
        <v>119</v>
      </c>
      <c r="B12" s="104">
        <f>'Skjema total MA'!B66</f>
        <v>7818091.2000899995</v>
      </c>
      <c r="C12" s="104">
        <f>'Skjema total MA'!C66</f>
        <v>7196350.2520500002</v>
      </c>
      <c r="D12" s="234">
        <f t="shared" si="1"/>
        <v>-8</v>
      </c>
      <c r="E12" s="183"/>
      <c r="F12" s="197">
        <f>'Skjema total MA'!E66</f>
        <v>19684863.982809998</v>
      </c>
      <c r="G12" s="197">
        <f>'Skjema total MA'!F66</f>
        <v>21482709.84821</v>
      </c>
      <c r="H12" s="234">
        <f t="shared" si="2"/>
        <v>9.1</v>
      </c>
      <c r="I12" s="183"/>
      <c r="J12" s="197">
        <f t="shared" si="0"/>
        <v>27502955.182899997</v>
      </c>
      <c r="K12" s="197">
        <f t="shared" si="0"/>
        <v>28679060.100260001</v>
      </c>
      <c r="L12" s="232">
        <f t="shared" si="3"/>
        <v>4.3</v>
      </c>
      <c r="M12" s="74"/>
    </row>
    <row r="13" spans="1:13" ht="18.75" x14ac:dyDescent="0.3">
      <c r="A13" s="194" t="s">
        <v>120</v>
      </c>
      <c r="B13" s="104">
        <f>'Skjema total MA'!B68</f>
        <v>137950.46448</v>
      </c>
      <c r="C13" s="104">
        <f>'Skjema total MA'!C68</f>
        <v>132470.12831</v>
      </c>
      <c r="D13" s="234">
        <f t="shared" si="1"/>
        <v>-4</v>
      </c>
      <c r="E13" s="183"/>
      <c r="F13" s="197">
        <f>'Skjema total MA'!E68</f>
        <v>19462237.96314</v>
      </c>
      <c r="G13" s="197">
        <f>'Skjema total MA'!F68</f>
        <v>21178067.78822</v>
      </c>
      <c r="H13" s="234">
        <f t="shared" si="2"/>
        <v>8.8000000000000007</v>
      </c>
      <c r="I13" s="183"/>
      <c r="J13" s="197">
        <f t="shared" si="0"/>
        <v>19600188.427620001</v>
      </c>
      <c r="K13" s="197">
        <f t="shared" si="0"/>
        <v>21310537.916529998</v>
      </c>
      <c r="L13" s="232">
        <f t="shared" si="3"/>
        <v>8.6999999999999993</v>
      </c>
      <c r="M13" s="74"/>
    </row>
    <row r="14" spans="1:13" s="133" customFormat="1" ht="18.75" x14ac:dyDescent="0.3">
      <c r="A14" s="195" t="s">
        <v>428</v>
      </c>
      <c r="B14" s="131">
        <f>'Skjema total MA'!B75</f>
        <v>196379.58338999999</v>
      </c>
      <c r="C14" s="131">
        <f>'Skjema total MA'!C75</f>
        <v>243025.87884000002</v>
      </c>
      <c r="D14" s="234">
        <f t="shared" si="1"/>
        <v>23.8</v>
      </c>
      <c r="E14" s="184"/>
      <c r="F14" s="198">
        <f>'Skjema total MA'!E75</f>
        <v>222626.01967000001</v>
      </c>
      <c r="G14" s="198">
        <f>'Skjema total MA'!F75</f>
        <v>304642.05998999998</v>
      </c>
      <c r="H14" s="234">
        <f t="shared" si="2"/>
        <v>36.799999999999997</v>
      </c>
      <c r="I14" s="184"/>
      <c r="J14" s="197">
        <f t="shared" si="0"/>
        <v>419005.60305999999</v>
      </c>
      <c r="K14" s="197">
        <f t="shared" si="0"/>
        <v>547667.93883</v>
      </c>
      <c r="L14" s="232">
        <f t="shared" si="3"/>
        <v>30.7</v>
      </c>
      <c r="M14" s="132"/>
    </row>
    <row r="15" spans="1:13" ht="22.5" x14ac:dyDescent="0.3">
      <c r="A15" s="194" t="s">
        <v>364</v>
      </c>
      <c r="B15" s="104">
        <f>'Skjema total MA'!B134</f>
        <v>26968745.670390002</v>
      </c>
      <c r="C15" s="104">
        <f>'Skjema total MA'!C134</f>
        <v>35322559.840970002</v>
      </c>
      <c r="D15" s="234">
        <f t="shared" si="1"/>
        <v>31</v>
      </c>
      <c r="E15" s="183"/>
      <c r="F15" s="197">
        <f>'Skjema total MA'!E134</f>
        <v>84881.887000000002</v>
      </c>
      <c r="G15" s="197">
        <f>'Skjema total MA'!F134</f>
        <v>116827.63</v>
      </c>
      <c r="H15" s="234">
        <f t="shared" si="2"/>
        <v>37.6</v>
      </c>
      <c r="I15" s="183"/>
      <c r="J15" s="197">
        <f t="shared" si="0"/>
        <v>27053627.557390001</v>
      </c>
      <c r="K15" s="197">
        <f t="shared" si="0"/>
        <v>35439387.470970005</v>
      </c>
      <c r="L15" s="232">
        <f t="shared" si="3"/>
        <v>31</v>
      </c>
      <c r="M15" s="74"/>
    </row>
    <row r="16" spans="1:13" ht="18.75" x14ac:dyDescent="0.3">
      <c r="A16" s="194" t="s">
        <v>122</v>
      </c>
      <c r="B16" s="104">
        <f>'Skjema total MA'!B36</f>
        <v>3154.1660000000002</v>
      </c>
      <c r="C16" s="104">
        <f>'Skjema total MA'!C36</f>
        <v>2910.576</v>
      </c>
      <c r="D16" s="234">
        <f t="shared" si="1"/>
        <v>-7.7</v>
      </c>
      <c r="E16" s="183"/>
      <c r="F16" s="197">
        <f>'Skjema total MA'!E36</f>
        <v>0</v>
      </c>
      <c r="G16" s="197">
        <f>'Skjema total MA'!F36</f>
        <v>0</v>
      </c>
      <c r="H16" s="234"/>
      <c r="I16" s="183"/>
      <c r="J16" s="197">
        <f t="shared" si="0"/>
        <v>3154.1660000000002</v>
      </c>
      <c r="K16" s="197">
        <f t="shared" si="0"/>
        <v>2910.576</v>
      </c>
      <c r="L16" s="232">
        <f t="shared" si="3"/>
        <v>-7.7</v>
      </c>
      <c r="M16" s="74"/>
    </row>
    <row r="17" spans="1:23" s="135" customFormat="1" ht="18.75" customHeight="1" x14ac:dyDescent="0.3">
      <c r="A17" s="137" t="s">
        <v>123</v>
      </c>
      <c r="B17" s="110">
        <f>'Tabel 1.1'!B31</f>
        <v>43009152.677960493</v>
      </c>
      <c r="C17" s="199">
        <f>'Tabel 1.1'!C31</f>
        <v>50928950.010085605</v>
      </c>
      <c r="D17" s="234">
        <f t="shared" si="1"/>
        <v>18.399999999999999</v>
      </c>
      <c r="E17" s="138"/>
      <c r="F17" s="199">
        <f>'Tabel 1.1'!B44</f>
        <v>26371602.97264</v>
      </c>
      <c r="G17" s="199">
        <f>'Tabel 1.1'!C44</f>
        <v>27868261.27093</v>
      </c>
      <c r="H17" s="234">
        <f t="shared" si="2"/>
        <v>5.7</v>
      </c>
      <c r="I17" s="138"/>
      <c r="J17" s="199">
        <f t="shared" si="0"/>
        <v>69380755.650600493</v>
      </c>
      <c r="K17" s="199">
        <f t="shared" si="0"/>
        <v>78797211.281015605</v>
      </c>
      <c r="L17" s="232">
        <f t="shared" si="3"/>
        <v>13.6</v>
      </c>
      <c r="M17" s="134"/>
      <c r="N17" s="134"/>
      <c r="O17" s="134"/>
      <c r="Q17" s="136"/>
      <c r="R17" s="136"/>
      <c r="S17" s="136"/>
      <c r="T17" s="136"/>
      <c r="U17" s="136"/>
      <c r="V17" s="136"/>
      <c r="W17" s="136"/>
    </row>
    <row r="18" spans="1:23" ht="18.75" customHeight="1" x14ac:dyDescent="0.3">
      <c r="A18" s="137"/>
      <c r="B18" s="104"/>
      <c r="C18" s="197"/>
      <c r="D18" s="197"/>
      <c r="E18" s="183"/>
      <c r="F18" s="197"/>
      <c r="G18" s="197"/>
      <c r="H18" s="234"/>
      <c r="I18" s="183"/>
      <c r="J18" s="197"/>
      <c r="K18" s="197"/>
      <c r="L18" s="232"/>
      <c r="M18" s="74"/>
    </row>
    <row r="19" spans="1:23" ht="18.75" customHeight="1" x14ac:dyDescent="0.3">
      <c r="A19" s="193" t="s">
        <v>365</v>
      </c>
      <c r="B19" s="201"/>
      <c r="C19" s="204"/>
      <c r="D19" s="197"/>
      <c r="E19" s="183"/>
      <c r="F19" s="204"/>
      <c r="G19" s="204"/>
      <c r="H19" s="234"/>
      <c r="I19" s="183"/>
      <c r="J19" s="197"/>
      <c r="K19" s="197"/>
      <c r="L19" s="232"/>
      <c r="M19" s="74"/>
    </row>
    <row r="20" spans="1:23" ht="18.75" customHeight="1" x14ac:dyDescent="0.3">
      <c r="A20" s="194" t="s">
        <v>116</v>
      </c>
      <c r="B20" s="104">
        <f>'Skjema total MA'!B10</f>
        <v>22285596.564759027</v>
      </c>
      <c r="C20" s="104">
        <f>'Skjema total MA'!C10</f>
        <v>21211479.059001159</v>
      </c>
      <c r="D20" s="234">
        <f>IF(B20=0, "    ---- ", IF(ABS(ROUND(100/B20*C20-100,1))&lt;999,ROUND(100/B20*C20-100,1),IF(ROUND(100/B20*C20-100,1)&gt;999,999,-999)))</f>
        <v>-4.8</v>
      </c>
      <c r="E20" s="183"/>
      <c r="F20" s="197">
        <f>'Skjema total MA'!E10</f>
        <v>39073624.165710099</v>
      </c>
      <c r="G20" s="197">
        <f>'Skjema total MA'!F10</f>
        <v>44606708.838434599</v>
      </c>
      <c r="H20" s="234">
        <f t="shared" si="2"/>
        <v>14.2</v>
      </c>
      <c r="I20" s="183"/>
      <c r="J20" s="197">
        <f t="shared" si="0"/>
        <v>61359220.730469123</v>
      </c>
      <c r="K20" s="197">
        <f t="shared" si="0"/>
        <v>65818187.897435755</v>
      </c>
      <c r="L20" s="232">
        <f t="shared" si="3"/>
        <v>7.3</v>
      </c>
      <c r="M20" s="74"/>
    </row>
    <row r="21" spans="1:23" ht="18.75" customHeight="1" x14ac:dyDescent="0.3">
      <c r="A21" s="194" t="s">
        <v>117</v>
      </c>
      <c r="B21" s="104">
        <f>'Skjema total MA'!B29</f>
        <v>51195002.404628068</v>
      </c>
      <c r="C21" s="104">
        <f>'Skjema total MA'!C29</f>
        <v>48187169.287810005</v>
      </c>
      <c r="D21" s="234">
        <f t="shared" ref="D21:D27" si="4">IF(B21=0, "    ---- ", IF(ABS(ROUND(100/B21*C21-100,1))&lt;999,ROUND(100/B21*C21-100,1),IF(ROUND(100/B21*C21-100,1)&gt;999,999,-999)))</f>
        <v>-5.9</v>
      </c>
      <c r="E21" s="183"/>
      <c r="F21" s="197">
        <f>'Skjema total MA'!E29</f>
        <v>19537815.335500002</v>
      </c>
      <c r="G21" s="197">
        <f>'Skjema total MA'!F29</f>
        <v>20599448.362949997</v>
      </c>
      <c r="H21" s="234">
        <f t="shared" si="2"/>
        <v>5.4</v>
      </c>
      <c r="I21" s="183"/>
      <c r="J21" s="197">
        <f t="shared" si="0"/>
        <v>70732817.74012807</v>
      </c>
      <c r="K21" s="197">
        <f t="shared" si="0"/>
        <v>68786617.650759995</v>
      </c>
      <c r="L21" s="232">
        <f t="shared" si="3"/>
        <v>-2.8</v>
      </c>
      <c r="M21" s="74"/>
    </row>
    <row r="22" spans="1:23" ht="18.75" x14ac:dyDescent="0.3">
      <c r="A22" s="194" t="s">
        <v>119</v>
      </c>
      <c r="B22" s="104">
        <f>'Skjema total MA'!B87</f>
        <v>380237441.83810288</v>
      </c>
      <c r="C22" s="104">
        <f>'Skjema total MA'!C87</f>
        <v>385752452.07682163</v>
      </c>
      <c r="D22" s="234">
        <f t="shared" si="4"/>
        <v>1.5</v>
      </c>
      <c r="E22" s="183"/>
      <c r="F22" s="197">
        <f>'Skjema total MA'!E87</f>
        <v>210528447.54627991</v>
      </c>
      <c r="G22" s="197">
        <f>'Skjema total MA'!F87</f>
        <v>259587592.96527541</v>
      </c>
      <c r="H22" s="234">
        <f t="shared" si="2"/>
        <v>23.3</v>
      </c>
      <c r="I22" s="183"/>
      <c r="J22" s="197">
        <f t="shared" si="0"/>
        <v>590765889.38438272</v>
      </c>
      <c r="K22" s="197">
        <f t="shared" si="0"/>
        <v>645340045.04209709</v>
      </c>
      <c r="L22" s="232">
        <f t="shared" si="3"/>
        <v>9.1999999999999993</v>
      </c>
      <c r="M22" s="74"/>
    </row>
    <row r="23" spans="1:23" ht="22.5" x14ac:dyDescent="0.3">
      <c r="A23" s="194" t="s">
        <v>124</v>
      </c>
      <c r="B23" s="104">
        <f>'Skjema total MA'!B89</f>
        <v>2502034.6195535795</v>
      </c>
      <c r="C23" s="104">
        <f>'Skjema total MA'!C89</f>
        <v>2636927.1810573502</v>
      </c>
      <c r="D23" s="234">
        <f t="shared" si="4"/>
        <v>5.4</v>
      </c>
      <c r="E23" s="183"/>
      <c r="F23" s="197">
        <f>'Skjema total MA'!E89</f>
        <v>209912156.94425991</v>
      </c>
      <c r="G23" s="197">
        <f>'Skjema total MA'!F89</f>
        <v>258556149.83675539</v>
      </c>
      <c r="H23" s="234">
        <f t="shared" si="2"/>
        <v>23.2</v>
      </c>
      <c r="I23" s="183"/>
      <c r="J23" s="197">
        <f t="shared" si="0"/>
        <v>212414191.56381348</v>
      </c>
      <c r="K23" s="197">
        <f t="shared" si="0"/>
        <v>261193077.01781276</v>
      </c>
      <c r="L23" s="232">
        <f t="shared" si="3"/>
        <v>23</v>
      </c>
      <c r="M23" s="74"/>
    </row>
    <row r="24" spans="1:23" ht="18.75" x14ac:dyDescent="0.3">
      <c r="A24" s="195" t="s">
        <v>121</v>
      </c>
      <c r="B24" s="104">
        <f>'Skjema total MA'!B96</f>
        <v>327426.80781000003</v>
      </c>
      <c r="C24" s="104">
        <f>'Skjema total MA'!C96</f>
        <v>756706.69482999993</v>
      </c>
      <c r="D24" s="234">
        <f t="shared" si="4"/>
        <v>131.1</v>
      </c>
      <c r="E24" s="183"/>
      <c r="F24" s="197">
        <f>'Skjema total MA'!E96</f>
        <v>616290.60201999999</v>
      </c>
      <c r="G24" s="197">
        <f>'Skjema total MA'!F96</f>
        <v>1031443.12852</v>
      </c>
      <c r="H24" s="234">
        <f t="shared" si="2"/>
        <v>67.400000000000006</v>
      </c>
      <c r="I24" s="183"/>
      <c r="J24" s="197">
        <f t="shared" si="0"/>
        <v>943717.40983000002</v>
      </c>
      <c r="K24" s="197">
        <f t="shared" si="0"/>
        <v>1788149.82335</v>
      </c>
      <c r="L24" s="232">
        <f t="shared" si="3"/>
        <v>89.5</v>
      </c>
      <c r="M24" s="74"/>
    </row>
    <row r="25" spans="1:23" ht="22.5" x14ac:dyDescent="0.3">
      <c r="A25" s="194" t="s">
        <v>364</v>
      </c>
      <c r="B25" s="104">
        <f>'Skjema total MA'!B135</f>
        <v>511066919.56677002</v>
      </c>
      <c r="C25" s="104">
        <f>'Skjema total MA'!C135</f>
        <v>546877923.79205</v>
      </c>
      <c r="D25" s="234">
        <f t="shared" si="4"/>
        <v>7</v>
      </c>
      <c r="E25" s="183"/>
      <c r="F25" s="197">
        <f>'Skjema total MA'!E135</f>
        <v>2330198.9161499999</v>
      </c>
      <c r="G25" s="197">
        <f>'Skjema total MA'!F135</f>
        <v>2478827.29715</v>
      </c>
      <c r="H25" s="234">
        <f t="shared" si="2"/>
        <v>6.4</v>
      </c>
      <c r="I25" s="183"/>
      <c r="J25" s="197">
        <f t="shared" si="0"/>
        <v>513397118.48291999</v>
      </c>
      <c r="K25" s="197">
        <f t="shared" si="0"/>
        <v>549356751.08920002</v>
      </c>
      <c r="L25" s="232">
        <f t="shared" si="3"/>
        <v>7</v>
      </c>
      <c r="M25" s="74"/>
      <c r="N25" s="639"/>
    </row>
    <row r="26" spans="1:23" ht="18.75" x14ac:dyDescent="0.3">
      <c r="A26" s="194" t="s">
        <v>122</v>
      </c>
      <c r="B26" s="104">
        <f>'Skjema total MA'!B37</f>
        <v>4063235.4939999999</v>
      </c>
      <c r="C26" s="104">
        <f>'Skjema total MA'!C37</f>
        <v>3921812.1209999998</v>
      </c>
      <c r="D26" s="234">
        <f t="shared" si="4"/>
        <v>-3.5</v>
      </c>
      <c r="E26" s="183"/>
      <c r="F26" s="197">
        <f>'Skjema total MA'!E37</f>
        <v>0</v>
      </c>
      <c r="G26" s="197">
        <f>'Skjema total MA'!F37</f>
        <v>0</v>
      </c>
      <c r="H26" s="234"/>
      <c r="I26" s="183"/>
      <c r="J26" s="197">
        <f t="shared" si="0"/>
        <v>4063235.4939999999</v>
      </c>
      <c r="K26" s="197">
        <f t="shared" si="0"/>
        <v>3921812.1209999998</v>
      </c>
      <c r="L26" s="232">
        <f t="shared" si="3"/>
        <v>-3.5</v>
      </c>
      <c r="M26" s="74"/>
    </row>
    <row r="27" spans="1:23" s="135" customFormat="1" ht="18.75" x14ac:dyDescent="0.3">
      <c r="A27" s="137" t="s">
        <v>125</v>
      </c>
      <c r="B27" s="110">
        <f>'Tabel 1.1'!G31</f>
        <v>968848195.86826003</v>
      </c>
      <c r="C27" s="199">
        <f>'Tabel 1.1'!H31</f>
        <v>1005950836.3366828</v>
      </c>
      <c r="D27" s="234">
        <f t="shared" si="4"/>
        <v>3.8</v>
      </c>
      <c r="E27" s="138"/>
      <c r="F27" s="199">
        <f>'Tabel 1.1'!G44</f>
        <v>271470085.96363997</v>
      </c>
      <c r="G27" s="199">
        <f>'Tabel 1.1'!H44</f>
        <v>327272577.46380997</v>
      </c>
      <c r="H27" s="234">
        <f t="shared" si="2"/>
        <v>20.6</v>
      </c>
      <c r="I27" s="138"/>
      <c r="J27" s="199">
        <f t="shared" si="0"/>
        <v>1240318281.8319001</v>
      </c>
      <c r="K27" s="199">
        <f t="shared" si="0"/>
        <v>1333223413.8004928</v>
      </c>
      <c r="L27" s="232">
        <f t="shared" si="3"/>
        <v>7.5</v>
      </c>
      <c r="M27" s="75"/>
      <c r="N27" s="134"/>
      <c r="O27" s="134"/>
    </row>
    <row r="28" spans="1:23" ht="18.75" x14ac:dyDescent="0.3">
      <c r="A28" s="137"/>
      <c r="B28" s="104"/>
      <c r="C28" s="197"/>
      <c r="D28" s="234"/>
      <c r="E28" s="183"/>
      <c r="F28" s="197"/>
      <c r="G28" s="197"/>
      <c r="H28" s="234"/>
      <c r="I28" s="183"/>
      <c r="J28" s="197">
        <f t="shared" si="0"/>
        <v>0</v>
      </c>
      <c r="K28" s="197">
        <f t="shared" si="0"/>
        <v>0</v>
      </c>
      <c r="L28" s="232"/>
      <c r="M28" s="74"/>
    </row>
    <row r="29" spans="1:23" ht="22.5" x14ac:dyDescent="0.3">
      <c r="A29" s="193" t="s">
        <v>366</v>
      </c>
      <c r="B29" s="201"/>
      <c r="C29" s="204"/>
      <c r="D29" s="197"/>
      <c r="E29" s="183"/>
      <c r="F29" s="197"/>
      <c r="G29" s="197"/>
      <c r="H29" s="234"/>
      <c r="I29" s="183"/>
      <c r="J29" s="197"/>
      <c r="K29" s="197"/>
      <c r="L29" s="232"/>
      <c r="M29" s="74"/>
    </row>
    <row r="30" spans="1:23" ht="18.75" x14ac:dyDescent="0.3">
      <c r="A30" s="194" t="s">
        <v>116</v>
      </c>
      <c r="B30" s="104">
        <f>'Skjema total MA'!B11</f>
        <v>85448</v>
      </c>
      <c r="C30" s="104">
        <f>'Skjema total MA'!C11</f>
        <v>22541</v>
      </c>
      <c r="D30" s="234">
        <f>IF(B30=0, "    ---- ", IF(ABS(ROUND(100/B30*C30-100,1))&lt;999,ROUND(100/B30*C30-100,1),IF(ROUND(100/B30*C30-100,1)&gt;999,999,-999)))</f>
        <v>-73.599999999999994</v>
      </c>
      <c r="E30" s="183"/>
      <c r="F30" s="197">
        <f>'Skjema total MA'!E11</f>
        <v>198073.64567</v>
      </c>
      <c r="G30" s="197">
        <f>'Skjema total MA'!F11</f>
        <v>205366.20844000002</v>
      </c>
      <c r="H30" s="234">
        <f t="shared" si="2"/>
        <v>3.7</v>
      </c>
      <c r="I30" s="183"/>
      <c r="J30" s="197">
        <f t="shared" si="0"/>
        <v>283521.64567</v>
      </c>
      <c r="K30" s="197">
        <f t="shared" si="0"/>
        <v>227907.20844000002</v>
      </c>
      <c r="L30" s="232">
        <f t="shared" si="3"/>
        <v>-19.600000000000001</v>
      </c>
      <c r="M30" s="74"/>
    </row>
    <row r="31" spans="1:23" ht="18.75" x14ac:dyDescent="0.3">
      <c r="A31" s="194" t="s">
        <v>117</v>
      </c>
      <c r="B31" s="104">
        <f>'Skjema total MA'!B34</f>
        <v>34943.284939999998</v>
      </c>
      <c r="C31" s="104">
        <f>'Skjema total MA'!C34</f>
        <v>21214.471410000002</v>
      </c>
      <c r="D31" s="234">
        <f t="shared" ref="D31:D38" si="5">IF(B31=0, "    ---- ", IF(ABS(ROUND(100/B31*C31-100,1))&lt;999,ROUND(100/B31*C31-100,1),IF(ROUND(100/B31*C31-100,1)&gt;999,999,-999)))</f>
        <v>-39.299999999999997</v>
      </c>
      <c r="E31" s="183"/>
      <c r="F31" s="197">
        <f>'Skjema total MA'!E34</f>
        <v>7689.927020000001</v>
      </c>
      <c r="G31" s="197">
        <f>'Skjema total MA'!F34</f>
        <v>50224.690560000003</v>
      </c>
      <c r="H31" s="234">
        <f t="shared" si="2"/>
        <v>553.1</v>
      </c>
      <c r="I31" s="183"/>
      <c r="J31" s="197">
        <f t="shared" si="0"/>
        <v>42633.211960000001</v>
      </c>
      <c r="K31" s="197">
        <f t="shared" si="0"/>
        <v>71439.161970000001</v>
      </c>
      <c r="L31" s="232">
        <f t="shared" si="3"/>
        <v>67.599999999999994</v>
      </c>
      <c r="M31" s="74"/>
    </row>
    <row r="32" spans="1:23" ht="18.75" x14ac:dyDescent="0.3">
      <c r="A32" s="194" t="s">
        <v>119</v>
      </c>
      <c r="B32" s="104">
        <f>'Skjema total MA'!B111</f>
        <v>465455.61206000001</v>
      </c>
      <c r="C32" s="104">
        <f>'Skjema total MA'!C111</f>
        <v>357377.45717999997</v>
      </c>
      <c r="D32" s="234">
        <f t="shared" si="5"/>
        <v>-23.2</v>
      </c>
      <c r="E32" s="183"/>
      <c r="F32" s="197">
        <f>'Skjema total MA'!E111</f>
        <v>8217634.9584799996</v>
      </c>
      <c r="G32" s="197">
        <f>'Skjema total MA'!F111</f>
        <v>10813675.01701</v>
      </c>
      <c r="H32" s="234">
        <f t="shared" si="2"/>
        <v>31.6</v>
      </c>
      <c r="I32" s="183"/>
      <c r="J32" s="197">
        <f t="shared" si="0"/>
        <v>8683090.5705399998</v>
      </c>
      <c r="K32" s="197">
        <f t="shared" si="0"/>
        <v>11171052.47419</v>
      </c>
      <c r="L32" s="232">
        <f t="shared" si="3"/>
        <v>28.7</v>
      </c>
      <c r="M32" s="74"/>
    </row>
    <row r="33" spans="1:15" ht="22.5" x14ac:dyDescent="0.3">
      <c r="A33" s="194" t="s">
        <v>364</v>
      </c>
      <c r="B33" s="104">
        <f>'Skjema total MA'!B136</f>
        <v>183490.30300000001</v>
      </c>
      <c r="C33" s="104">
        <f>'Skjema total MA'!C136</f>
        <v>315551.48612999998</v>
      </c>
      <c r="D33" s="234">
        <f t="shared" si="5"/>
        <v>72</v>
      </c>
      <c r="E33" s="183"/>
      <c r="F33" s="197">
        <f>'Skjema total MA'!E136</f>
        <v>24988.125</v>
      </c>
      <c r="G33" s="197">
        <f>'Skjema total MA'!F136</f>
        <v>-10.804</v>
      </c>
      <c r="H33" s="234">
        <f t="shared" si="2"/>
        <v>-100</v>
      </c>
      <c r="I33" s="183"/>
      <c r="J33" s="197">
        <f t="shared" si="0"/>
        <v>208478.42800000001</v>
      </c>
      <c r="K33" s="197">
        <f t="shared" si="0"/>
        <v>315540.68212999997</v>
      </c>
      <c r="L33" s="232">
        <f t="shared" si="3"/>
        <v>51.4</v>
      </c>
      <c r="M33" s="74"/>
    </row>
    <row r="34" spans="1:15" ht="18.75" x14ac:dyDescent="0.3">
      <c r="A34" s="194" t="s">
        <v>122</v>
      </c>
      <c r="B34" s="104">
        <f>'Skjema total MA'!B38</f>
        <v>0</v>
      </c>
      <c r="C34" s="104">
        <f>'Skjema total MA'!C38</f>
        <v>0</v>
      </c>
      <c r="D34" s="234"/>
      <c r="E34" s="183"/>
      <c r="F34" s="197">
        <f>'Skjema total MA'!E38</f>
        <v>0</v>
      </c>
      <c r="G34" s="197">
        <f>'Skjema total MA'!F38</f>
        <v>0</v>
      </c>
      <c r="H34" s="234"/>
      <c r="I34" s="183"/>
      <c r="J34" s="197">
        <f t="shared" si="0"/>
        <v>0</v>
      </c>
      <c r="K34" s="197">
        <f t="shared" si="0"/>
        <v>0</v>
      </c>
      <c r="L34" s="232"/>
      <c r="M34" s="74"/>
    </row>
    <row r="35" spans="1:15" s="135" customFormat="1" ht="18.75" x14ac:dyDescent="0.3">
      <c r="A35" s="137" t="s">
        <v>126</v>
      </c>
      <c r="B35" s="110">
        <f>SUM(B30:B34)</f>
        <v>769337.2</v>
      </c>
      <c r="C35" s="199">
        <f>SUM(C30:C34)</f>
        <v>716684.41472</v>
      </c>
      <c r="D35" s="234">
        <f t="shared" si="5"/>
        <v>-6.8</v>
      </c>
      <c r="E35" s="138"/>
      <c r="F35" s="199">
        <f>SUM(F30:F34)</f>
        <v>8448386.6561699994</v>
      </c>
      <c r="G35" s="199">
        <f>SUM(G30:G34)</f>
        <v>11069255.11201</v>
      </c>
      <c r="H35" s="234">
        <f t="shared" si="2"/>
        <v>31</v>
      </c>
      <c r="I35" s="138"/>
      <c r="J35" s="199">
        <f t="shared" si="0"/>
        <v>9217723.8561699986</v>
      </c>
      <c r="K35" s="199">
        <f t="shared" si="0"/>
        <v>11785939.526730001</v>
      </c>
      <c r="L35" s="232">
        <f t="shared" si="3"/>
        <v>27.9</v>
      </c>
      <c r="M35" s="75"/>
    </row>
    <row r="36" spans="1:15" ht="18.75" x14ac:dyDescent="0.3">
      <c r="A36" s="137"/>
      <c r="B36" s="110"/>
      <c r="C36" s="199"/>
      <c r="D36" s="234"/>
      <c r="E36" s="138"/>
      <c r="F36" s="199"/>
      <c r="G36" s="199"/>
      <c r="H36" s="234"/>
      <c r="I36" s="138"/>
      <c r="J36" s="197"/>
      <c r="K36" s="197"/>
      <c r="L36" s="232"/>
      <c r="M36" s="74"/>
    </row>
    <row r="37" spans="1:15" ht="22.5" x14ac:dyDescent="0.3">
      <c r="A37" s="137" t="s">
        <v>367</v>
      </c>
      <c r="B37" s="110"/>
      <c r="C37" s="199"/>
      <c r="D37" s="197"/>
      <c r="E37" s="138"/>
      <c r="F37" s="199"/>
      <c r="G37" s="199"/>
      <c r="H37" s="234"/>
      <c r="I37" s="138"/>
      <c r="J37" s="197"/>
      <c r="K37" s="197"/>
      <c r="L37" s="232"/>
      <c r="M37" s="74"/>
    </row>
    <row r="38" spans="1:15" s="135" customFormat="1" ht="18.75" x14ac:dyDescent="0.3">
      <c r="A38" s="137" t="s">
        <v>118</v>
      </c>
      <c r="B38" s="110">
        <f>'Skjema total MA'!B53</f>
        <v>151823.30799999999</v>
      </c>
      <c r="C38" s="110">
        <f>'Skjema total MA'!C53</f>
        <v>97665.195999999982</v>
      </c>
      <c r="D38" s="234">
        <f t="shared" si="5"/>
        <v>-35.700000000000003</v>
      </c>
      <c r="E38" s="138"/>
      <c r="F38" s="199"/>
      <c r="G38" s="199"/>
      <c r="H38" s="234"/>
      <c r="I38" s="138"/>
      <c r="J38" s="199">
        <f t="shared" si="0"/>
        <v>151823.30799999999</v>
      </c>
      <c r="K38" s="199">
        <f t="shared" si="0"/>
        <v>97665.195999999982</v>
      </c>
      <c r="L38" s="232">
        <f t="shared" si="3"/>
        <v>-35.700000000000003</v>
      </c>
      <c r="M38" s="75"/>
    </row>
    <row r="39" spans="1:15" ht="18.75" x14ac:dyDescent="0.3">
      <c r="A39" s="137"/>
      <c r="B39" s="110"/>
      <c r="C39" s="199"/>
      <c r="D39" s="197"/>
      <c r="E39" s="138"/>
      <c r="F39" s="199"/>
      <c r="G39" s="199"/>
      <c r="H39" s="234"/>
      <c r="I39" s="138"/>
      <c r="J39" s="197"/>
      <c r="K39" s="197"/>
      <c r="L39" s="232"/>
      <c r="M39" s="74"/>
    </row>
    <row r="40" spans="1:15" ht="22.5" x14ac:dyDescent="0.3">
      <c r="A40" s="193" t="s">
        <v>368</v>
      </c>
      <c r="B40" s="201"/>
      <c r="C40" s="204"/>
      <c r="D40" s="197"/>
      <c r="E40" s="183"/>
      <c r="F40" s="197"/>
      <c r="G40" s="197"/>
      <c r="H40" s="234"/>
      <c r="I40" s="183"/>
      <c r="J40" s="197"/>
      <c r="K40" s="197"/>
      <c r="L40" s="232"/>
      <c r="M40" s="74"/>
    </row>
    <row r="41" spans="1:15" ht="18.75" x14ac:dyDescent="0.3">
      <c r="A41" s="194" t="s">
        <v>116</v>
      </c>
      <c r="B41" s="104">
        <f>'Skjema total MA'!B12</f>
        <v>27591</v>
      </c>
      <c r="C41" s="104">
        <f>'Skjema total MA'!C12</f>
        <v>79</v>
      </c>
      <c r="D41" s="234">
        <f>IF(B41=0, "    ---- ", IF(ABS(ROUND(100/B41*C41-100,1))&lt;999,ROUND(100/B41*C41-100,1),IF(ROUND(100/B41*C41-100,1)&gt;999,999,-999)))</f>
        <v>-99.7</v>
      </c>
      <c r="E41" s="183"/>
      <c r="F41" s="197">
        <f>'Skjema total MA'!E12</f>
        <v>99300.534229999903</v>
      </c>
      <c r="G41" s="197">
        <f>'Skjema total MA'!F12</f>
        <v>173298.80124</v>
      </c>
      <c r="H41" s="234">
        <f t="shared" si="2"/>
        <v>74.5</v>
      </c>
      <c r="I41" s="183"/>
      <c r="J41" s="197">
        <f t="shared" si="0"/>
        <v>126891.5342299999</v>
      </c>
      <c r="K41" s="197">
        <f t="shared" si="0"/>
        <v>173377.80124</v>
      </c>
      <c r="L41" s="232">
        <f t="shared" si="3"/>
        <v>36.6</v>
      </c>
      <c r="M41" s="74"/>
    </row>
    <row r="42" spans="1:15" ht="18.75" x14ac:dyDescent="0.3">
      <c r="A42" s="194" t="s">
        <v>117</v>
      </c>
      <c r="B42" s="104">
        <f>'Skjema total MA'!B35</f>
        <v>-57344.134640000004</v>
      </c>
      <c r="C42" s="104">
        <f>'Skjema total MA'!C35</f>
        <v>-24272.818340000002</v>
      </c>
      <c r="D42" s="234">
        <f t="shared" ref="D42:D46" si="6">IF(B42=0, "    ---- ", IF(ABS(ROUND(100/B42*C42-100,1))&lt;999,ROUND(100/B42*C42-100,1),IF(ROUND(100/B42*C42-100,1)&gt;999,999,-999)))</f>
        <v>-57.7</v>
      </c>
      <c r="E42" s="183"/>
      <c r="F42" s="197">
        <f>'Skjema total MA'!E35</f>
        <v>82008.850169999991</v>
      </c>
      <c r="G42" s="197">
        <f>'Skjema total MA'!F35</f>
        <v>79482.412830000001</v>
      </c>
      <c r="H42" s="234">
        <f t="shared" si="2"/>
        <v>-3.1</v>
      </c>
      <c r="I42" s="183"/>
      <c r="J42" s="197">
        <f t="shared" si="0"/>
        <v>24664.715529999987</v>
      </c>
      <c r="K42" s="197">
        <f t="shared" si="0"/>
        <v>55209.594490000003</v>
      </c>
      <c r="L42" s="232">
        <f t="shared" si="3"/>
        <v>123.8</v>
      </c>
      <c r="M42" s="74"/>
    </row>
    <row r="43" spans="1:15" ht="18.75" x14ac:dyDescent="0.3">
      <c r="A43" s="194" t="s">
        <v>119</v>
      </c>
      <c r="B43" s="104">
        <f>'Skjema total MA'!B119</f>
        <v>377145.14794000011</v>
      </c>
      <c r="C43" s="104">
        <f>'Skjema total MA'!C119</f>
        <v>794097.99107999995</v>
      </c>
      <c r="D43" s="234">
        <f t="shared" si="6"/>
        <v>110.6</v>
      </c>
      <c r="E43" s="183"/>
      <c r="F43" s="197">
        <f>'Skjema total MA'!E119</f>
        <v>8192791.2536800001</v>
      </c>
      <c r="G43" s="197">
        <f>'Skjema total MA'!F119</f>
        <v>10893609.215970002</v>
      </c>
      <c r="H43" s="234">
        <f t="shared" si="2"/>
        <v>33</v>
      </c>
      <c r="I43" s="183"/>
      <c r="J43" s="197">
        <f t="shared" si="0"/>
        <v>8569936.4016200006</v>
      </c>
      <c r="K43" s="197">
        <f t="shared" si="0"/>
        <v>11687707.207050001</v>
      </c>
      <c r="L43" s="232">
        <f t="shared" si="3"/>
        <v>36.4</v>
      </c>
      <c r="M43" s="74"/>
    </row>
    <row r="44" spans="1:15" ht="22.5" x14ac:dyDescent="0.3">
      <c r="A44" s="194" t="s">
        <v>364</v>
      </c>
      <c r="B44" s="104">
        <f>'Skjema total MA'!B137</f>
        <v>358485.45999999996</v>
      </c>
      <c r="C44" s="104">
        <f>'Skjema total MA'!C137</f>
        <v>496739.50099999999</v>
      </c>
      <c r="D44" s="234">
        <f t="shared" si="6"/>
        <v>38.6</v>
      </c>
      <c r="E44" s="183"/>
      <c r="F44" s="197">
        <f>'Skjema total MA'!E137</f>
        <v>0</v>
      </c>
      <c r="G44" s="197">
        <f>'Skjema total MA'!F137</f>
        <v>0</v>
      </c>
      <c r="H44" s="234"/>
      <c r="I44" s="183"/>
      <c r="J44" s="197">
        <f t="shared" si="0"/>
        <v>358485.45999999996</v>
      </c>
      <c r="K44" s="197">
        <f t="shared" si="0"/>
        <v>496739.50099999999</v>
      </c>
      <c r="L44" s="232">
        <f t="shared" si="3"/>
        <v>38.6</v>
      </c>
      <c r="M44" s="74"/>
    </row>
    <row r="45" spans="1:15" ht="18.75" x14ac:dyDescent="0.3">
      <c r="A45" s="194" t="s">
        <v>122</v>
      </c>
      <c r="B45" s="104">
        <f>'Skjema total MA'!B39</f>
        <v>4</v>
      </c>
      <c r="C45" s="104">
        <f>'Skjema total MA'!C39</f>
        <v>3</v>
      </c>
      <c r="D45" s="234">
        <f t="shared" si="6"/>
        <v>-25</v>
      </c>
      <c r="E45" s="183"/>
      <c r="F45" s="197"/>
      <c r="G45" s="197"/>
      <c r="H45" s="234"/>
      <c r="I45" s="183"/>
      <c r="J45" s="197">
        <f t="shared" si="0"/>
        <v>4</v>
      </c>
      <c r="K45" s="197">
        <f t="shared" si="0"/>
        <v>3</v>
      </c>
      <c r="L45" s="232">
        <f t="shared" si="3"/>
        <v>-25</v>
      </c>
      <c r="M45" s="74"/>
    </row>
    <row r="46" spans="1:15" s="135" customFormat="1" ht="18.75" x14ac:dyDescent="0.3">
      <c r="A46" s="137" t="s">
        <v>127</v>
      </c>
      <c r="B46" s="110">
        <f>SUM(B41:B45)</f>
        <v>705881.47330000007</v>
      </c>
      <c r="C46" s="199">
        <f>SUM(C41:C45)</f>
        <v>1266646.67374</v>
      </c>
      <c r="D46" s="234">
        <f t="shared" si="6"/>
        <v>79.400000000000006</v>
      </c>
      <c r="E46" s="138"/>
      <c r="F46" s="199">
        <f>SUM(F41:F45)</f>
        <v>8374100.6380799999</v>
      </c>
      <c r="G46" s="275">
        <f>SUM(G41:G45)</f>
        <v>11146390.430040002</v>
      </c>
      <c r="H46" s="234">
        <f t="shared" si="2"/>
        <v>33.1</v>
      </c>
      <c r="I46" s="138"/>
      <c r="J46" s="199">
        <f t="shared" si="0"/>
        <v>9079982.1113799997</v>
      </c>
      <c r="K46" s="199">
        <f t="shared" si="0"/>
        <v>12413037.103780001</v>
      </c>
      <c r="L46" s="232">
        <f t="shared" si="3"/>
        <v>36.700000000000003</v>
      </c>
      <c r="M46" s="75"/>
      <c r="N46" s="134"/>
      <c r="O46" s="134"/>
    </row>
    <row r="47" spans="1:15" ht="18.75" x14ac:dyDescent="0.3">
      <c r="A47" s="137"/>
      <c r="B47" s="110"/>
      <c r="C47" s="199"/>
      <c r="D47" s="197"/>
      <c r="E47" s="138"/>
      <c r="F47" s="199"/>
      <c r="G47" s="199"/>
      <c r="H47" s="234"/>
      <c r="I47" s="138"/>
      <c r="J47" s="197"/>
      <c r="K47" s="197"/>
      <c r="L47" s="232"/>
      <c r="M47" s="74"/>
    </row>
    <row r="48" spans="1:15" ht="22.5" x14ac:dyDescent="0.3">
      <c r="A48" s="137" t="s">
        <v>369</v>
      </c>
      <c r="B48" s="110"/>
      <c r="C48" s="199"/>
      <c r="D48" s="197"/>
      <c r="E48" s="138"/>
      <c r="F48" s="199"/>
      <c r="G48" s="199"/>
      <c r="H48" s="234"/>
      <c r="I48" s="138"/>
      <c r="J48" s="197"/>
      <c r="K48" s="197"/>
      <c r="L48" s="232"/>
      <c r="M48" s="74"/>
    </row>
    <row r="49" spans="1:15" s="135" customFormat="1" ht="18.75" x14ac:dyDescent="0.3">
      <c r="A49" s="137" t="s">
        <v>118</v>
      </c>
      <c r="B49" s="110">
        <f>'Skjema total MA'!B56</f>
        <v>112204.845</v>
      </c>
      <c r="C49" s="110">
        <f>'Skjema total MA'!C56</f>
        <v>106500.674</v>
      </c>
      <c r="D49" s="234">
        <f t="shared" ref="D49" si="7">IF(B49=0, "    ---- ", IF(ABS(ROUND(100/B49*C49-100,1))&lt;999,ROUND(100/B49*C49-100,1),IF(ROUND(100/B49*C49-100,1)&gt;999,999,-999)))</f>
        <v>-5.0999999999999996</v>
      </c>
      <c r="E49" s="138"/>
      <c r="F49" s="199"/>
      <c r="G49" s="199"/>
      <c r="H49" s="234"/>
      <c r="I49" s="138"/>
      <c r="J49" s="199">
        <f>SUM(B49+F49)</f>
        <v>112204.845</v>
      </c>
      <c r="K49" s="199">
        <f>SUM(C49+G49)</f>
        <v>106500.674</v>
      </c>
      <c r="L49" s="232">
        <f t="shared" si="3"/>
        <v>-5.0999999999999996</v>
      </c>
      <c r="M49" s="75"/>
    </row>
    <row r="50" spans="1:15" ht="18.75" x14ac:dyDescent="0.3">
      <c r="A50" s="137"/>
      <c r="B50" s="104"/>
      <c r="C50" s="197"/>
      <c r="D50" s="197"/>
      <c r="E50" s="183"/>
      <c r="F50" s="197"/>
      <c r="G50" s="197"/>
      <c r="H50" s="234"/>
      <c r="I50" s="183"/>
      <c r="J50" s="197"/>
      <c r="K50" s="197"/>
      <c r="L50" s="232"/>
      <c r="M50" s="74"/>
    </row>
    <row r="51" spans="1:15" ht="21.75" x14ac:dyDescent="0.3">
      <c r="A51" s="193" t="s">
        <v>370</v>
      </c>
      <c r="B51" s="104"/>
      <c r="C51" s="197"/>
      <c r="D51" s="197"/>
      <c r="E51" s="183"/>
      <c r="F51" s="197"/>
      <c r="G51" s="197"/>
      <c r="H51" s="234"/>
      <c r="I51" s="183"/>
      <c r="J51" s="197"/>
      <c r="K51" s="197"/>
      <c r="L51" s="232"/>
      <c r="M51" s="74"/>
    </row>
    <row r="52" spans="1:15" ht="18.75" x14ac:dyDescent="0.3">
      <c r="A52" s="194" t="s">
        <v>116</v>
      </c>
      <c r="B52" s="104">
        <f>B30-B41</f>
        <v>57857</v>
      </c>
      <c r="C52" s="197">
        <f>C30-C41</f>
        <v>22462</v>
      </c>
      <c r="D52" s="234">
        <f>IF(B52=0, "    ---- ", IF(ABS(ROUND(100/B52*C52-100,1))&lt;999,ROUND(100/B52*C52-100,1),IF(ROUND(100/B52*C52-100,1)&gt;999,999,-999)))</f>
        <v>-61.2</v>
      </c>
      <c r="E52" s="183"/>
      <c r="F52" s="197">
        <f>F30-F41</f>
        <v>98773.111440000095</v>
      </c>
      <c r="G52" s="197">
        <f>G30-G41</f>
        <v>32067.407200000016</v>
      </c>
      <c r="H52" s="234">
        <f t="shared" si="2"/>
        <v>-67.5</v>
      </c>
      <c r="I52" s="183"/>
      <c r="J52" s="197">
        <f t="shared" si="0"/>
        <v>156630.1114400001</v>
      </c>
      <c r="K52" s="197">
        <f t="shared" si="0"/>
        <v>54529.407200000016</v>
      </c>
      <c r="L52" s="232">
        <f t="shared" si="3"/>
        <v>-65.2</v>
      </c>
      <c r="M52" s="74"/>
    </row>
    <row r="53" spans="1:15" ht="18.75" x14ac:dyDescent="0.3">
      <c r="A53" s="194" t="s">
        <v>117</v>
      </c>
      <c r="B53" s="104">
        <f t="shared" ref="B53:C56" si="8">B31-B42</f>
        <v>92287.419580000002</v>
      </c>
      <c r="C53" s="197">
        <f t="shared" si="8"/>
        <v>45487.289750000004</v>
      </c>
      <c r="D53" s="234">
        <f t="shared" ref="D53:D60" si="9">IF(B53=0, "    ---- ", IF(ABS(ROUND(100/B53*C53-100,1))&lt;999,ROUND(100/B53*C53-100,1),IF(ROUND(100/B53*C53-100,1)&gt;999,999,-999)))</f>
        <v>-50.7</v>
      </c>
      <c r="E53" s="183"/>
      <c r="F53" s="197">
        <f t="shared" ref="F53:G56" si="10">F31-F42</f>
        <v>-74318.923149999988</v>
      </c>
      <c r="G53" s="197">
        <f t="shared" si="10"/>
        <v>-29257.722269999998</v>
      </c>
      <c r="H53" s="234">
        <f t="shared" si="2"/>
        <v>-60.6</v>
      </c>
      <c r="I53" s="183"/>
      <c r="J53" s="197">
        <f t="shared" si="0"/>
        <v>17968.496430000014</v>
      </c>
      <c r="K53" s="197">
        <f t="shared" si="0"/>
        <v>16229.567480000005</v>
      </c>
      <c r="L53" s="232">
        <f t="shared" si="3"/>
        <v>-9.6999999999999993</v>
      </c>
      <c r="M53" s="74"/>
    </row>
    <row r="54" spans="1:15" ht="18.75" x14ac:dyDescent="0.3">
      <c r="A54" s="194" t="s">
        <v>119</v>
      </c>
      <c r="B54" s="104">
        <f t="shared" si="8"/>
        <v>88310.464119999902</v>
      </c>
      <c r="C54" s="197">
        <f t="shared" si="8"/>
        <v>-436720.53389999998</v>
      </c>
      <c r="D54" s="234">
        <f t="shared" si="9"/>
        <v>-594.5</v>
      </c>
      <c r="E54" s="183"/>
      <c r="F54" s="197">
        <f t="shared" si="10"/>
        <v>24843.704799999483</v>
      </c>
      <c r="G54" s="197">
        <f t="shared" si="10"/>
        <v>-79934.198960002512</v>
      </c>
      <c r="H54" s="234">
        <f t="shared" si="2"/>
        <v>-421.7</v>
      </c>
      <c r="I54" s="183"/>
      <c r="J54" s="197">
        <f t="shared" si="0"/>
        <v>113154.16891999939</v>
      </c>
      <c r="K54" s="197">
        <f t="shared" si="0"/>
        <v>-516654.73286000249</v>
      </c>
      <c r="L54" s="232">
        <f t="shared" si="3"/>
        <v>-556.6</v>
      </c>
      <c r="M54" s="74"/>
    </row>
    <row r="55" spans="1:15" ht="22.5" x14ac:dyDescent="0.3">
      <c r="A55" s="194" t="s">
        <v>364</v>
      </c>
      <c r="B55" s="104">
        <f t="shared" si="8"/>
        <v>-174995.15699999995</v>
      </c>
      <c r="C55" s="197">
        <f t="shared" si="8"/>
        <v>-181188.01487000001</v>
      </c>
      <c r="D55" s="234">
        <f t="shared" si="9"/>
        <v>3.5</v>
      </c>
      <c r="E55" s="183"/>
      <c r="F55" s="197">
        <f t="shared" si="10"/>
        <v>24988.125</v>
      </c>
      <c r="G55" s="197">
        <f t="shared" si="10"/>
        <v>-10.804</v>
      </c>
      <c r="H55" s="234">
        <f t="shared" si="2"/>
        <v>-100</v>
      </c>
      <c r="I55" s="183"/>
      <c r="J55" s="197">
        <f t="shared" si="0"/>
        <v>-150007.03199999995</v>
      </c>
      <c r="K55" s="197">
        <f t="shared" si="0"/>
        <v>-181198.81887000002</v>
      </c>
      <c r="L55" s="232">
        <f t="shared" si="3"/>
        <v>20.8</v>
      </c>
      <c r="M55" s="74"/>
    </row>
    <row r="56" spans="1:15" ht="18.75" x14ac:dyDescent="0.3">
      <c r="A56" s="194" t="s">
        <v>122</v>
      </c>
      <c r="B56" s="104">
        <f t="shared" si="8"/>
        <v>-4</v>
      </c>
      <c r="C56" s="197">
        <f t="shared" si="8"/>
        <v>-3</v>
      </c>
      <c r="D56" s="234">
        <f t="shared" si="9"/>
        <v>-25</v>
      </c>
      <c r="E56" s="183"/>
      <c r="F56" s="197">
        <f t="shared" si="10"/>
        <v>0</v>
      </c>
      <c r="G56" s="197">
        <f t="shared" si="10"/>
        <v>0</v>
      </c>
      <c r="H56" s="234"/>
      <c r="I56" s="183"/>
      <c r="J56" s="197">
        <f t="shared" si="0"/>
        <v>-4</v>
      </c>
      <c r="K56" s="197">
        <f t="shared" si="0"/>
        <v>-3</v>
      </c>
      <c r="L56" s="232">
        <f t="shared" si="3"/>
        <v>-25</v>
      </c>
      <c r="M56" s="74"/>
    </row>
    <row r="57" spans="1:15" s="135" customFormat="1" ht="18.75" x14ac:dyDescent="0.3">
      <c r="A57" s="137" t="s">
        <v>128</v>
      </c>
      <c r="B57" s="110">
        <f>SUM(B52:B56)</f>
        <v>63455.726699999941</v>
      </c>
      <c r="C57" s="199">
        <f>SUM(C52:C56)</f>
        <v>-549962.25902</v>
      </c>
      <c r="D57" s="234">
        <f>IF(B57=0, "    ---- ", IF(ABS(ROUND(100/B57*C57-100,1))&lt;999,ROUND(100/B57*C57-100,1),IF(ROUND(100/B57*C57-100,1)&gt;999,999,-999)))</f>
        <v>-966.7</v>
      </c>
      <c r="E57" s="138"/>
      <c r="F57" s="199">
        <f>SUM(F52:F56)</f>
        <v>74286.01808999959</v>
      </c>
      <c r="G57" s="275">
        <f>SUM(G52:G56)</f>
        <v>-77135.318030002498</v>
      </c>
      <c r="H57" s="234">
        <f t="shared" si="2"/>
        <v>-203.8</v>
      </c>
      <c r="I57" s="138"/>
      <c r="J57" s="199">
        <f t="shared" si="0"/>
        <v>137741.74478999953</v>
      </c>
      <c r="K57" s="197">
        <f t="shared" si="0"/>
        <v>-627097.57705000252</v>
      </c>
      <c r="L57" s="232">
        <f t="shared" si="3"/>
        <v>-555.29999999999995</v>
      </c>
      <c r="M57" s="75"/>
      <c r="N57" s="134"/>
      <c r="O57" s="134"/>
    </row>
    <row r="58" spans="1:15" ht="18.75" x14ac:dyDescent="0.3">
      <c r="A58" s="137"/>
      <c r="B58" s="110"/>
      <c r="C58" s="199"/>
      <c r="D58" s="234"/>
      <c r="E58" s="138"/>
      <c r="F58" s="199"/>
      <c r="G58" s="199"/>
      <c r="H58" s="234"/>
      <c r="I58" s="138"/>
      <c r="J58" s="199"/>
      <c r="K58" s="197"/>
      <c r="L58" s="232"/>
      <c r="M58" s="74"/>
    </row>
    <row r="59" spans="1:15" ht="22.5" x14ac:dyDescent="0.3">
      <c r="A59" s="137" t="s">
        <v>371</v>
      </c>
      <c r="B59" s="110"/>
      <c r="C59" s="199"/>
      <c r="D59" s="234"/>
      <c r="E59" s="138"/>
      <c r="F59" s="199"/>
      <c r="G59" s="199"/>
      <c r="H59" s="234"/>
      <c r="I59" s="138"/>
      <c r="J59" s="199"/>
      <c r="K59" s="197"/>
      <c r="L59" s="232"/>
      <c r="M59" s="74"/>
    </row>
    <row r="60" spans="1:15" s="135" customFormat="1" ht="18.75" x14ac:dyDescent="0.3">
      <c r="A60" s="137" t="s">
        <v>118</v>
      </c>
      <c r="B60" s="110">
        <f>B38-B49</f>
        <v>39618.462999999989</v>
      </c>
      <c r="C60" s="199">
        <f>C38-C49</f>
        <v>-8835.4780000000173</v>
      </c>
      <c r="D60" s="234">
        <f t="shared" si="9"/>
        <v>-122.3</v>
      </c>
      <c r="E60" s="138"/>
      <c r="F60" s="199">
        <f>F38-F49</f>
        <v>0</v>
      </c>
      <c r="G60" s="199">
        <f>G38-G49</f>
        <v>0</v>
      </c>
      <c r="H60" s="234"/>
      <c r="I60" s="138"/>
      <c r="J60" s="199">
        <f t="shared" si="0"/>
        <v>39618.462999999989</v>
      </c>
      <c r="K60" s="197">
        <f t="shared" si="0"/>
        <v>-8835.4780000000173</v>
      </c>
      <c r="L60" s="232">
        <f t="shared" si="3"/>
        <v>-122.3</v>
      </c>
      <c r="M60" s="75"/>
    </row>
    <row r="61" spans="1:15" s="135" customFormat="1" ht="18.75" x14ac:dyDescent="0.3">
      <c r="A61" s="196"/>
      <c r="B61" s="115"/>
      <c r="C61" s="200"/>
      <c r="D61" s="205"/>
      <c r="E61" s="138"/>
      <c r="F61" s="200"/>
      <c r="G61" s="200"/>
      <c r="H61" s="205"/>
      <c r="I61" s="138"/>
      <c r="J61" s="205"/>
      <c r="K61" s="205"/>
      <c r="L61" s="205"/>
      <c r="M61" s="75"/>
    </row>
    <row r="62" spans="1:15" ht="18.75" x14ac:dyDescent="0.3">
      <c r="A62" s="112" t="s">
        <v>129</v>
      </c>
      <c r="C62" s="139"/>
      <c r="D62" s="139"/>
      <c r="E62" s="139"/>
      <c r="F62" s="139"/>
      <c r="G62" s="112"/>
      <c r="H62" s="74"/>
      <c r="I62" s="112"/>
      <c r="J62" s="112"/>
      <c r="K62" s="112"/>
      <c r="L62" s="74"/>
      <c r="M62" s="74"/>
    </row>
    <row r="63" spans="1:15" ht="18.75" x14ac:dyDescent="0.3">
      <c r="A63" s="112" t="s">
        <v>130</v>
      </c>
      <c r="C63" s="139"/>
      <c r="D63" s="139"/>
      <c r="E63" s="139"/>
      <c r="F63" s="139"/>
      <c r="G63" s="74"/>
      <c r="H63" s="74"/>
      <c r="I63" s="74"/>
      <c r="J63" s="74"/>
      <c r="K63" s="74"/>
      <c r="L63" s="74"/>
      <c r="M63" s="74"/>
    </row>
    <row r="64" spans="1:15" ht="18.75" x14ac:dyDescent="0.3">
      <c r="A64" s="112" t="s">
        <v>109</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35.85546875" style="81" customWidth="1"/>
    <col min="2" max="2" width="18.140625" style="81" customWidth="1"/>
    <col min="3" max="3" width="17.855468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140625" style="81" bestFit="1" customWidth="1"/>
    <col min="13" max="16384" width="11.42578125" style="81"/>
  </cols>
  <sheetData>
    <row r="1" spans="1:10" ht="18.75" customHeight="1" x14ac:dyDescent="0.3">
      <c r="A1" s="80" t="s">
        <v>80</v>
      </c>
      <c r="B1" s="73" t="s">
        <v>52</v>
      </c>
      <c r="C1" s="80"/>
      <c r="D1" s="80"/>
      <c r="E1" s="80"/>
      <c r="F1" s="74"/>
      <c r="G1" s="74"/>
      <c r="H1" s="74"/>
      <c r="I1" s="74"/>
      <c r="J1" s="74"/>
    </row>
    <row r="2" spans="1:10" ht="20.100000000000001" customHeight="1" x14ac:dyDescent="0.3">
      <c r="A2" s="80" t="s">
        <v>168</v>
      </c>
      <c r="B2" s="80"/>
      <c r="C2" s="80"/>
      <c r="D2" s="80"/>
      <c r="E2" s="80"/>
      <c r="F2" s="74"/>
      <c r="G2" s="74"/>
      <c r="H2" s="74"/>
      <c r="I2" s="74"/>
      <c r="J2" s="74"/>
    </row>
    <row r="3" spans="1:10" ht="20.100000000000001" customHeight="1" x14ac:dyDescent="0.3">
      <c r="A3" s="75"/>
      <c r="B3" s="75"/>
      <c r="C3" s="75"/>
      <c r="D3" s="75"/>
      <c r="E3" s="259"/>
      <c r="F3" s="74"/>
      <c r="G3" s="74"/>
      <c r="H3" s="74"/>
      <c r="I3" s="74"/>
      <c r="J3" s="74"/>
    </row>
    <row r="4" spans="1:10" ht="20.100000000000001" customHeight="1" x14ac:dyDescent="0.3">
      <c r="A4" s="260"/>
      <c r="B4" s="712" t="s">
        <v>169</v>
      </c>
      <c r="C4" s="712"/>
      <c r="D4" s="713"/>
      <c r="E4" s="89"/>
      <c r="F4" s="714" t="s">
        <v>169</v>
      </c>
      <c r="G4" s="712"/>
      <c r="H4" s="713"/>
      <c r="I4" s="74"/>
      <c r="J4" s="74"/>
    </row>
    <row r="5" spans="1:10" ht="18.75" customHeight="1" x14ac:dyDescent="0.3">
      <c r="A5" s="261" t="s">
        <v>421</v>
      </c>
      <c r="B5" s="715" t="s">
        <v>170</v>
      </c>
      <c r="C5" s="716"/>
      <c r="D5" s="717"/>
      <c r="E5" s="262"/>
      <c r="F5" s="718" t="s">
        <v>171</v>
      </c>
      <c r="G5" s="719"/>
      <c r="H5" s="720"/>
      <c r="I5" s="112"/>
      <c r="J5" s="74"/>
    </row>
    <row r="6" spans="1:10" ht="18.75" customHeight="1" x14ac:dyDescent="0.3">
      <c r="A6" s="122"/>
      <c r="B6" s="120"/>
      <c r="C6" s="193"/>
      <c r="D6" s="263" t="s">
        <v>84</v>
      </c>
      <c r="E6" s="263"/>
      <c r="F6" s="123"/>
      <c r="G6" s="124"/>
      <c r="H6" s="94" t="s">
        <v>84</v>
      </c>
      <c r="I6" s="100"/>
      <c r="J6" s="74"/>
    </row>
    <row r="7" spans="1:10" ht="18.75" customHeight="1" x14ac:dyDescent="0.3">
      <c r="A7" s="126"/>
      <c r="B7" s="97">
        <v>2017</v>
      </c>
      <c r="C7" s="97">
        <v>2018</v>
      </c>
      <c r="D7" s="264" t="s">
        <v>86</v>
      </c>
      <c r="E7" s="263"/>
      <c r="F7" s="97">
        <v>2017</v>
      </c>
      <c r="G7" s="127">
        <v>2018</v>
      </c>
      <c r="H7" s="265" t="s">
        <v>86</v>
      </c>
      <c r="I7" s="100"/>
      <c r="J7" s="74"/>
    </row>
    <row r="8" spans="1:10" ht="18.75" customHeight="1" x14ac:dyDescent="0.3">
      <c r="A8" s="101" t="s">
        <v>172</v>
      </c>
      <c r="B8" s="109">
        <f>SUM(B9:B14)</f>
        <v>138784.89128514999</v>
      </c>
      <c r="C8" s="109">
        <f>SUM(C9:C14)</f>
        <v>149260.65933199</v>
      </c>
      <c r="D8" s="266">
        <f t="shared" ref="D8:D38" si="0">IF(B8=0, "    ---- ", IF(ABS(ROUND(100/B8*C8-100,1))&lt;999,ROUND(100/B8*C8-100,1),IF(ROUND(100/B8*C8-100,1)&gt;999,999,-999)))</f>
        <v>7.5</v>
      </c>
      <c r="E8" s="267"/>
      <c r="F8" s="266">
        <f>SUM(F9:F14)</f>
        <v>100.00000000000001</v>
      </c>
      <c r="G8" s="266">
        <f>SUM(G9:G14)</f>
        <v>99.999999999999986</v>
      </c>
      <c r="H8" s="267">
        <f t="shared" ref="H8:H38" si="1">IF(F8=0, "    ---- ", IF(ABS(ROUND(100/F8*G8-100,1))&lt;999,ROUND(100/F8*G8-100,1),IF(ROUND(100/F8*G8-100,1)&gt;999,999,-999)))</f>
        <v>0</v>
      </c>
      <c r="I8" s="104"/>
      <c r="J8" s="74"/>
    </row>
    <row r="9" spans="1:10" ht="18.75" customHeight="1" x14ac:dyDescent="0.3">
      <c r="A9" s="86" t="s">
        <v>173</v>
      </c>
      <c r="B9" s="106">
        <f>'Tabell 6'!AO21</f>
        <v>3378.2847999999999</v>
      </c>
      <c r="C9" s="106">
        <f>'Tabell 6'!AP21</f>
        <v>3503.3901084499998</v>
      </c>
      <c r="D9" s="268">
        <f t="shared" si="0"/>
        <v>3.7</v>
      </c>
      <c r="E9" s="268"/>
      <c r="F9" s="268">
        <f>'Tabell 6'!AO21/'Tabell 6'!AO29*100</f>
        <v>2.4341877337778173</v>
      </c>
      <c r="G9" s="268">
        <f>'Tabell 6'!AP21/'Tabell 6'!AP29*100</f>
        <v>2.347162423192608</v>
      </c>
      <c r="H9" s="269">
        <f t="shared" si="1"/>
        <v>-3.6</v>
      </c>
      <c r="I9" s="104"/>
      <c r="J9" s="77"/>
    </row>
    <row r="10" spans="1:10" ht="18.75" customHeight="1" x14ac:dyDescent="0.3">
      <c r="A10" s="86" t="s">
        <v>174</v>
      </c>
      <c r="B10" s="105">
        <f>'Tabell 6'!AO18+'Tabell 6'!AO22</f>
        <v>73594.186372960001</v>
      </c>
      <c r="C10" s="105">
        <f>'Tabell 6'!AP18+'Tabell 6'!AP22</f>
        <v>76268.518508900001</v>
      </c>
      <c r="D10" s="268">
        <f t="shared" si="0"/>
        <v>3.6</v>
      </c>
      <c r="E10" s="268"/>
      <c r="F10" s="268">
        <f>('Tabell 6'!AO18+'Tabell 6'!AO22)/'Tabell 6'!AO29*100</f>
        <v>53.027520280829442</v>
      </c>
      <c r="G10" s="268">
        <f>('Tabell 6'!AP18+'Tabell 6'!AP22)/'Tabell 6'!AP29*100</f>
        <v>51.097535579861862</v>
      </c>
      <c r="H10" s="269">
        <f t="shared" si="1"/>
        <v>-3.6</v>
      </c>
      <c r="I10" s="104"/>
      <c r="J10" s="74"/>
    </row>
    <row r="11" spans="1:10" ht="18.75" customHeight="1" x14ac:dyDescent="0.3">
      <c r="A11" s="86" t="s">
        <v>175</v>
      </c>
      <c r="B11" s="105">
        <f>'Tabell 6'!AO14</f>
        <v>994.21025874999998</v>
      </c>
      <c r="C11" s="105">
        <f>'Tabell 6'!AP14</f>
        <v>856.05352875000005</v>
      </c>
      <c r="D11" s="268">
        <f t="shared" si="0"/>
        <v>-13.9</v>
      </c>
      <c r="E11" s="268"/>
      <c r="F11" s="268">
        <f>'Tabell 6'!AO14/'Tabell 6'!AO29*100</f>
        <v>0.71636779014170737</v>
      </c>
      <c r="G11" s="268">
        <f>'Tabell 6'!AP14/'Tabell 6'!AP29*100</f>
        <v>0.57352924245493275</v>
      </c>
      <c r="H11" s="269">
        <f t="shared" si="1"/>
        <v>-19.899999999999999</v>
      </c>
      <c r="I11" s="104"/>
      <c r="J11" s="74"/>
    </row>
    <row r="12" spans="1:10" ht="18.75" customHeight="1" x14ac:dyDescent="0.3">
      <c r="A12" s="108" t="s">
        <v>176</v>
      </c>
      <c r="B12" s="105">
        <f>'Tabell 6'!AO15</f>
        <v>21410.059465719998</v>
      </c>
      <c r="C12" s="105">
        <f>'Tabell 6'!AP15</f>
        <v>21621.40497372</v>
      </c>
      <c r="D12" s="270">
        <f t="shared" si="0"/>
        <v>1</v>
      </c>
      <c r="E12" s="270"/>
      <c r="F12" s="268">
        <f>'Tabell 6'!AO15/'Tabell 6'!AO29*100</f>
        <v>15.426794132605181</v>
      </c>
      <c r="G12" s="268">
        <f>'Tabell 6'!AP15/'Tabell 6'!AP29*100</f>
        <v>14.485668943501736</v>
      </c>
      <c r="H12" s="269">
        <f t="shared" si="1"/>
        <v>-6.1</v>
      </c>
      <c r="I12" s="104"/>
      <c r="J12" s="74"/>
    </row>
    <row r="13" spans="1:10" ht="18.75" customHeight="1" x14ac:dyDescent="0.3">
      <c r="A13" s="86" t="s">
        <v>177</v>
      </c>
      <c r="B13" s="105">
        <f>'Tabell 6'!AO19+'Tabell 6'!AO23</f>
        <v>21419.034059229998</v>
      </c>
      <c r="C13" s="105">
        <f>'Tabell 6'!AP19+'Tabell 6'!AP23</f>
        <v>23293.52536286</v>
      </c>
      <c r="D13" s="268">
        <f t="shared" si="0"/>
        <v>8.8000000000000007</v>
      </c>
      <c r="E13" s="268"/>
      <c r="F13" s="268">
        <f>('Tabell 6'!AO19+'Tabell 6'!AO23)/'Tabell 6'!AO29*100</f>
        <v>15.43326068197298</v>
      </c>
      <c r="G13" s="268">
        <f>('Tabell 6'!AP19+'Tabell 6'!AP23)/'Tabell 6'!AP29*100</f>
        <v>15.605937604127721</v>
      </c>
      <c r="H13" s="269">
        <f t="shared" si="1"/>
        <v>1.1000000000000001</v>
      </c>
      <c r="I13" s="104"/>
      <c r="J13" s="74"/>
    </row>
    <row r="14" spans="1:10" ht="18.75" customHeight="1" x14ac:dyDescent="0.3">
      <c r="A14" s="86" t="s">
        <v>178</v>
      </c>
      <c r="B14" s="177">
        <f>'Tabell 6'!AO17-'Tabell 6'!AO18+'Tabell 6'!AO24+'Tabell 6'!AO25+'Tabell 6'!AO26+'Tabell 6'!AO28</f>
        <v>17989.116328489999</v>
      </c>
      <c r="C14" s="177">
        <f>'Tabell 6'!AP17-'Tabell 6'!AP18+'Tabell 6'!AP24+'Tabell 6'!AP25+'Tabell 6'!AP26+'Tabell 6'!AP28</f>
        <v>23717.766849310003</v>
      </c>
      <c r="D14" s="268">
        <f t="shared" si="0"/>
        <v>31.8</v>
      </c>
      <c r="E14" s="268"/>
      <c r="F14" s="268">
        <f>('Tabell 6'!AO17-'Tabell 6'!AO18+'Tabell 6'!AO24+'Tabell 6'!AO25+'Tabell 6'!AO26+'Tabell 6'!AO28)/'Tabell 6'!AO29*100</f>
        <v>12.96186938067288</v>
      </c>
      <c r="G14" s="268">
        <f>('Tabell 6'!AP17-'Tabell 6'!AP18+'Tabell 6'!AP24+'Tabell 6'!AP25+'Tabell 6'!AP26+'Tabell 6'!AP28)/'Tabell 6'!AP29*100</f>
        <v>15.890166206861139</v>
      </c>
      <c r="H14" s="269">
        <f t="shared" si="1"/>
        <v>22.6</v>
      </c>
      <c r="I14" s="104"/>
      <c r="J14" s="74"/>
    </row>
    <row r="15" spans="1:10" ht="18.75" customHeight="1" x14ac:dyDescent="0.3">
      <c r="A15" s="194"/>
      <c r="B15" s="103"/>
      <c r="C15" s="177"/>
      <c r="D15" s="269"/>
      <c r="E15" s="269"/>
      <c r="F15" s="269"/>
      <c r="G15" s="268"/>
      <c r="H15" s="269"/>
      <c r="I15" s="104"/>
      <c r="J15" s="74"/>
    </row>
    <row r="16" spans="1:10" s="135" customFormat="1" ht="18.75" customHeight="1" x14ac:dyDescent="0.3">
      <c r="A16" s="101" t="s">
        <v>179</v>
      </c>
      <c r="B16" s="109">
        <f>SUM(B17:B22)</f>
        <v>1039530.7631996198</v>
      </c>
      <c r="C16" s="109">
        <f>SUM(C17:C22)</f>
        <v>1078829.2621445002</v>
      </c>
      <c r="D16" s="266">
        <f t="shared" si="0"/>
        <v>3.8</v>
      </c>
      <c r="E16" s="266"/>
      <c r="F16" s="266">
        <f>SUM(F17:F22)</f>
        <v>100</v>
      </c>
      <c r="G16" s="266">
        <f>SUM(G17:G22)</f>
        <v>100</v>
      </c>
      <c r="H16" s="267">
        <f t="shared" si="1"/>
        <v>0</v>
      </c>
      <c r="I16" s="110"/>
      <c r="J16" s="75"/>
    </row>
    <row r="17" spans="1:10" ht="18.75" customHeight="1" x14ac:dyDescent="0.3">
      <c r="A17" s="86" t="s">
        <v>173</v>
      </c>
      <c r="B17" s="103">
        <f>'Tabell 6'!AO40</f>
        <v>166194.05846521998</v>
      </c>
      <c r="C17" s="103">
        <f>'Tabell 6'!AP40</f>
        <v>191155.85648879997</v>
      </c>
      <c r="D17" s="268">
        <f t="shared" si="0"/>
        <v>15</v>
      </c>
      <c r="E17" s="268"/>
      <c r="F17" s="268">
        <f>'Tabell 6'!AO40/('Tabell 6'!AO45+'Tabell 6'!AO46)*100</f>
        <v>15.987411277150049</v>
      </c>
      <c r="G17" s="268">
        <f>'Tabell 6'!AP40/('Tabell 6'!AP45+'Tabell 6'!AP46)*100</f>
        <v>17.718823839540633</v>
      </c>
      <c r="H17" s="269">
        <f t="shared" si="1"/>
        <v>10.8</v>
      </c>
      <c r="I17" s="104"/>
      <c r="J17" s="74"/>
    </row>
    <row r="18" spans="1:10" ht="18.75" customHeight="1" x14ac:dyDescent="0.3">
      <c r="A18" s="86" t="s">
        <v>174</v>
      </c>
      <c r="B18" s="103">
        <f>'Tabell 6'!AO37+'Tabell 6'!AO41</f>
        <v>372351.18909874989</v>
      </c>
      <c r="C18" s="103">
        <f>'Tabell 6'!AP37+'Tabell 6'!AP41</f>
        <v>346793.41025571001</v>
      </c>
      <c r="D18" s="268">
        <f t="shared" si="0"/>
        <v>-6.9</v>
      </c>
      <c r="E18" s="268"/>
      <c r="F18" s="268">
        <f>('Tabell 6'!AO37+'Tabell 6'!AO41)/('Tabell 6'!AO45+'Tabell 6'!AO46)*100</f>
        <v>35.819160171140382</v>
      </c>
      <c r="G18" s="268">
        <f>('Tabell 6'!AP37+'Tabell 6'!AP41)/('Tabell 6'!AP45+'Tabell 6'!AP46)*100</f>
        <v>32.145347037246012</v>
      </c>
      <c r="H18" s="269">
        <f t="shared" si="1"/>
        <v>-10.3</v>
      </c>
      <c r="I18" s="104"/>
      <c r="J18" s="74"/>
    </row>
    <row r="19" spans="1:10" ht="18.75" customHeight="1" x14ac:dyDescent="0.3">
      <c r="A19" s="86" t="s">
        <v>175</v>
      </c>
      <c r="B19" s="103">
        <f>'Tabell 6'!AO33</f>
        <v>34.563000000000002</v>
      </c>
      <c r="C19" s="103">
        <f>'Tabell 6'!AP33</f>
        <v>34.477001969999996</v>
      </c>
      <c r="D19" s="268">
        <f t="shared" si="0"/>
        <v>-0.2</v>
      </c>
      <c r="E19" s="268"/>
      <c r="F19" s="268">
        <f>'Tabell 6'!AO33/('Tabell 6'!AO45+'Tabell 6'!AO46)*100</f>
        <v>3.3248655281366514E-3</v>
      </c>
      <c r="G19" s="268">
        <f>'Tabell 6'!AP33/('Tabell 6'!AP45+'Tabell 6'!AP46)*100</f>
        <v>3.1957792747915009E-3</v>
      </c>
      <c r="H19" s="269">
        <f t="shared" si="1"/>
        <v>-3.9</v>
      </c>
      <c r="I19" s="104"/>
      <c r="J19" s="74"/>
    </row>
    <row r="20" spans="1:10" ht="18.75" customHeight="1" x14ac:dyDescent="0.3">
      <c r="A20" s="108" t="s">
        <v>176</v>
      </c>
      <c r="B20" s="105">
        <f>'Tabell 6'!AO34</f>
        <v>121422.02289352</v>
      </c>
      <c r="C20" s="105">
        <f>'Tabell 6'!AP34</f>
        <v>127898.37733914</v>
      </c>
      <c r="D20" s="270">
        <f t="shared" si="0"/>
        <v>5.3</v>
      </c>
      <c r="E20" s="270"/>
      <c r="F20" s="268">
        <f>'Tabell 6'!AO34/('Tabell 6'!AO45+'Tabell 6'!AO46)*100</f>
        <v>11.680464608838466</v>
      </c>
      <c r="G20" s="268">
        <f>'Tabell 6'!AP34/('Tabell 6'!AP45+'Tabell 6'!AP46)*100</f>
        <v>11.855293680568439</v>
      </c>
      <c r="H20" s="269">
        <f t="shared" si="1"/>
        <v>1.5</v>
      </c>
      <c r="I20" s="104"/>
      <c r="J20" s="74"/>
    </row>
    <row r="21" spans="1:10" ht="18.75" customHeight="1" x14ac:dyDescent="0.3">
      <c r="A21" s="86" t="s">
        <v>177</v>
      </c>
      <c r="B21" s="103">
        <f>'Tabell 6'!AO38+'Tabell 6'!AO42</f>
        <v>366124.41326455999</v>
      </c>
      <c r="C21" s="103">
        <f>'Tabell 6'!AP38+'Tabell 6'!AP42</f>
        <v>403796.44663630007</v>
      </c>
      <c r="D21" s="268">
        <f t="shared" si="0"/>
        <v>10.3</v>
      </c>
      <c r="E21" s="268"/>
      <c r="F21" s="268">
        <f>('Tabell 6'!AO38+'Tabell 6'!AO42)/('Tabell 6'!AO45+'Tabell 6'!AO46)*100</f>
        <v>35.220161463778979</v>
      </c>
      <c r="G21" s="268">
        <f>('Tabell 6'!AP38+'Tabell 6'!AP42)/('Tabell 6'!AP45+'Tabell 6'!AP46)*100</f>
        <v>37.429133673444518</v>
      </c>
      <c r="H21" s="269">
        <f t="shared" si="1"/>
        <v>6.3</v>
      </c>
      <c r="I21" s="104"/>
      <c r="J21" s="74"/>
    </row>
    <row r="22" spans="1:10" ht="18.75" customHeight="1" x14ac:dyDescent="0.3">
      <c r="A22" s="194" t="s">
        <v>178</v>
      </c>
      <c r="B22" s="103">
        <f>'Tabell 6'!AO36-'Tabell 6'!AO37+'Tabell 6'!AO43+'Tabell 6'!AO44+'Tabell 6'!AO46</f>
        <v>13404.516477570001</v>
      </c>
      <c r="C22" s="103">
        <f>'Tabell 6'!AP36-'Tabell 6'!AP37+'Tabell 6'!AP43+'Tabell 6'!AP44+'Tabell 6'!AP46</f>
        <v>9150.6944225800071</v>
      </c>
      <c r="D22" s="268">
        <f t="shared" si="0"/>
        <v>-31.7</v>
      </c>
      <c r="E22" s="268"/>
      <c r="F22" s="269">
        <f>('Tabell 6'!AO36-'Tabell 6'!AO37+'Tabell 6'!AO43+'Tabell 6'!AO44+'Tabell 6'!AO46)/('Tabell 6'!AO45+'Tabell 6'!AO46)*100</f>
        <v>1.2894776135639912</v>
      </c>
      <c r="G22" s="269">
        <f>('Tabell 6'!AP36-'Tabell 6'!AP37+'Tabell 6'!AP43+'Tabell 6'!AP44+'Tabell 6'!AP46)/('Tabell 6'!AP45+'Tabell 6'!AP46)*100</f>
        <v>0.84820598992561902</v>
      </c>
      <c r="H22" s="269">
        <f t="shared" si="1"/>
        <v>-34.200000000000003</v>
      </c>
      <c r="I22" s="104"/>
      <c r="J22" s="74"/>
    </row>
    <row r="23" spans="1:10" ht="18.75" customHeight="1" x14ac:dyDescent="0.3">
      <c r="A23" s="86"/>
      <c r="B23" s="177"/>
      <c r="C23" s="177"/>
      <c r="D23" s="269"/>
      <c r="E23" s="268"/>
      <c r="F23" s="268"/>
      <c r="G23" s="269"/>
      <c r="H23" s="269"/>
      <c r="I23" s="183"/>
      <c r="J23" s="74"/>
    </row>
    <row r="24" spans="1:10" ht="18.75" customHeight="1" x14ac:dyDescent="0.3">
      <c r="A24" s="137" t="s">
        <v>180</v>
      </c>
      <c r="B24" s="109">
        <f>SUM(B25:B30)</f>
        <v>271918.06495443999</v>
      </c>
      <c r="C24" s="109">
        <f>SUM(C25:C30)</f>
        <v>327128.37295715994</v>
      </c>
      <c r="D24" s="266">
        <f t="shared" si="0"/>
        <v>20.3</v>
      </c>
      <c r="E24" s="266"/>
      <c r="F24" s="267">
        <f>SUM(F25:F30)</f>
        <v>100</v>
      </c>
      <c r="G24" s="267">
        <f>SUM(G25:G30)</f>
        <v>100</v>
      </c>
      <c r="H24" s="269">
        <f t="shared" si="1"/>
        <v>0</v>
      </c>
      <c r="I24" s="183"/>
      <c r="J24" s="74"/>
    </row>
    <row r="25" spans="1:10" ht="18.75" customHeight="1" x14ac:dyDescent="0.3">
      <c r="A25" s="194" t="s">
        <v>173</v>
      </c>
      <c r="B25" s="103">
        <f>'Tabell 6'!AO55</f>
        <v>188183.93190403</v>
      </c>
      <c r="C25" s="103">
        <f>'Tabell 6'!AP55</f>
        <v>225002.29140793002</v>
      </c>
      <c r="D25" s="268">
        <f t="shared" si="0"/>
        <v>19.600000000000001</v>
      </c>
      <c r="E25" s="268"/>
      <c r="F25" s="268">
        <f>'Tabell 6'!AO55/('Tabell 6'!AO60+'Tabell 6'!AO61)*100</f>
        <v>69.206116164279223</v>
      </c>
      <c r="G25" s="268">
        <f>'Tabell 6'!AP55/('Tabell 6'!AP60+'Tabell 6'!AP61)*100</f>
        <v>68.781038273740876</v>
      </c>
      <c r="H25" s="269">
        <f t="shared" si="1"/>
        <v>-0.6</v>
      </c>
      <c r="I25" s="183"/>
      <c r="J25" s="74"/>
    </row>
    <row r="26" spans="1:10" ht="18.75" customHeight="1" x14ac:dyDescent="0.3">
      <c r="A26" s="194" t="s">
        <v>174</v>
      </c>
      <c r="B26" s="103">
        <f>'Tabell 6'!AO52+'Tabell 6'!AO56</f>
        <v>74789.032864620007</v>
      </c>
      <c r="C26" s="103">
        <f>'Tabell 6'!AP52+'Tabell 6'!AP56</f>
        <v>91590.414988570003</v>
      </c>
      <c r="D26" s="268">
        <f t="shared" si="0"/>
        <v>22.5</v>
      </c>
      <c r="E26" s="268"/>
      <c r="F26" s="268">
        <f>('Tabell 6'!AO52+'Tabell 6'!AO56)/('Tabell 6'!AO60+'Tabell 6'!AO61)*100</f>
        <v>27.50425312020036</v>
      </c>
      <c r="G26" s="268">
        <f>('Tabell 6'!AP52+'Tabell 6'!AP56)/('Tabell 6'!AP60+'Tabell 6'!AP61)*100</f>
        <v>27.99830970350116</v>
      </c>
      <c r="H26" s="269">
        <f t="shared" si="1"/>
        <v>1.8</v>
      </c>
      <c r="I26" s="183"/>
      <c r="J26" s="74"/>
    </row>
    <row r="27" spans="1:10" ht="18.75" customHeight="1" x14ac:dyDescent="0.3">
      <c r="A27" s="194" t="s">
        <v>175</v>
      </c>
      <c r="B27" s="103">
        <f>'Tabell 6'!AO48</f>
        <v>0</v>
      </c>
      <c r="C27" s="103">
        <f>'Tabell 6'!AP48</f>
        <v>0</v>
      </c>
      <c r="D27" s="268" t="str">
        <f t="shared" si="0"/>
        <v xml:space="preserve">    ---- </v>
      </c>
      <c r="E27" s="268"/>
      <c r="F27" s="268">
        <f>'Tabell 6'!AO48/('Tabell 6'!AO60+'Tabell 6'!AO61)*100</f>
        <v>0</v>
      </c>
      <c r="G27" s="268">
        <f>'Tabell 6'!AP48/('Tabell 6'!AP60+'Tabell 6'!AP61)*100</f>
        <v>0</v>
      </c>
      <c r="H27" s="269" t="str">
        <f t="shared" si="1"/>
        <v xml:space="preserve">    ---- </v>
      </c>
      <c r="I27" s="183"/>
      <c r="J27" s="74"/>
    </row>
    <row r="28" spans="1:10" ht="18.75" customHeight="1" x14ac:dyDescent="0.3">
      <c r="A28" s="108" t="s">
        <v>176</v>
      </c>
      <c r="B28" s="105">
        <f>'Tabell 6'!AO49</f>
        <v>3948.1882958800002</v>
      </c>
      <c r="C28" s="105">
        <f>'Tabell 6'!AP49</f>
        <v>4475.7878848800001</v>
      </c>
      <c r="D28" s="270">
        <f t="shared" si="0"/>
        <v>13.4</v>
      </c>
      <c r="E28" s="270"/>
      <c r="F28" s="268">
        <f>'Tabell 6'!AO49/('Tabell 6'!AO60+'Tabell 6'!AO61)*100</f>
        <v>1.4519771963446126</v>
      </c>
      <c r="G28" s="268">
        <f>'Tabell 6'!AP49/('Tabell 6'!AP60+'Tabell 6'!AP61)*100</f>
        <v>1.3682053453266614</v>
      </c>
      <c r="H28" s="269">
        <f t="shared" si="1"/>
        <v>-5.8</v>
      </c>
      <c r="I28" s="183"/>
      <c r="J28" s="74"/>
    </row>
    <row r="29" spans="1:10" ht="18.75" customHeight="1" x14ac:dyDescent="0.3">
      <c r="A29" s="194" t="s">
        <v>177</v>
      </c>
      <c r="B29" s="103">
        <f>'Tabell 6'!AO53+'Tabell 6'!AO57</f>
        <v>3477.88687261</v>
      </c>
      <c r="C29" s="103">
        <f>'Tabell 6'!AP53+'Tabell 6'!AP57</f>
        <v>3120.8094673699998</v>
      </c>
      <c r="D29" s="268">
        <f t="shared" si="0"/>
        <v>-10.3</v>
      </c>
      <c r="E29" s="268"/>
      <c r="F29" s="268">
        <f>('Tabell 6'!AO53+'Tabell 6'!AO57)/('Tabell 6'!AO60+'Tabell 6'!AO61)*100</f>
        <v>1.2790201611624155</v>
      </c>
      <c r="G29" s="268">
        <f>('Tabell 6'!AP53+'Tabell 6'!AP57)/('Tabell 6'!AP60+'Tabell 6'!AP61)*100</f>
        <v>0.95400146406092823</v>
      </c>
      <c r="H29" s="269">
        <f t="shared" si="1"/>
        <v>-25.4</v>
      </c>
      <c r="I29" s="183"/>
      <c r="J29" s="74"/>
    </row>
    <row r="30" spans="1:10" ht="18.75" customHeight="1" x14ac:dyDescent="0.3">
      <c r="A30" s="86" t="s">
        <v>178</v>
      </c>
      <c r="B30" s="103">
        <f>'Tabell 6'!AO51-'Tabell 6'!AO52+'Tabell 6'!AO58+'Tabell 6'!AO59+'Tabell 6'!AO61</f>
        <v>1519.0250172999999</v>
      </c>
      <c r="C30" s="103">
        <f>'Tabell 6'!AP51-'Tabell 6'!AP52+'Tabell 6'!AP58+'Tabell 6'!AP59+'Tabell 6'!AP61</f>
        <v>2939.0692084100001</v>
      </c>
      <c r="D30" s="269">
        <f t="shared" si="0"/>
        <v>93.5</v>
      </c>
      <c r="E30" s="269"/>
      <c r="F30" s="269">
        <f>('Tabell 6'!AO51-'Tabell 6'!AO52+'Tabell 6'!AO58+'Tabell 6'!AO59+'Tabell 6'!AO61)/('Tabell 6'!AO60+'Tabell 6'!AO61)*100</f>
        <v>0.55863335801338299</v>
      </c>
      <c r="G30" s="269">
        <f>('Tabell 6'!AP51-'Tabell 6'!AP52+'Tabell 6'!AP58+'Tabell 6'!AP59+'Tabell 6'!AP61)/('Tabell 6'!AP60+'Tabell 6'!AP61)*100</f>
        <v>0.89844521337037742</v>
      </c>
      <c r="H30" s="269">
        <f t="shared" si="1"/>
        <v>60.8</v>
      </c>
      <c r="I30" s="183"/>
      <c r="J30" s="74"/>
    </row>
    <row r="31" spans="1:10" ht="18.75" customHeight="1" x14ac:dyDescent="0.3">
      <c r="A31" s="194"/>
      <c r="B31" s="177"/>
      <c r="C31" s="177"/>
      <c r="D31" s="268"/>
      <c r="E31" s="268"/>
      <c r="F31" s="268"/>
      <c r="G31" s="269"/>
      <c r="H31" s="269"/>
      <c r="I31" s="183"/>
      <c r="J31" s="74"/>
    </row>
    <row r="32" spans="1:10" ht="18.75" customHeight="1" x14ac:dyDescent="0.3">
      <c r="A32" s="137" t="s">
        <v>2</v>
      </c>
      <c r="B32" s="109">
        <f>SUM(B33:B38)</f>
        <v>1450233.7194392099</v>
      </c>
      <c r="C32" s="109">
        <f>SUM(C33:C38)</f>
        <v>1555218.2944336501</v>
      </c>
      <c r="D32" s="266">
        <f t="shared" si="0"/>
        <v>7.2</v>
      </c>
      <c r="E32" s="266"/>
      <c r="F32" s="266">
        <f>SUM(F33:F38)</f>
        <v>100.00000000000001</v>
      </c>
      <c r="G32" s="266">
        <f>SUM(G33:G38)</f>
        <v>99.999999999999986</v>
      </c>
      <c r="H32" s="267">
        <f t="shared" si="1"/>
        <v>0</v>
      </c>
      <c r="I32" s="183"/>
      <c r="J32" s="74"/>
    </row>
    <row r="33" spans="1:10" ht="18.75" customHeight="1" x14ac:dyDescent="0.3">
      <c r="A33" s="194" t="s">
        <v>173</v>
      </c>
      <c r="B33" s="103">
        <f t="shared" ref="B33:C38" si="2">B9+B17+B25</f>
        <v>357756.27516924997</v>
      </c>
      <c r="C33" s="103">
        <f t="shared" si="2"/>
        <v>419661.53800517996</v>
      </c>
      <c r="D33" s="268">
        <f t="shared" si="0"/>
        <v>17.3</v>
      </c>
      <c r="E33" s="268"/>
      <c r="F33" s="268">
        <f>B33/B32*100</f>
        <v>24.668870291306604</v>
      </c>
      <c r="G33" s="268">
        <f>C33/C32*100</f>
        <v>26.984092169389275</v>
      </c>
      <c r="H33" s="269">
        <f t="shared" si="1"/>
        <v>9.4</v>
      </c>
      <c r="I33" s="183"/>
      <c r="J33" s="74"/>
    </row>
    <row r="34" spans="1:10" ht="18.75" customHeight="1" x14ac:dyDescent="0.3">
      <c r="A34" s="194" t="s">
        <v>174</v>
      </c>
      <c r="B34" s="103">
        <f t="shared" si="2"/>
        <v>520734.40833632986</v>
      </c>
      <c r="C34" s="103">
        <f t="shared" si="2"/>
        <v>514652.34375318</v>
      </c>
      <c r="D34" s="268">
        <f t="shared" si="0"/>
        <v>-1.2</v>
      </c>
      <c r="E34" s="268"/>
      <c r="F34" s="268">
        <f>B34/B32*100</f>
        <v>35.906930128317001</v>
      </c>
      <c r="G34" s="268">
        <f>C34/C32*100</f>
        <v>33.091968220486777</v>
      </c>
      <c r="H34" s="269">
        <f t="shared" si="1"/>
        <v>-7.8</v>
      </c>
      <c r="I34" s="183"/>
      <c r="J34" s="74"/>
    </row>
    <row r="35" spans="1:10" ht="18.75" customHeight="1" x14ac:dyDescent="0.3">
      <c r="A35" s="194" t="s">
        <v>175</v>
      </c>
      <c r="B35" s="103">
        <f t="shared" si="2"/>
        <v>1028.77325875</v>
      </c>
      <c r="C35" s="103">
        <f t="shared" si="2"/>
        <v>890.53053072</v>
      </c>
      <c r="D35" s="268">
        <f t="shared" si="0"/>
        <v>-13.4</v>
      </c>
      <c r="E35" s="268"/>
      <c r="F35" s="268">
        <f>B35/B32*100</f>
        <v>7.0938445642252462E-2</v>
      </c>
      <c r="G35" s="268">
        <f>C35/C32*100</f>
        <v>5.726080601722195E-2</v>
      </c>
      <c r="H35" s="269">
        <f t="shared" si="1"/>
        <v>-19.3</v>
      </c>
      <c r="I35" s="183"/>
      <c r="J35" s="74"/>
    </row>
    <row r="36" spans="1:10" ht="18.75" customHeight="1" x14ac:dyDescent="0.3">
      <c r="A36" s="108" t="s">
        <v>176</v>
      </c>
      <c r="B36" s="105">
        <f t="shared" si="2"/>
        <v>146780.27065512</v>
      </c>
      <c r="C36" s="105">
        <f t="shared" si="2"/>
        <v>153995.57019774002</v>
      </c>
      <c r="D36" s="270">
        <f t="shared" si="0"/>
        <v>4.9000000000000004</v>
      </c>
      <c r="E36" s="270"/>
      <c r="F36" s="268">
        <f>B36/B32*100</f>
        <v>10.121145901357083</v>
      </c>
      <c r="G36" s="268">
        <f>C36/C32*100</f>
        <v>9.9018620568515896</v>
      </c>
      <c r="H36" s="269">
        <f t="shared" si="1"/>
        <v>-2.2000000000000002</v>
      </c>
      <c r="I36" s="183"/>
      <c r="J36" s="74"/>
    </row>
    <row r="37" spans="1:10" ht="18.75" customHeight="1" x14ac:dyDescent="0.3">
      <c r="A37" s="194" t="s">
        <v>177</v>
      </c>
      <c r="B37" s="103">
        <f t="shared" si="2"/>
        <v>391021.33419640001</v>
      </c>
      <c r="C37" s="103">
        <f t="shared" si="2"/>
        <v>430210.78146653005</v>
      </c>
      <c r="D37" s="268">
        <f t="shared" si="0"/>
        <v>10</v>
      </c>
      <c r="E37" s="268"/>
      <c r="F37" s="268">
        <f>B37/B32*100</f>
        <v>26.962642569613116</v>
      </c>
      <c r="G37" s="268">
        <f>C37/C32*100</f>
        <v>27.662404885945357</v>
      </c>
      <c r="H37" s="269">
        <f t="shared" si="1"/>
        <v>2.6</v>
      </c>
      <c r="I37" s="183"/>
      <c r="J37" s="74"/>
    </row>
    <row r="38" spans="1:10" ht="18.75" customHeight="1" x14ac:dyDescent="0.3">
      <c r="A38" s="271" t="s">
        <v>178</v>
      </c>
      <c r="B38" s="272">
        <f t="shared" si="2"/>
        <v>32912.657823360001</v>
      </c>
      <c r="C38" s="272">
        <f t="shared" si="2"/>
        <v>35807.530480300011</v>
      </c>
      <c r="D38" s="273">
        <f t="shared" si="0"/>
        <v>8.8000000000000007</v>
      </c>
      <c r="E38" s="268"/>
      <c r="F38" s="273">
        <f>B38/B32*100</f>
        <v>2.2694726637639469</v>
      </c>
      <c r="G38" s="273">
        <f>C38/C32*100</f>
        <v>2.3024118613097793</v>
      </c>
      <c r="H38" s="274">
        <f t="shared" si="1"/>
        <v>1.5</v>
      </c>
      <c r="I38" s="183"/>
      <c r="J38" s="74"/>
    </row>
    <row r="39" spans="1:10" ht="18.75" customHeight="1" x14ac:dyDescent="0.3">
      <c r="A39" s="112"/>
      <c r="B39" s="112"/>
      <c r="C39" s="112"/>
      <c r="D39" s="112"/>
      <c r="E39" s="112"/>
      <c r="F39" s="183"/>
      <c r="G39" s="183"/>
      <c r="H39" s="183"/>
      <c r="I39" s="183"/>
      <c r="J39" s="74"/>
    </row>
    <row r="40" spans="1:10" ht="18.75" customHeight="1" x14ac:dyDescent="0.3">
      <c r="A40" s="112" t="s">
        <v>181</v>
      </c>
      <c r="B40" s="112"/>
      <c r="C40" s="112"/>
      <c r="D40" s="112"/>
      <c r="E40" s="112"/>
      <c r="F40" s="183"/>
      <c r="G40" s="183"/>
      <c r="H40" s="183"/>
      <c r="I40" s="183"/>
      <c r="J40" s="74"/>
    </row>
    <row r="41" spans="1:10" ht="18.75" x14ac:dyDescent="0.3">
      <c r="A41" s="112" t="s">
        <v>109</v>
      </c>
      <c r="B41" s="112"/>
      <c r="C41" s="112"/>
      <c r="D41" s="112"/>
      <c r="E41" s="112"/>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L303"/>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355">
        <v>4</v>
      </c>
      <c r="B1" s="4"/>
      <c r="C1" s="4"/>
      <c r="D1" s="4"/>
      <c r="E1" s="4"/>
      <c r="F1" s="4"/>
      <c r="G1" s="4"/>
      <c r="H1" s="4"/>
      <c r="I1" s="4"/>
      <c r="J1" s="4"/>
    </row>
    <row r="2" spans="1:10" ht="15.75" customHeight="1" x14ac:dyDescent="0.25">
      <c r="A2" s="165" t="s">
        <v>28</v>
      </c>
      <c r="B2" s="721"/>
      <c r="C2" s="721"/>
      <c r="D2" s="721"/>
      <c r="E2" s="721"/>
      <c r="F2" s="721"/>
      <c r="G2" s="721"/>
      <c r="H2" s="721"/>
      <c r="I2" s="721"/>
      <c r="J2" s="721"/>
    </row>
    <row r="3" spans="1:10" ht="15.75" customHeight="1" x14ac:dyDescent="0.25">
      <c r="A3" s="163"/>
      <c r="B3" s="300"/>
      <c r="C3" s="300"/>
      <c r="D3" s="300"/>
      <c r="E3" s="300"/>
      <c r="F3" s="300"/>
      <c r="G3" s="300"/>
      <c r="H3" s="300"/>
      <c r="I3" s="300"/>
      <c r="J3" s="300"/>
    </row>
    <row r="4" spans="1:10" ht="15.75" customHeight="1" x14ac:dyDescent="0.2">
      <c r="A4" s="144"/>
      <c r="B4" s="722" t="s">
        <v>0</v>
      </c>
      <c r="C4" s="723"/>
      <c r="D4" s="723"/>
      <c r="E4" s="722" t="s">
        <v>1</v>
      </c>
      <c r="F4" s="723"/>
      <c r="G4" s="723"/>
      <c r="H4" s="722" t="s">
        <v>2</v>
      </c>
      <c r="I4" s="723"/>
      <c r="J4" s="724"/>
    </row>
    <row r="5" spans="1:10" ht="15.75" customHeight="1" x14ac:dyDescent="0.2">
      <c r="A5" s="158"/>
      <c r="B5" s="20" t="s">
        <v>413</v>
      </c>
      <c r="C5" s="20" t="s">
        <v>414</v>
      </c>
      <c r="D5" s="252" t="s">
        <v>3</v>
      </c>
      <c r="E5" s="20" t="s">
        <v>413</v>
      </c>
      <c r="F5" s="20" t="s">
        <v>414</v>
      </c>
      <c r="G5" s="252" t="s">
        <v>3</v>
      </c>
      <c r="H5" s="20" t="s">
        <v>413</v>
      </c>
      <c r="I5" s="20" t="s">
        <v>414</v>
      </c>
      <c r="J5" s="252" t="s">
        <v>3</v>
      </c>
    </row>
    <row r="6" spans="1:10" ht="15.75" customHeight="1" x14ac:dyDescent="0.2">
      <c r="A6" s="642"/>
      <c r="B6" s="15"/>
      <c r="C6" s="15"/>
      <c r="D6" s="17" t="s">
        <v>4</v>
      </c>
      <c r="E6" s="16"/>
      <c r="F6" s="16"/>
      <c r="G6" s="15" t="s">
        <v>4</v>
      </c>
      <c r="H6" s="16"/>
      <c r="I6" s="16"/>
      <c r="J6" s="15" t="s">
        <v>4</v>
      </c>
    </row>
    <row r="7" spans="1:10" s="43" customFormat="1" ht="15.75" customHeight="1" x14ac:dyDescent="0.2">
      <c r="A7" s="14" t="s">
        <v>23</v>
      </c>
      <c r="B7" s="237">
        <f>'ACE European Group'!B7+'Danica Pensjonsforsikring'!B7+'DNB Livsforsikring'!B7+'Eika Forsikring AS'!B7+'Frende Livsforsikring'!B7+'Frende Skadeforsikring'!B7+'Gjensidige Forsikring'!B7+'Gjensidige Pensjon'!B7+'Handelsbanken Liv'!B7+'If Skadeforsikring NUF'!B7+KLP!B7+'KLP Bedriftspensjon AS'!B7+'KLP Skadeforsikring AS'!B7+'Landbruksforsikring AS'!B7+'NEMI Forsikring'!B7+'Nordea Liv '!B7+'Oslo Pensjonsforsikring'!B7+'Protector Forsikring'!B7+'SHB Liv'!B7+'Sparebank 1'!B7+'Storebrand Livsforsikring'!B7+'Telenor Forsikring'!B7+'Tryg Forsikring'!B7</f>
        <v>3561428.1385919875</v>
      </c>
      <c r="C7" s="237">
        <f>'ACE European Group'!C7+'Danica Pensjonsforsikring'!C7+'DNB Livsforsikring'!C7+'Eika Forsikring AS'!C7+'Frende Livsforsikring'!C7+'Frende Skadeforsikring'!C7+'Gjensidige Forsikring'!C7+'Gjensidige Pensjon'!C7+'Handelsbanken Liv'!C7+'If Skadeforsikring NUF'!C7+KLP!C7+'KLP Bedriftspensjon AS'!C7+'KLP Skadeforsikring AS'!C7+'Landbruksforsikring AS'!C7+'NEMI Forsikring'!C7+'Nordea Liv '!C7+'Oslo Pensjonsforsikring'!C7+'Protector Forsikring'!C7+'SHB Liv'!C7+'Sparebank 1'!C7+'Storebrand Livsforsikring'!C7+'Telenor Forsikring'!C7+'Tryg Forsikring'!C7</f>
        <v>3516656.0912063131</v>
      </c>
      <c r="D7" s="160">
        <f t="shared" ref="D7:D12" si="0">IF(B7=0, "    ---- ", IF(ABS(ROUND(100/B7*C7-100,1))&lt;999,ROUND(100/B7*C7-100,1),IF(ROUND(100/B7*C7-100,1)&gt;999,999,-999)))</f>
        <v>-1.3</v>
      </c>
      <c r="E7" s="237">
        <f>'ACE European Group'!F7+'Danica Pensjonsforsikring'!F7+'DNB Livsforsikring'!F7+'Eika Forsikring AS'!F7+'Frende Livsforsikring'!F7+'Frende Skadeforsikring'!F7+'Gjensidige Forsikring'!F7+'Gjensidige Pensjon'!F7+'Handelsbanken Liv'!F7+'If Skadeforsikring NUF'!F7+KLP!F7+'KLP Bedriftspensjon AS'!F7+'KLP Skadeforsikring AS'!F7+'Landbruksforsikring AS'!F7+'NEMI Forsikring'!F7+'Nordea Liv '!F7+'Oslo Pensjonsforsikring'!F7+'Protector Forsikring'!F7+'SHB Liv'!F7+'Sparebank 1'!F7+'Storebrand Livsforsikring'!F7+'Telenor Forsikring'!F7+'Tryg Forsikring'!F7</f>
        <v>6324119.2612199988</v>
      </c>
      <c r="F7" s="237">
        <f>'ACE European Group'!G7+'Danica Pensjonsforsikring'!G7+'DNB Livsforsikring'!G7+'Eika Forsikring AS'!G7+'Frende Livsforsikring'!G7+'Frende Skadeforsikring'!G7+'Gjensidige Forsikring'!G7+'Gjensidige Pensjon'!G7+'Handelsbanken Liv'!G7+'If Skadeforsikring NUF'!G7+KLP!G7+'KLP Bedriftspensjon AS'!G7+'KLP Skadeforsikring AS'!G7+'Landbruksforsikring AS'!G7+'NEMI Forsikring'!G7+'Nordea Liv '!G7+'Oslo Pensjonsforsikring'!G7+'Protector Forsikring'!G7+'SHB Liv'!G7+'Sparebank 1'!G7+'Storebrand Livsforsikring'!G7+'Telenor Forsikring'!G7+'Tryg Forsikring'!G7</f>
        <v>5497158.5092100007</v>
      </c>
      <c r="G7" s="160">
        <f t="shared" ref="G7:G12" si="1">IF(E7=0, "    ---- ", IF(ABS(ROUND(100/E7*F7-100,1))&lt;999,ROUND(100/E7*F7-100,1),IF(ROUND(100/E7*F7-100,1)&gt;999,999,-999)))</f>
        <v>-13.1</v>
      </c>
      <c r="H7" s="280">
        <f t="shared" ref="H7:H12" si="2">B7+E7</f>
        <v>9885547.3998119868</v>
      </c>
      <c r="I7" s="281">
        <f t="shared" ref="I7:I12" si="3">C7+F7</f>
        <v>9013814.6004163139</v>
      </c>
      <c r="J7" s="171">
        <f t="shared" ref="J7:J12" si="4">IF(H7=0, "    ---- ", IF(ABS(ROUND(100/H7*I7-100,1))&lt;999,ROUND(100/H7*I7-100,1),IF(ROUND(100/H7*I7-100,1)&gt;999,999,-999)))</f>
        <v>-8.8000000000000007</v>
      </c>
    </row>
    <row r="8" spans="1:10" ht="15.75" customHeight="1" x14ac:dyDescent="0.2">
      <c r="A8" s="21" t="s">
        <v>25</v>
      </c>
      <c r="B8" s="44">
        <f>'ACE European Group'!B8+'Danica Pensjonsforsikring'!B8+'DNB Livsforsikring'!B8+'Eika Forsikring AS'!B8+'Frende Livsforsikring'!B8+'Frende Skadeforsikring'!B8+'Gjensidige Forsikring'!B8+'Gjensidige Pensjon'!B8+'Handelsbanken Liv'!B8+'If Skadeforsikring NUF'!B8+KLP!B8+'KLP Bedriftspensjon AS'!B8+'KLP Skadeforsikring AS'!B8+'Landbruksforsikring AS'!B8+'NEMI Forsikring'!B8+'Nordea Liv '!B8+'Oslo Pensjonsforsikring'!B8+'Protector Forsikring'!B8+'SHB Liv'!B8+'Sparebank 1'!B8+'Storebrand Livsforsikring'!B8+'Telenor Forsikring'!B8+'Tryg Forsikring'!B8</f>
        <v>1973313.882203371</v>
      </c>
      <c r="C8" s="44">
        <f>'ACE European Group'!C8+'Danica Pensjonsforsikring'!C8+'DNB Livsforsikring'!C8+'Eika Forsikring AS'!C8+'Frende Livsforsikring'!C8+'Frende Skadeforsikring'!C8+'Gjensidige Forsikring'!C8+'Gjensidige Pensjon'!C8+'Handelsbanken Liv'!C8+'If Skadeforsikring NUF'!C8+KLP!C8+'KLP Bedriftspensjon AS'!C8+'KLP Skadeforsikring AS'!C8+'Landbruksforsikring AS'!C8+'NEMI Forsikring'!C8+'Nordea Liv '!C8+'Oslo Pensjonsforsikring'!C8+'Protector Forsikring'!C8+'SHB Liv'!C8+'Sparebank 1'!C8+'Storebrand Livsforsikring'!C8+'Telenor Forsikring'!C8+'Tryg Forsikring'!C8</f>
        <v>2103419.8884047428</v>
      </c>
      <c r="D8" s="166">
        <f t="shared" si="0"/>
        <v>6.6</v>
      </c>
      <c r="E8" s="188">
        <f>'ACE European Group'!F8+'Danica Pensjonsforsikring'!F8+'DNB Livsforsikring'!F8+'Eika Forsikring AS'!F8+'Frende Livsforsikring'!F8+'Frende Skadeforsikring'!F8+'Gjensidige Forsikring'!F8+'Gjensidige Pensjon'!F8+'Handelsbanken Liv'!F8+'If Skadeforsikring NUF'!F8+KLP!F8+'KLP Bedriftspensjon AS'!F8+'KLP Skadeforsikring AS'!F8+'Landbruksforsikring AS'!F8+'NEMI Forsikring'!F8+'Nordea Liv '!F8+'Oslo Pensjonsforsikring'!F8+'Protector Forsikring'!F8+'SHB Liv'!F8+'Sparebank 1'!F8+'Storebrand Livsforsikring'!F8+'Telenor Forsikring'!F8+'Tryg Forsikring'!F8</f>
        <v>0</v>
      </c>
      <c r="F8" s="188">
        <f>'ACE European Group'!G8+'Danica Pensjonsforsikring'!G8+'DNB Livsforsikring'!G8+'Eika Forsikring AS'!G8+'Frende Livsforsikring'!G8+'Frende Skadeforsikring'!G8+'Gjensidige Forsikring'!G8+'Gjensidige Pensjon'!G8+'Handelsbanken Liv'!G8+'If Skadeforsikring NUF'!G8+KLP!G8+'KLP Bedriftspensjon AS'!G8+'KLP Skadeforsikring AS'!G8+'Landbruksforsikring AS'!G8+'NEMI Forsikring'!G8+'Nordea Liv '!G8+'Oslo Pensjonsforsikring'!G8+'Protector Forsikring'!G8+'SHB Liv'!G8+'Sparebank 1'!G8+'Storebrand Livsforsikring'!G8+'Telenor Forsikring'!G8+'Tryg Forsikring'!G8</f>
        <v>0</v>
      </c>
      <c r="G8" s="176"/>
      <c r="H8" s="190">
        <f t="shared" si="2"/>
        <v>1973313.882203371</v>
      </c>
      <c r="I8" s="191">
        <f t="shared" si="3"/>
        <v>2103419.8884047428</v>
      </c>
      <c r="J8" s="171">
        <f t="shared" si="4"/>
        <v>6.6</v>
      </c>
    </row>
    <row r="9" spans="1:10" ht="15.75" customHeight="1" x14ac:dyDescent="0.2">
      <c r="A9" s="21" t="s">
        <v>24</v>
      </c>
      <c r="B9" s="44">
        <f>'ACE European Group'!B9+'Danica Pensjonsforsikring'!B9+'DNB Livsforsikring'!B9+'Eika Forsikring AS'!B9+'Frende Livsforsikring'!B9+'Frende Skadeforsikring'!B9+'Gjensidige Forsikring'!B9+'Gjensidige Pensjon'!B9+'Handelsbanken Liv'!B9+'If Skadeforsikring NUF'!B9+KLP!B9+'KLP Bedriftspensjon AS'!B9+'KLP Skadeforsikring AS'!B9+'Landbruksforsikring AS'!B9+'NEMI Forsikring'!B9+'Nordea Liv '!B9+'Oslo Pensjonsforsikring'!B9+'Protector Forsikring'!B9+'SHB Liv'!B9+'Sparebank 1'!B9+'Storebrand Livsforsikring'!B9+'Telenor Forsikring'!B9+'Tryg Forsikring'!B9</f>
        <v>798834.33331012353</v>
      </c>
      <c r="C9" s="44">
        <f>'ACE European Group'!C9+'Danica Pensjonsforsikring'!C9+'DNB Livsforsikring'!C9+'Eika Forsikring AS'!C9+'Frende Livsforsikring'!C9+'Frende Skadeforsikring'!C9+'Gjensidige Forsikring'!C9+'Gjensidige Pensjon'!C9+'Handelsbanken Liv'!C9+'If Skadeforsikring NUF'!C9+KLP!C9+'KLP Bedriftspensjon AS'!C9+'KLP Skadeforsikring AS'!C9+'Landbruksforsikring AS'!C9+'NEMI Forsikring'!C9+'Nordea Liv '!C9+'Oslo Pensjonsforsikring'!C9+'Protector Forsikring'!C9+'SHB Liv'!C9+'Sparebank 1'!C9+'Storebrand Livsforsikring'!C9+'Telenor Forsikring'!C9+'Tryg Forsikring'!C9</f>
        <v>781820.14991007745</v>
      </c>
      <c r="D9" s="176">
        <f t="shared" si="0"/>
        <v>-2.1</v>
      </c>
      <c r="E9" s="188">
        <f>'ACE European Group'!F9+'Danica Pensjonsforsikring'!F9+'DNB Livsforsikring'!F9+'Eika Forsikring AS'!F9+'Frende Livsforsikring'!F9+'Frende Skadeforsikring'!F9+'Gjensidige Forsikring'!F9+'Gjensidige Pensjon'!F9+'Handelsbanken Liv'!F9+'If Skadeforsikring NUF'!F9+KLP!F9+'KLP Bedriftspensjon AS'!F9+'KLP Skadeforsikring AS'!F9+'Landbruksforsikring AS'!F9+'NEMI Forsikring'!F9+'Nordea Liv '!F9+'Oslo Pensjonsforsikring'!F9+'Protector Forsikring'!F9+'SHB Liv'!F9+'Sparebank 1'!F9+'Storebrand Livsforsikring'!F9+'Telenor Forsikring'!F9+'Tryg Forsikring'!F9</f>
        <v>0</v>
      </c>
      <c r="F9" s="188">
        <f>'ACE European Group'!G9+'Danica Pensjonsforsikring'!G9+'DNB Livsforsikring'!G9+'Eika Forsikring AS'!G9+'Frende Livsforsikring'!G9+'Frende Skadeforsikring'!G9+'Gjensidige Forsikring'!G9+'Gjensidige Pensjon'!G9+'Handelsbanken Liv'!G9+'If Skadeforsikring NUF'!G9+KLP!G9+'KLP Bedriftspensjon AS'!G9+'KLP Skadeforsikring AS'!G9+'Landbruksforsikring AS'!G9+'NEMI Forsikring'!G9+'Nordea Liv '!G9+'Oslo Pensjonsforsikring'!G9+'Protector Forsikring'!G9+'SHB Liv'!G9+'Sparebank 1'!G9+'Storebrand Livsforsikring'!G9+'Telenor Forsikring'!G9+'Tryg Forsikring'!G9</f>
        <v>0</v>
      </c>
      <c r="G9" s="176"/>
      <c r="H9" s="190">
        <f t="shared" si="2"/>
        <v>798834.33331012353</v>
      </c>
      <c r="I9" s="191">
        <f t="shared" si="3"/>
        <v>781820.14991007745</v>
      </c>
      <c r="J9" s="171">
        <f t="shared" si="4"/>
        <v>-2.1</v>
      </c>
    </row>
    <row r="10" spans="1:10" s="43" customFormat="1" ht="15.75" customHeight="1" x14ac:dyDescent="0.2">
      <c r="A10" s="39" t="s">
        <v>376</v>
      </c>
      <c r="B10" s="237">
        <f>'ACE European Group'!B10+'Danica Pensjonsforsikring'!B10+'DNB Livsforsikring'!B10+'Eika Forsikring AS'!B10+'Frende Livsforsikring'!B10+'Frende Skadeforsikring'!B10+'Gjensidige Forsikring'!B10+'Gjensidige Pensjon'!B10+'Handelsbanken Liv'!B10+'If Skadeforsikring NUF'!B10+KLP!B10+'KLP Bedriftspensjon AS'!B10+'KLP Skadeforsikring AS'!B10+'Landbruksforsikring AS'!B10+'NEMI Forsikring'!B10+'Nordea Liv '!B10+'Oslo Pensjonsforsikring'!B10+'Protector Forsikring'!B10+'SHB Liv'!B10+'Sparebank 1'!B10+'Storebrand Livsforsikring'!B10+'Telenor Forsikring'!B10+'Tryg Forsikring'!B10</f>
        <v>22285596.564759027</v>
      </c>
      <c r="C10" s="237">
        <f>'ACE European Group'!C10+'Danica Pensjonsforsikring'!C10+'DNB Livsforsikring'!C10+'Eika Forsikring AS'!C10+'Frende Livsforsikring'!C10+'Frende Skadeforsikring'!C10+'Gjensidige Forsikring'!C10+'Gjensidige Pensjon'!C10+'Handelsbanken Liv'!C10+'If Skadeforsikring NUF'!C10+KLP!C10+'KLP Bedriftspensjon AS'!C10+'KLP Skadeforsikring AS'!C10+'Landbruksforsikring AS'!C10+'NEMI Forsikring'!C10+'Nordea Liv '!C10+'Oslo Pensjonsforsikring'!C10+'Protector Forsikring'!C10+'SHB Liv'!C10+'Sparebank 1'!C10+'Storebrand Livsforsikring'!C10+'Telenor Forsikring'!C10+'Tryg Forsikring'!C10</f>
        <v>21211479.059001159</v>
      </c>
      <c r="D10" s="160">
        <f t="shared" si="0"/>
        <v>-4.8</v>
      </c>
      <c r="E10" s="237">
        <f>'ACE European Group'!F10+'Danica Pensjonsforsikring'!F10+'DNB Livsforsikring'!F10+'Eika Forsikring AS'!F10+'Frende Livsforsikring'!F10+'Frende Skadeforsikring'!F10+'Gjensidige Forsikring'!F10+'Gjensidige Pensjon'!F10+'Handelsbanken Liv'!F10+'If Skadeforsikring NUF'!F10+KLP!F10+'KLP Bedriftspensjon AS'!F10+'KLP Skadeforsikring AS'!F10+'Landbruksforsikring AS'!F10+'NEMI Forsikring'!F10+'Nordea Liv '!F10+'Oslo Pensjonsforsikring'!F10+'Protector Forsikring'!F10+'SHB Liv'!F10+'Sparebank 1'!F10+'Storebrand Livsforsikring'!F10+'Telenor Forsikring'!F10+'Tryg Forsikring'!F10</f>
        <v>39073624.165710099</v>
      </c>
      <c r="F10" s="237">
        <f>'ACE European Group'!G10+'Danica Pensjonsforsikring'!G10+'DNB Livsforsikring'!G10+'Eika Forsikring AS'!G10+'Frende Livsforsikring'!G10+'Frende Skadeforsikring'!G10+'Gjensidige Forsikring'!G10+'Gjensidige Pensjon'!G10+'Handelsbanken Liv'!G10+'If Skadeforsikring NUF'!G10+KLP!G10+'KLP Bedriftspensjon AS'!G10+'KLP Skadeforsikring AS'!G10+'Landbruksforsikring AS'!G10+'NEMI Forsikring'!G10+'Nordea Liv '!G10+'Oslo Pensjonsforsikring'!G10+'Protector Forsikring'!G10+'SHB Liv'!G10+'Sparebank 1'!G10+'Storebrand Livsforsikring'!G10+'Telenor Forsikring'!G10+'Tryg Forsikring'!G10</f>
        <v>44606708.838434599</v>
      </c>
      <c r="G10" s="160">
        <f t="shared" si="1"/>
        <v>14.2</v>
      </c>
      <c r="H10" s="280">
        <f t="shared" si="2"/>
        <v>61359220.730469123</v>
      </c>
      <c r="I10" s="281">
        <f t="shared" si="3"/>
        <v>65818187.897435755</v>
      </c>
      <c r="J10" s="171">
        <f t="shared" si="4"/>
        <v>7.3</v>
      </c>
    </row>
    <row r="11" spans="1:10" s="43" customFormat="1" ht="15.75" customHeight="1" x14ac:dyDescent="0.2">
      <c r="A11" s="39" t="s">
        <v>377</v>
      </c>
      <c r="B11" s="237">
        <f>'ACE European Group'!B11+'Danica Pensjonsforsikring'!B11+'DNB Livsforsikring'!B11+'Eika Forsikring AS'!B11+'Frende Livsforsikring'!B11+'Frende Skadeforsikring'!B11+'Gjensidige Forsikring'!B11+'Gjensidige Pensjon'!B11+'Handelsbanken Liv'!B11+'If Skadeforsikring NUF'!B11+KLP!B11+'KLP Bedriftspensjon AS'!B11+'KLP Skadeforsikring AS'!B11+'Landbruksforsikring AS'!B11+'NEMI Forsikring'!B11+'Nordea Liv '!B11+'Oslo Pensjonsforsikring'!B11+'Protector Forsikring'!B11+'SHB Liv'!B11+'Sparebank 1'!B11+'Storebrand Livsforsikring'!B11+'Telenor Forsikring'!B11+'Tryg Forsikring'!B11</f>
        <v>85448</v>
      </c>
      <c r="C11" s="237">
        <f>'ACE European Group'!C11+'Danica Pensjonsforsikring'!C11+'DNB Livsforsikring'!C11+'Eika Forsikring AS'!C11+'Frende Livsforsikring'!C11+'Frende Skadeforsikring'!C11+'Gjensidige Forsikring'!C11+'Gjensidige Pensjon'!C11+'Handelsbanken Liv'!C11+'If Skadeforsikring NUF'!C11+KLP!C11+'KLP Bedriftspensjon AS'!C11+'KLP Skadeforsikring AS'!C11+'Landbruksforsikring AS'!C11+'NEMI Forsikring'!C11+'Nordea Liv '!C11+'Oslo Pensjonsforsikring'!C11+'Protector Forsikring'!C11+'SHB Liv'!C11+'Sparebank 1'!C11+'Storebrand Livsforsikring'!C11+'Telenor Forsikring'!C11+'Tryg Forsikring'!C11</f>
        <v>22541</v>
      </c>
      <c r="D11" s="171">
        <f t="shared" si="0"/>
        <v>-73.599999999999994</v>
      </c>
      <c r="E11" s="237">
        <f>'ACE European Group'!F11+'Danica Pensjonsforsikring'!F11+'DNB Livsforsikring'!F11+'Eika Forsikring AS'!F11+'Frende Livsforsikring'!F11+'Frende Skadeforsikring'!F11+'Gjensidige Forsikring'!F11+'Gjensidige Pensjon'!F11+'Handelsbanken Liv'!F11+'If Skadeforsikring NUF'!F11+KLP!F11+'KLP Bedriftspensjon AS'!F11+'KLP Skadeforsikring AS'!F11+'Landbruksforsikring AS'!F11+'NEMI Forsikring'!F11+'Nordea Liv '!F11+'Oslo Pensjonsforsikring'!F11+'Protector Forsikring'!F11+'SHB Liv'!F11+'Sparebank 1'!F11+'Storebrand Livsforsikring'!F11+'Telenor Forsikring'!F11+'Tryg Forsikring'!F11</f>
        <v>198073.64567</v>
      </c>
      <c r="F11" s="237">
        <f>'ACE European Group'!G11+'Danica Pensjonsforsikring'!G11+'DNB Livsforsikring'!G11+'Eika Forsikring AS'!G11+'Frende Livsforsikring'!G11+'Frende Skadeforsikring'!G11+'Gjensidige Forsikring'!G11+'Gjensidige Pensjon'!G11+'Handelsbanken Liv'!G11+'If Skadeforsikring NUF'!G11+KLP!G11+'KLP Bedriftspensjon AS'!G11+'KLP Skadeforsikring AS'!G11+'Landbruksforsikring AS'!G11+'NEMI Forsikring'!G11+'Nordea Liv '!G11+'Oslo Pensjonsforsikring'!G11+'Protector Forsikring'!G11+'SHB Liv'!G11+'Sparebank 1'!G11+'Storebrand Livsforsikring'!G11+'Telenor Forsikring'!G11+'Tryg Forsikring'!G11</f>
        <v>205366.20844000002</v>
      </c>
      <c r="G11" s="171">
        <f t="shared" si="1"/>
        <v>3.7</v>
      </c>
      <c r="H11" s="280">
        <f t="shared" si="2"/>
        <v>283521.64567</v>
      </c>
      <c r="I11" s="281">
        <f t="shared" si="3"/>
        <v>227907.20844000002</v>
      </c>
      <c r="J11" s="171">
        <f t="shared" si="4"/>
        <v>-19.600000000000001</v>
      </c>
    </row>
    <row r="12" spans="1:10" s="43" customFormat="1" ht="15.75" customHeight="1" x14ac:dyDescent="0.2">
      <c r="A12" s="620" t="s">
        <v>378</v>
      </c>
      <c r="B12" s="279">
        <f>'ACE European Group'!B12+'Danica Pensjonsforsikring'!B12+'DNB Livsforsikring'!B12+'Eika Forsikring AS'!B12+'Frende Livsforsikring'!B12+'Frende Skadeforsikring'!B12+'Gjensidige Forsikring'!B12+'Gjensidige Pensjon'!B12+'Handelsbanken Liv'!B12+'If Skadeforsikring NUF'!B12+KLP!B12+'KLP Bedriftspensjon AS'!B12+'KLP Skadeforsikring AS'!B12+'Landbruksforsikring AS'!B12+'NEMI Forsikring'!B12+'Nordea Liv '!B12+'Oslo Pensjonsforsikring'!B12+'Protector Forsikring'!B12+'SHB Liv'!B12+'Sparebank 1'!B12+'Storebrand Livsforsikring'!B12+'Telenor Forsikring'!B12+'Tryg Forsikring'!B12</f>
        <v>27591</v>
      </c>
      <c r="C12" s="279">
        <f>'ACE European Group'!C12+'Danica Pensjonsforsikring'!C12+'DNB Livsforsikring'!C12+'Eika Forsikring AS'!C12+'Frende Livsforsikring'!C12+'Frende Skadeforsikring'!C12+'Gjensidige Forsikring'!C12+'Gjensidige Pensjon'!C12+'Handelsbanken Liv'!C12+'If Skadeforsikring NUF'!C12+KLP!C12+'KLP Bedriftspensjon AS'!C12+'KLP Skadeforsikring AS'!C12+'Landbruksforsikring AS'!C12+'NEMI Forsikring'!C12+'Nordea Liv '!C12+'Oslo Pensjonsforsikring'!C12+'Protector Forsikring'!C12+'SHB Liv'!C12+'Sparebank 1'!C12+'Storebrand Livsforsikring'!C12+'Telenor Forsikring'!C12+'Tryg Forsikring'!C12</f>
        <v>79</v>
      </c>
      <c r="D12" s="170">
        <f t="shared" si="0"/>
        <v>-99.7</v>
      </c>
      <c r="E12" s="279">
        <f>'ACE European Group'!F12+'Danica Pensjonsforsikring'!F12+'DNB Livsforsikring'!F12+'Eika Forsikring AS'!F12+'Frende Livsforsikring'!F12+'Frende Skadeforsikring'!F12+'Gjensidige Forsikring'!F12+'Gjensidige Pensjon'!F12+'Handelsbanken Liv'!F12+'If Skadeforsikring NUF'!F12+KLP!F12+'KLP Bedriftspensjon AS'!F12+'KLP Skadeforsikring AS'!F12+'Landbruksforsikring AS'!F12+'NEMI Forsikring'!F12+'Nordea Liv '!F12+'Oslo Pensjonsforsikring'!F12+'Protector Forsikring'!F12+'SHB Liv'!F12+'Sparebank 1'!F12+'Storebrand Livsforsikring'!F12+'Telenor Forsikring'!F12+'Tryg Forsikring'!F12</f>
        <v>99300.534229999903</v>
      </c>
      <c r="F12" s="279">
        <f>'ACE European Group'!G12+'Danica Pensjonsforsikring'!G12+'DNB Livsforsikring'!G12+'Eika Forsikring AS'!G12+'Frende Livsforsikring'!G12+'Frende Skadeforsikring'!G12+'Gjensidige Forsikring'!G12+'Gjensidige Pensjon'!G12+'Handelsbanken Liv'!G12+'If Skadeforsikring NUF'!G12+KLP!G12+'KLP Bedriftspensjon AS'!G12+'KLP Skadeforsikring AS'!G12+'Landbruksforsikring AS'!G12+'NEMI Forsikring'!G12+'Nordea Liv '!G12+'Oslo Pensjonsforsikring'!G12+'Protector Forsikring'!G12+'SHB Liv'!G12+'Sparebank 1'!G12+'Storebrand Livsforsikring'!G12+'Telenor Forsikring'!G12+'Tryg Forsikring'!G12</f>
        <v>173298.80124</v>
      </c>
      <c r="G12" s="169">
        <f t="shared" si="1"/>
        <v>74.5</v>
      </c>
      <c r="H12" s="282">
        <f t="shared" si="2"/>
        <v>126891.5342299999</v>
      </c>
      <c r="I12" s="283">
        <f t="shared" si="3"/>
        <v>173377.80124</v>
      </c>
      <c r="J12" s="169">
        <f t="shared" si="4"/>
        <v>36.6</v>
      </c>
    </row>
    <row r="13" spans="1:10" s="43" customFormat="1" ht="15.75" customHeight="1" x14ac:dyDescent="0.2">
      <c r="A13" s="168"/>
      <c r="B13" s="35"/>
      <c r="C13" s="5"/>
      <c r="D13" s="32"/>
      <c r="E13" s="35"/>
      <c r="F13" s="5"/>
      <c r="G13" s="32"/>
      <c r="H13" s="48"/>
      <c r="I13" s="48"/>
      <c r="J13" s="32"/>
    </row>
    <row r="14" spans="1:10" ht="15.75" customHeight="1" x14ac:dyDescent="0.2">
      <c r="A14" s="153" t="s">
        <v>286</v>
      </c>
    </row>
    <row r="15" spans="1:10" ht="15.75" customHeight="1" x14ac:dyDescent="0.2">
      <c r="A15" s="149"/>
      <c r="E15" s="7"/>
      <c r="F15" s="7"/>
      <c r="G15" s="7"/>
      <c r="H15" s="7"/>
      <c r="I15" s="7"/>
      <c r="J15" s="7"/>
    </row>
    <row r="16" spans="1:10" s="3" customFormat="1" ht="15.75" customHeight="1" x14ac:dyDescent="0.25">
      <c r="A16" s="164"/>
      <c r="C16" s="30"/>
      <c r="D16" s="30"/>
      <c r="E16" s="30"/>
      <c r="F16" s="30"/>
      <c r="G16" s="30"/>
      <c r="H16" s="30"/>
      <c r="I16" s="30"/>
      <c r="J16" s="30"/>
    </row>
    <row r="17" spans="1:11" ht="15.75" customHeight="1" x14ac:dyDescent="0.25">
      <c r="A17" s="147" t="s">
        <v>283</v>
      </c>
      <c r="B17" s="28"/>
      <c r="C17" s="28"/>
      <c r="D17" s="29"/>
      <c r="E17" s="28"/>
      <c r="F17" s="28"/>
      <c r="G17" s="28"/>
      <c r="H17" s="28"/>
      <c r="I17" s="28"/>
      <c r="J17" s="28"/>
    </row>
    <row r="18" spans="1:11" ht="15.75" customHeight="1" x14ac:dyDescent="0.25">
      <c r="A18" s="149"/>
      <c r="B18" s="721"/>
      <c r="C18" s="721"/>
      <c r="D18" s="721"/>
      <c r="E18" s="721"/>
      <c r="F18" s="721"/>
      <c r="G18" s="721"/>
      <c r="H18" s="721"/>
      <c r="I18" s="721"/>
      <c r="J18" s="721"/>
    </row>
    <row r="19" spans="1:11" ht="15.75" customHeight="1" x14ac:dyDescent="0.2">
      <c r="A19" s="144"/>
      <c r="B19" s="722" t="s">
        <v>0</v>
      </c>
      <c r="C19" s="723"/>
      <c r="D19" s="723"/>
      <c r="E19" s="722" t="s">
        <v>1</v>
      </c>
      <c r="F19" s="723"/>
      <c r="G19" s="724"/>
      <c r="H19" s="723" t="s">
        <v>2</v>
      </c>
      <c r="I19" s="723"/>
      <c r="J19" s="724"/>
    </row>
    <row r="20" spans="1:11" ht="15.75" customHeight="1" x14ac:dyDescent="0.2">
      <c r="A20" s="140" t="s">
        <v>5</v>
      </c>
      <c r="B20" s="20" t="s">
        <v>413</v>
      </c>
      <c r="C20" s="20" t="s">
        <v>414</v>
      </c>
      <c r="D20" s="252" t="s">
        <v>3</v>
      </c>
      <c r="E20" s="20" t="s">
        <v>413</v>
      </c>
      <c r="F20" s="20" t="s">
        <v>414</v>
      </c>
      <c r="G20" s="252" t="s">
        <v>3</v>
      </c>
      <c r="H20" s="20" t="s">
        <v>413</v>
      </c>
      <c r="I20" s="20" t="s">
        <v>414</v>
      </c>
      <c r="J20" s="252" t="s">
        <v>3</v>
      </c>
    </row>
    <row r="21" spans="1:11" ht="15.75" customHeight="1" x14ac:dyDescent="0.2">
      <c r="A21" s="643"/>
      <c r="B21" s="15"/>
      <c r="C21" s="15"/>
      <c r="D21" s="17" t="s">
        <v>4</v>
      </c>
      <c r="E21" s="16"/>
      <c r="F21" s="16"/>
      <c r="G21" s="15" t="s">
        <v>4</v>
      </c>
      <c r="H21" s="16"/>
      <c r="I21" s="16"/>
      <c r="J21" s="15" t="s">
        <v>4</v>
      </c>
    </row>
    <row r="22" spans="1:11" s="43" customFormat="1" ht="15.75" customHeight="1" x14ac:dyDescent="0.2">
      <c r="A22" s="14" t="s">
        <v>23</v>
      </c>
      <c r="B22" s="237">
        <f>'ACE European Group'!B22+'Danica Pensjonsforsikring'!B22+'DNB Livsforsikring'!B22+'Eika Forsikring AS'!B22+'Frende Livsforsikring'!B22+'Frende Skadeforsikring'!B22+'Gjensidige Forsikring'!B22+'Gjensidige Pensjon'!B22+'Handelsbanken Liv'!B22+'If Skadeforsikring NUF'!B22+KLP!B22+'KLP Bedriftspensjon AS'!B22+'KLP Skadeforsikring AS'!B22+'Landbruksforsikring AS'!B22+'NEMI Forsikring'!B22+'Nordea Liv '!B22+'Oslo Pensjonsforsikring'!B22+'Protector Forsikring'!B22+'SHB Liv'!B22+'Sparebank 1'!B22+'Storebrand Livsforsikring'!B22+'Telenor Forsikring'!B22+'Tryg Forsikring'!B22</f>
        <v>1319445.7121585142</v>
      </c>
      <c r="C22" s="237">
        <f>'ACE European Group'!C22+'Danica Pensjonsforsikring'!C22+'DNB Livsforsikring'!C22+'Eika Forsikring AS'!C22+'Frende Livsforsikring'!C22+'Frende Skadeforsikring'!C22+'Gjensidige Forsikring'!C22+'Gjensidige Pensjon'!C22+'Handelsbanken Liv'!C22+'If Skadeforsikring NUF'!C22+KLP!C22+'KLP Bedriftspensjon AS'!C22+'KLP Skadeforsikring AS'!C22+'Landbruksforsikring AS'!C22+'NEMI Forsikring'!C22+'Nordea Liv '!C22+'Oslo Pensjonsforsikring'!C22+'Protector Forsikring'!C22+'SHB Liv'!C22+'Sparebank 1'!C22+'Storebrand Livsforsikring'!C22+'Telenor Forsikring'!C22+'Tryg Forsikring'!C22</f>
        <v>1200599.7574867592</v>
      </c>
      <c r="D22" s="11">
        <f t="shared" ref="D22:D39" si="5">IF(B22=0, "    ---- ", IF(ABS(ROUND(100/B22*C22-100,1))&lt;999,ROUND(100/B22*C22-100,1),IF(ROUND(100/B22*C22-100,1)&gt;999,999,-999)))</f>
        <v>-9</v>
      </c>
      <c r="E22" s="237">
        <f>'ACE European Group'!F22+'Danica Pensjonsforsikring'!F22+'DNB Livsforsikring'!F22+'Eika Forsikring AS'!F22+'Frende Livsforsikring'!F22+'Frende Skadeforsikring'!F22+'Gjensidige Forsikring'!F22+'Gjensidige Pensjon'!F22+'Handelsbanken Liv'!F22+'If Skadeforsikring NUF'!F22+KLP!F22+'KLP Bedriftspensjon AS'!F22+'KLP Skadeforsikring AS'!F22+'Landbruksforsikring AS'!F22+'NEMI Forsikring'!F22+'Nordea Liv '!F22+'Oslo Pensjonsforsikring'!F22+'Protector Forsikring'!F22+'SHB Liv'!F22+'Sparebank 1'!F22+'Storebrand Livsforsikring'!F22+'Telenor Forsikring'!F22+'Tryg Forsikring'!F22</f>
        <v>277737.84161</v>
      </c>
      <c r="F22" s="311">
        <f>'ACE European Group'!G22+'Danica Pensjonsforsikring'!G22+'DNB Livsforsikring'!G22+'Eika Forsikring AS'!G22+'Frende Livsforsikring'!G22+'Frende Skadeforsikring'!G22+'Gjensidige Forsikring'!G22+'Gjensidige Pensjon'!G22+'Handelsbanken Liv'!G22+'If Skadeforsikring NUF'!G22+KLP!G22+'KLP Bedriftspensjon AS'!G22+'KLP Skadeforsikring AS'!G22+'Landbruksforsikring AS'!G22+'NEMI Forsikring'!G22+'Nordea Liv '!G22+'Oslo Pensjonsforsikring'!G22+'Protector Forsikring'!G22+'SHB Liv'!G22+'Sparebank 1'!G22+'Storebrand Livsforsikring'!G22+'Telenor Forsikring'!G22+'Tryg Forsikring'!G22</f>
        <v>771565.28350999998</v>
      </c>
      <c r="G22" s="354">
        <f t="shared" ref="G22:G35" si="6">IF(E22=0, "    ---- ", IF(ABS(ROUND(100/E22*F22-100,1))&lt;999,ROUND(100/E22*F22-100,1),IF(ROUND(100/E22*F22-100,1)&gt;999,999,-999)))</f>
        <v>177.8</v>
      </c>
      <c r="H22" s="311">
        <f>SUM(B22,E22)</f>
        <v>1597183.5537685142</v>
      </c>
      <c r="I22" s="237">
        <f t="shared" ref="I22:I39" si="7">SUM(C22,F22)</f>
        <v>1972165.0409967592</v>
      </c>
      <c r="J22" s="24">
        <f t="shared" ref="J22:J39" si="8">IF(H22=0, "    ---- ", IF(ABS(ROUND(100/H22*I22-100,1))&lt;999,ROUND(100/H22*I22-100,1),IF(ROUND(100/H22*I22-100,1)&gt;999,999,-999)))</f>
        <v>23.5</v>
      </c>
    </row>
    <row r="23" spans="1:11" ht="15.75" customHeight="1" x14ac:dyDescent="0.2">
      <c r="A23" s="621" t="s">
        <v>379</v>
      </c>
      <c r="B23" s="44">
        <f>'ACE European Group'!B23+'Danica Pensjonsforsikring'!B23+'DNB Livsforsikring'!B23+'Eika Forsikring AS'!B23+'Frende Livsforsikring'!B23+'Frende Skadeforsikring'!B23+'Gjensidige Forsikring'!B23+'Gjensidige Pensjon'!B23+'Handelsbanken Liv'!B23+'If Skadeforsikring NUF'!B23+KLP!B23+'KLP Bedriftspensjon AS'!B23+'KLP Skadeforsikring AS'!B23+'Landbruksforsikring AS'!B23+'NEMI Forsikring'!B23+'Nordea Liv '!B23+'Oslo Pensjonsforsikring'!B23+'Protector Forsikring'!B23+'SHB Liv'!B23+'Sparebank 1'!B23+'Storebrand Livsforsikring'!B23+'Telenor Forsikring'!B23+'Tryg Forsikring'!B23</f>
        <v>0</v>
      </c>
      <c r="C23" s="44">
        <f>'ACE European Group'!C23+'Danica Pensjonsforsikring'!C23+'DNB Livsforsikring'!C23+'Eika Forsikring AS'!C23+'Frende Livsforsikring'!C23+'Frende Skadeforsikring'!C23+'Gjensidige Forsikring'!C23+'Gjensidige Pensjon'!C23+'Handelsbanken Liv'!C23+'If Skadeforsikring NUF'!C23+KLP!C23+'KLP Bedriftspensjon AS'!C23+'KLP Skadeforsikring AS'!C23+'Landbruksforsikring AS'!C23+'NEMI Forsikring'!C23+'Nordea Liv '!C23+'Oslo Pensjonsforsikring'!C23+'Protector Forsikring'!C23+'SHB Liv'!C23+'Sparebank 1'!C23+'Storebrand Livsforsikring'!C23+'Telenor Forsikring'!C23+'Tryg Forsikring'!C23</f>
        <v>874113.30890388903</v>
      </c>
      <c r="D23" s="27" t="str">
        <f>IF($A$1=4,IF(B23=0, "    ---- ", IF(ABS(ROUND(100/B23*C23-100,1))&lt;999,ROUND(100/B23*C23-100,1),IF(ROUND(100/B23*C23-100,1)&gt;999,999,-999))),"")</f>
        <v xml:space="preserve">    ---- </v>
      </c>
      <c r="E23" s="44">
        <f>'ACE European Group'!F23+'Danica Pensjonsforsikring'!F23+'DNB Livsforsikring'!F23+'Eika Forsikring AS'!F23+'Frende Livsforsikring'!F23+'Frende Skadeforsikring'!F23+'Gjensidige Forsikring'!F23+'Gjensidige Pensjon'!F23+'Handelsbanken Liv'!F23+'If Skadeforsikring NUF'!F23+KLP!F23+'KLP Bedriftspensjon AS'!F23+'KLP Skadeforsikring AS'!F23+'Landbruksforsikring AS'!F23+'NEMI Forsikring'!F23+'Nordea Liv '!F23+'Oslo Pensjonsforsikring'!F23+'Protector Forsikring'!F23+'SHB Liv'!F23+'Sparebank 1'!F23+'Storebrand Livsforsikring'!F23+'Telenor Forsikring'!F23+'Tryg Forsikring'!F23</f>
        <v>0</v>
      </c>
      <c r="F23" s="44">
        <f>'ACE European Group'!G23+'Danica Pensjonsforsikring'!G23+'DNB Livsforsikring'!G23+'Eika Forsikring AS'!G23+'Frende Livsforsikring'!G23+'Frende Skadeforsikring'!G23+'Gjensidige Forsikring'!G23+'Gjensidige Pensjon'!G23+'Handelsbanken Liv'!G23+'If Skadeforsikring NUF'!G23+KLP!G23+'KLP Bedriftspensjon AS'!G23+'KLP Skadeforsikring AS'!G23+'Landbruksforsikring AS'!G23+'NEMI Forsikring'!G23+'Nordea Liv '!G23+'Oslo Pensjonsforsikring'!G23+'Protector Forsikring'!G23+'SHB Liv'!G23+'Sparebank 1'!G23+'Storebrand Livsforsikring'!G23+'Telenor Forsikring'!G23+'Tryg Forsikring'!G23</f>
        <v>126752.18725</v>
      </c>
      <c r="G23" s="166" t="str">
        <f>IF($A$1=4,IF(E23=0, "    ---- ", IF(ABS(ROUND(100/E23*F23-100,1))&lt;999,ROUND(100/E23*F23-100,1),IF(ROUND(100/E23*F23-100,1)&gt;999,999,-999))),"")</f>
        <v xml:space="preserve">    ---- </v>
      </c>
      <c r="H23" s="235">
        <f t="shared" ref="H23:H39" si="9">SUM(B23,E23)</f>
        <v>0</v>
      </c>
      <c r="I23" s="44">
        <f t="shared" si="7"/>
        <v>1000865.496153889</v>
      </c>
      <c r="J23" s="23" t="str">
        <f t="shared" si="8"/>
        <v xml:space="preserve">    ---- </v>
      </c>
    </row>
    <row r="24" spans="1:11" ht="15.75" customHeight="1" x14ac:dyDescent="0.2">
      <c r="A24" s="621" t="s">
        <v>380</v>
      </c>
      <c r="B24" s="44">
        <f>'ACE European Group'!B24+'Danica Pensjonsforsikring'!B24+'DNB Livsforsikring'!B24+'Eika Forsikring AS'!B24+'Frende Livsforsikring'!B24+'Frende Skadeforsikring'!B24+'Gjensidige Forsikring'!B24+'Gjensidige Pensjon'!B24+'Handelsbanken Liv'!B24+'If Skadeforsikring NUF'!B24+KLP!B24+'KLP Bedriftspensjon AS'!B24+'KLP Skadeforsikring AS'!B24+'Landbruksforsikring AS'!B24+'NEMI Forsikring'!B24+'Nordea Liv '!B24+'Oslo Pensjonsforsikring'!B24+'Protector Forsikring'!B24+'SHB Liv'!B24+'Sparebank 1'!B24+'Storebrand Livsforsikring'!B24+'Telenor Forsikring'!B24+'Tryg Forsikring'!B24</f>
        <v>0</v>
      </c>
      <c r="C24" s="44">
        <f>'ACE European Group'!C24+'Danica Pensjonsforsikring'!C24+'DNB Livsforsikring'!C24+'Eika Forsikring AS'!C24+'Frende Livsforsikring'!C24+'Frende Skadeforsikring'!C24+'Gjensidige Forsikring'!C24+'Gjensidige Pensjon'!C24+'Handelsbanken Liv'!C24+'If Skadeforsikring NUF'!C24+KLP!C24+'KLP Bedriftspensjon AS'!C24+'KLP Skadeforsikring AS'!C24+'Landbruksforsikring AS'!C24+'NEMI Forsikring'!C24+'Nordea Liv '!C24+'Oslo Pensjonsforsikring'!C24+'Protector Forsikring'!C24+'SHB Liv'!C24+'Sparebank 1'!C24+'Storebrand Livsforsikring'!C24+'Telenor Forsikring'!C24+'Tryg Forsikring'!C24</f>
        <v>10597.76558287019</v>
      </c>
      <c r="D24" s="27" t="str">
        <f t="shared" ref="D24:D25" si="10">IF($A$1=4,IF(B24=0, "    ---- ", IF(ABS(ROUND(100/B24*C24-100,1))&lt;999,ROUND(100/B24*C24-100,1),IF(ROUND(100/B24*C24-100,1)&gt;999,999,-999))),"")</f>
        <v xml:space="preserve">    ---- </v>
      </c>
      <c r="E24" s="44">
        <f>'ACE European Group'!F24+'Danica Pensjonsforsikring'!F24+'DNB Livsforsikring'!F24+'Eika Forsikring AS'!F24+'Frende Livsforsikring'!F24+'Frende Skadeforsikring'!F24+'Gjensidige Forsikring'!F24+'Gjensidige Pensjon'!F24+'Handelsbanken Liv'!F24+'If Skadeforsikring NUF'!F24+KLP!F24+'KLP Bedriftspensjon AS'!F24+'KLP Skadeforsikring AS'!F24+'Landbruksforsikring AS'!F24+'NEMI Forsikring'!F24+'Nordea Liv '!F24+'Oslo Pensjonsforsikring'!F24+'Protector Forsikring'!F24+'SHB Liv'!F24+'Sparebank 1'!F24+'Storebrand Livsforsikring'!F24+'Telenor Forsikring'!F24+'Tryg Forsikring'!F24</f>
        <v>0</v>
      </c>
      <c r="F24" s="44">
        <f>'ACE European Group'!G24+'Danica Pensjonsforsikring'!G24+'DNB Livsforsikring'!G24+'Eika Forsikring AS'!G24+'Frende Livsforsikring'!G24+'Frende Skadeforsikring'!G24+'Gjensidige Forsikring'!G24+'Gjensidige Pensjon'!G24+'Handelsbanken Liv'!G24+'If Skadeforsikring NUF'!G24+KLP!G24+'KLP Bedriftspensjon AS'!G24+'KLP Skadeforsikring AS'!G24+'Landbruksforsikring AS'!G24+'NEMI Forsikring'!G24+'Nordea Liv '!G24+'Oslo Pensjonsforsikring'!G24+'Protector Forsikring'!G24+'SHB Liv'!G24+'Sparebank 1'!G24+'Storebrand Livsforsikring'!G24+'Telenor Forsikring'!G24+'Tryg Forsikring'!G24</f>
        <v>25.064235439999997</v>
      </c>
      <c r="G24" s="166" t="str">
        <f t="shared" ref="G24:G25" si="11">IF($A$1=4,IF(E24=0, "    ---- ", IF(ABS(ROUND(100/E24*F24-100,1))&lt;999,ROUND(100/E24*F24-100,1),IF(ROUND(100/E24*F24-100,1)&gt;999,999,-999))),"")</f>
        <v xml:space="preserve">    ---- </v>
      </c>
      <c r="H24" s="235">
        <f t="shared" si="9"/>
        <v>0</v>
      </c>
      <c r="I24" s="44">
        <f t="shared" si="7"/>
        <v>10622.829818310191</v>
      </c>
      <c r="J24" s="11" t="str">
        <f t="shared" si="8"/>
        <v xml:space="preserve">    ---- </v>
      </c>
    </row>
    <row r="25" spans="1:11" ht="15.75" customHeight="1" x14ac:dyDescent="0.2">
      <c r="A25" s="621" t="s">
        <v>381</v>
      </c>
      <c r="B25" s="44">
        <f>'ACE European Group'!B25+'Danica Pensjonsforsikring'!B25+'DNB Livsforsikring'!B25+'Eika Forsikring AS'!B25+'Frende Livsforsikring'!B25+'Frende Skadeforsikring'!B25+'Gjensidige Forsikring'!B25+'Gjensidige Pensjon'!B25+'Handelsbanken Liv'!B25+'If Skadeforsikring NUF'!B25+KLP!B25+'KLP Bedriftspensjon AS'!B25+'KLP Skadeforsikring AS'!B25+'Landbruksforsikring AS'!B25+'NEMI Forsikring'!B25+'Nordea Liv '!B25+'Oslo Pensjonsforsikring'!B25+'Protector Forsikring'!B25+'SHB Liv'!B25+'Sparebank 1'!B25+'Storebrand Livsforsikring'!B25+'Telenor Forsikring'!B25+'Tryg Forsikring'!B25</f>
        <v>0</v>
      </c>
      <c r="C25" s="44">
        <f>'ACE European Group'!C25+'Danica Pensjonsforsikring'!C25+'DNB Livsforsikring'!C25+'Eika Forsikring AS'!C25+'Frende Livsforsikring'!C25+'Frende Skadeforsikring'!C25+'Gjensidige Forsikring'!C25+'Gjensidige Pensjon'!C25+'Handelsbanken Liv'!C25+'If Skadeforsikring NUF'!C25+KLP!C25+'KLP Bedriftspensjon AS'!C25+'KLP Skadeforsikring AS'!C25+'Landbruksforsikring AS'!C25+'NEMI Forsikring'!C25+'Nordea Liv '!C25+'Oslo Pensjonsforsikring'!C25+'Protector Forsikring'!C25+'SHB Liv'!C25+'Sparebank 1'!C25+'Storebrand Livsforsikring'!C25+'Telenor Forsikring'!C25+'Tryg Forsikring'!C25</f>
        <v>24642</v>
      </c>
      <c r="D25" s="27" t="str">
        <f t="shared" si="10"/>
        <v xml:space="preserve">    ---- </v>
      </c>
      <c r="E25" s="44">
        <f>'ACE European Group'!F25+'Danica Pensjonsforsikring'!F25+'DNB Livsforsikring'!F25+'Eika Forsikring AS'!F25+'Frende Livsforsikring'!F25+'Frende Skadeforsikring'!F25+'Gjensidige Forsikring'!F25+'Gjensidige Pensjon'!F25+'Handelsbanken Liv'!F25+'If Skadeforsikring NUF'!F25+KLP!F25+'KLP Bedriftspensjon AS'!F25+'KLP Skadeforsikring AS'!F25+'Landbruksforsikring AS'!F25+'NEMI Forsikring'!F25+'Nordea Liv '!F25+'Oslo Pensjonsforsikring'!F25+'Protector Forsikring'!F25+'SHB Liv'!F25+'Sparebank 1'!F25+'Storebrand Livsforsikring'!F25+'Telenor Forsikring'!F25+'Tryg Forsikring'!F25</f>
        <v>0</v>
      </c>
      <c r="F25" s="44">
        <f>'ACE European Group'!G25+'Danica Pensjonsforsikring'!G25+'DNB Livsforsikring'!G25+'Eika Forsikring AS'!G25+'Frende Livsforsikring'!G25+'Frende Skadeforsikring'!G25+'Gjensidige Forsikring'!G25+'Gjensidige Pensjon'!G25+'Handelsbanken Liv'!G25+'If Skadeforsikring NUF'!G25+KLP!G25+'KLP Bedriftspensjon AS'!G25+'KLP Skadeforsikring AS'!G25+'Landbruksforsikring AS'!G25+'NEMI Forsikring'!G25+'Nordea Liv '!G25+'Oslo Pensjonsforsikring'!G25+'Protector Forsikring'!G25+'SHB Liv'!G25+'Sparebank 1'!G25+'Storebrand Livsforsikring'!G25+'Telenor Forsikring'!G25+'Tryg Forsikring'!G25</f>
        <v>92611.323260000005</v>
      </c>
      <c r="G25" s="166" t="str">
        <f t="shared" si="11"/>
        <v xml:space="preserve">    ---- </v>
      </c>
      <c r="H25" s="235">
        <f t="shared" si="9"/>
        <v>0</v>
      </c>
      <c r="I25" s="44">
        <f t="shared" si="7"/>
        <v>117253.32326</v>
      </c>
      <c r="J25" s="27" t="str">
        <f t="shared" si="8"/>
        <v xml:space="preserve">    ---- </v>
      </c>
    </row>
    <row r="26" spans="1:11" ht="15.75" customHeight="1" x14ac:dyDescent="0.2">
      <c r="A26" s="621" t="s">
        <v>382</v>
      </c>
      <c r="B26" s="44"/>
      <c r="C26" s="44">
        <f>'ACE European Group'!C26+'Danica Pensjonsforsikring'!C26+'DNB Livsforsikring'!C26+'Eika Forsikring AS'!C26+'Frende Livsforsikring'!C26+'Frende Skadeforsikring'!C26+'Gjensidige Forsikring'!C26+'Gjensidige Pensjon'!C26+'Handelsbanken Liv'!C26+'If Skadeforsikring NUF'!C26+KLP!C26+'KLP Bedriftspensjon AS'!C26+'KLP Skadeforsikring AS'!C26+'Landbruksforsikring AS'!C26+'NEMI Forsikring'!C26+'Nordea Liv '!C26+'Oslo Pensjonsforsikring'!C26+'Protector Forsikring'!C26+'SHB Liv'!C26+'Sparebank 1'!C26+'Storebrand Livsforsikring'!C26+'Telenor Forsikring'!C26+'Tryg Forsikring'!C26</f>
        <v>0</v>
      </c>
      <c r="D26" s="27"/>
      <c r="E26" s="44"/>
      <c r="F26" s="44">
        <f>'ACE European Group'!G26+'Danica Pensjonsforsikring'!G26+'DNB Livsforsikring'!G26+'Eika Forsikring AS'!G26+'Frende Livsforsikring'!G26+'Frende Skadeforsikring'!G26+'Gjensidige Forsikring'!G26+'Gjensidige Pensjon'!G26+'Handelsbanken Liv'!G26+'If Skadeforsikring NUF'!G26+KLP!G26+'KLP Bedriftspensjon AS'!G26+'KLP Skadeforsikring AS'!G26+'Landbruksforsikring AS'!G26+'NEMI Forsikring'!G26+'Nordea Liv '!G26+'Oslo Pensjonsforsikring'!G26+'Protector Forsikring'!G26+'SHB Liv'!G26+'Sparebank 1'!G26+'Storebrand Livsforsikring'!G26+'Telenor Forsikring'!G26+'Tryg Forsikring'!G26</f>
        <v>552176.78601000004</v>
      </c>
      <c r="G26" s="166" t="str">
        <f t="shared" ref="G26" si="12">IF($A$1=4,IF(E26=0, "    ---- ", IF(ABS(ROUND(100/E26*F26-100,1))&lt;999,ROUND(100/E26*F26-100,1),IF(ROUND(100/E26*F26-100,1)&gt;999,999,-999))),"")</f>
        <v xml:space="preserve">    ---- </v>
      </c>
      <c r="H26" s="235">
        <f t="shared" ref="H26" si="13">SUM(B26,E26)</f>
        <v>0</v>
      </c>
      <c r="I26" s="44">
        <f t="shared" ref="I26" si="14">SUM(C26,F26)</f>
        <v>552176.78601000004</v>
      </c>
      <c r="J26" s="27" t="str">
        <f t="shared" ref="J26" si="15">IF(H26=0, "    ---- ", IF(ABS(ROUND(100/H26*I26-100,1))&lt;999,ROUND(100/H26*I26-100,1),IF(ROUND(100/H26*I26-100,1)&gt;999,999,-999)))</f>
        <v xml:space="preserve">    ---- </v>
      </c>
    </row>
    <row r="27" spans="1:11" ht="15.75" customHeight="1" x14ac:dyDescent="0.2">
      <c r="A27" s="619" t="s">
        <v>11</v>
      </c>
      <c r="B27" s="44">
        <f>'ACE European Group'!B27+'Danica Pensjonsforsikring'!B27+'DNB Livsforsikring'!B27+'Eika Forsikring AS'!B27+'Frende Livsforsikring'!B27+'Frende Skadeforsikring'!B27+'Gjensidige Forsikring'!B27+'Gjensidige Pensjon'!B27+'Handelsbanken Liv'!B27+'If Skadeforsikring NUF'!B27+KLP!B27+'KLP Bedriftspensjon AS'!B27+'KLP Skadeforsikring AS'!B27+'Landbruksforsikring AS'!B27+'NEMI Forsikring'!B27+'Nordea Liv '!B27+'Oslo Pensjonsforsikring'!B27+'Protector Forsikring'!B27+'SHB Liv'!B27+'Sparebank 1'!B27+'Storebrand Livsforsikring'!B27+'Telenor Forsikring'!B27+'Tryg Forsikring'!B27</f>
        <v>0</v>
      </c>
      <c r="C27" s="44">
        <f>'ACE European Group'!C27+'Danica Pensjonsforsikring'!C27+'DNB Livsforsikring'!C27+'Eika Forsikring AS'!C27+'Frende Livsforsikring'!C27+'Frende Skadeforsikring'!C27+'Gjensidige Forsikring'!C27+'Gjensidige Pensjon'!C27+'Handelsbanken Liv'!C27+'If Skadeforsikring NUF'!C27+KLP!C27+'KLP Bedriftspensjon AS'!C27+'KLP Skadeforsikring AS'!C27+'Landbruksforsikring AS'!C27+'NEMI Forsikring'!C27+'Nordea Liv '!C27+'Oslo Pensjonsforsikring'!C27+'Protector Forsikring'!C27+'SHB Liv'!C27+'Sparebank 1'!C27+'Storebrand Livsforsikring'!C27+'Telenor Forsikring'!C27+'Tryg Forsikring'!C27</f>
        <v>0</v>
      </c>
      <c r="D27" s="27"/>
      <c r="E27" s="44">
        <f>'ACE European Group'!F27+'Danica Pensjonsforsikring'!F27+'DNB Livsforsikring'!F27+'Eika Forsikring AS'!F27+'Frende Livsforsikring'!F27+'Frende Skadeforsikring'!F27+'Gjensidige Forsikring'!F27+'Gjensidige Pensjon'!F27+'Handelsbanken Liv'!F27+'If Skadeforsikring NUF'!F27+KLP!F27+'KLP Bedriftspensjon AS'!F27+'KLP Skadeforsikring AS'!F27+'Landbruksforsikring AS'!F27+'NEMI Forsikring'!F27+'Nordea Liv '!F27+'Oslo Pensjonsforsikring'!F27+'Protector Forsikring'!F27+'SHB Liv'!F27+'Sparebank 1'!F27+'Storebrand Livsforsikring'!F27+'Telenor Forsikring'!F27+'Tryg Forsikring'!F27</f>
        <v>0</v>
      </c>
      <c r="F27" s="44">
        <f>'ACE European Group'!G27+'Danica Pensjonsforsikring'!G27+'DNB Livsforsikring'!G27+'Eika Forsikring AS'!G27+'Frende Livsforsikring'!G27+'Frende Skadeforsikring'!G27+'Gjensidige Forsikring'!G27+'Gjensidige Pensjon'!G27+'Handelsbanken Liv'!G27+'If Skadeforsikring NUF'!G27+KLP!G27+'KLP Bedriftspensjon AS'!G27+'KLP Skadeforsikring AS'!G27+'Landbruksforsikring AS'!G27+'NEMI Forsikring'!G27+'Nordea Liv '!G27+'Oslo Pensjonsforsikring'!G27+'Protector Forsikring'!G27+'SHB Liv'!G27+'Sparebank 1'!G27+'Storebrand Livsforsikring'!G27+'Telenor Forsikring'!G27+'Tryg Forsikring'!G27</f>
        <v>0</v>
      </c>
      <c r="G27" s="166"/>
      <c r="H27" s="235">
        <f t="shared" si="9"/>
        <v>0</v>
      </c>
      <c r="I27" s="44">
        <f t="shared" si="7"/>
        <v>0</v>
      </c>
      <c r="J27" s="27"/>
    </row>
    <row r="28" spans="1:11" ht="15.75" customHeight="1" x14ac:dyDescent="0.2">
      <c r="A28" s="49" t="s">
        <v>287</v>
      </c>
      <c r="B28" s="44">
        <f>'ACE European Group'!B28+'Danica Pensjonsforsikring'!B28+'DNB Livsforsikring'!B28+'Eika Forsikring AS'!B28+'Frende Livsforsikring'!B28+'Frende Skadeforsikring'!B28+'Gjensidige Forsikring'!B28+'Gjensidige Pensjon'!B28+'Handelsbanken Liv'!B28+'If Skadeforsikring NUF'!B28+KLP!B28+'KLP Bedriftspensjon AS'!B28+'KLP Skadeforsikring AS'!B28+'Landbruksforsikring AS'!B28+'NEMI Forsikring'!B28+'Nordea Liv '!B28+'Oslo Pensjonsforsikring'!B28+'Protector Forsikring'!B28+'SHB Liv'!B28+'Sparebank 1'!B28+'Storebrand Livsforsikring'!B28+'Telenor Forsikring'!B28+'Tryg Forsikring'!B28</f>
        <v>1328267.5722781529</v>
      </c>
      <c r="C28" s="44">
        <f>'ACE European Group'!C28+'Danica Pensjonsforsikring'!C28+'DNB Livsforsikring'!C28+'Eika Forsikring AS'!C28+'Frende Livsforsikring'!C28+'Frende Skadeforsikring'!C28+'Gjensidige Forsikring'!C28+'Gjensidige Pensjon'!C28+'Handelsbanken Liv'!C28+'If Skadeforsikring NUF'!C28+KLP!C28+'KLP Bedriftspensjon AS'!C28+'KLP Skadeforsikring AS'!C28+'Landbruksforsikring AS'!C28+'NEMI Forsikring'!C28+'Nordea Liv '!C28+'Oslo Pensjonsforsikring'!C28+'Protector Forsikring'!C28+'SHB Liv'!C28+'Sparebank 1'!C28+'Storebrand Livsforsikring'!C28+'Telenor Forsikring'!C28+'Tryg Forsikring'!C28</f>
        <v>1430236.4066725862</v>
      </c>
      <c r="D28" s="23">
        <f t="shared" si="5"/>
        <v>7.7</v>
      </c>
      <c r="E28" s="188">
        <f>'ACE European Group'!F28+'Danica Pensjonsforsikring'!F28+'DNB Livsforsikring'!F28+'Eika Forsikring AS'!F28+'Frende Livsforsikring'!F28+'Frende Skadeforsikring'!F28+'Gjensidige Forsikring'!F28+'Gjensidige Pensjon'!F28+'Handelsbanken Liv'!F28+'If Skadeforsikring NUF'!F28+KLP!F28+'KLP Bedriftspensjon AS'!F28+'KLP Skadeforsikring AS'!F28+'Landbruksforsikring AS'!F28+'NEMI Forsikring'!F28+'Nordea Liv '!F28+'Oslo Pensjonsforsikring'!F28+'Protector Forsikring'!F28+'SHB Liv'!F28+'Sparebank 1'!F28+'Storebrand Livsforsikring'!F28+'Telenor Forsikring'!F28+'Tryg Forsikring'!F28</f>
        <v>0</v>
      </c>
      <c r="F28" s="188">
        <f>'ACE European Group'!G28+'Danica Pensjonsforsikring'!G28+'DNB Livsforsikring'!G28+'Eika Forsikring AS'!G28+'Frende Livsforsikring'!G28+'Frende Skadeforsikring'!G28+'Gjensidige Forsikring'!G28+'Gjensidige Pensjon'!G28+'Handelsbanken Liv'!G28+'If Skadeforsikring NUF'!G28+KLP!G28+'KLP Bedriftspensjon AS'!G28+'KLP Skadeforsikring AS'!G28+'Landbruksforsikring AS'!G28+'NEMI Forsikring'!G28+'Nordea Liv '!G28+'Oslo Pensjonsforsikring'!G28+'Protector Forsikring'!G28+'SHB Liv'!G28+'Sparebank 1'!G28+'Storebrand Livsforsikring'!G28+'Telenor Forsikring'!G28+'Tryg Forsikring'!G28</f>
        <v>0</v>
      </c>
      <c r="G28" s="166"/>
      <c r="H28" s="235">
        <f t="shared" si="9"/>
        <v>1328267.5722781529</v>
      </c>
      <c r="I28" s="44">
        <f>SUM(C28,F28)</f>
        <v>1430236.4066725862</v>
      </c>
      <c r="J28" s="23">
        <f t="shared" si="8"/>
        <v>7.7</v>
      </c>
      <c r="K28" s="3"/>
    </row>
    <row r="29" spans="1:11" s="424" customFormat="1" ht="15.75" customHeight="1" x14ac:dyDescent="0.2">
      <c r="A29" s="39" t="s">
        <v>383</v>
      </c>
      <c r="B29" s="237">
        <f>'ACE European Group'!B29+'Danica Pensjonsforsikring'!B29+'DNB Livsforsikring'!B29+'Eika Forsikring AS'!B29+'Frende Livsforsikring'!B29+'Frende Skadeforsikring'!B29+'Gjensidige Forsikring'!B29+'Gjensidige Pensjon'!B29+'Handelsbanken Liv'!B29+'If Skadeforsikring NUF'!B29+KLP!B29+'KLP Bedriftspensjon AS'!B29+'KLP Skadeforsikring AS'!B29+'Landbruksforsikring AS'!B29+'NEMI Forsikring'!B29+'Nordea Liv '!B29+'Oslo Pensjonsforsikring'!B29+'Protector Forsikring'!B29+'SHB Liv'!B29+'Sparebank 1'!B29+'Storebrand Livsforsikring'!B29+'Telenor Forsikring'!B29+'Tryg Forsikring'!B29</f>
        <v>51195002.404628068</v>
      </c>
      <c r="C29" s="237">
        <f>'ACE European Group'!C29+'Danica Pensjonsforsikring'!C29+'DNB Livsforsikring'!C29+'Eika Forsikring AS'!C29+'Frende Livsforsikring'!C29+'Frende Skadeforsikring'!C29+'Gjensidige Forsikring'!C29+'Gjensidige Pensjon'!C29+'Handelsbanken Liv'!C29+'If Skadeforsikring NUF'!C29+KLP!C29+'KLP Bedriftspensjon AS'!C29+'KLP Skadeforsikring AS'!C29+'Landbruksforsikring AS'!C29+'NEMI Forsikring'!C29+'Nordea Liv '!C29+'Oslo Pensjonsforsikring'!C29+'Protector Forsikring'!C29+'SHB Liv'!C29+'Sparebank 1'!C29+'Storebrand Livsforsikring'!C29+'Telenor Forsikring'!C29+'Tryg Forsikring'!C29</f>
        <v>48187169.287810005</v>
      </c>
      <c r="D29" s="24">
        <f t="shared" si="5"/>
        <v>-5.9</v>
      </c>
      <c r="E29" s="311">
        <f>'ACE European Group'!F29+'Danica Pensjonsforsikring'!F29+'DNB Livsforsikring'!F29+'Eika Forsikring AS'!F29+'Frende Livsforsikring'!F29+'Frende Skadeforsikring'!F29+'Gjensidige Forsikring'!F29+'Gjensidige Pensjon'!F29+'Handelsbanken Liv'!F29+'If Skadeforsikring NUF'!F29+KLP!F29+'KLP Bedriftspensjon AS'!F29+'KLP Skadeforsikring AS'!F29+'Landbruksforsikring AS'!F29+'NEMI Forsikring'!F29+'Nordea Liv '!F29+'Oslo Pensjonsforsikring'!F29+'Protector Forsikring'!F29+'SHB Liv'!F29+'Sparebank 1'!F29+'Storebrand Livsforsikring'!F29+'Telenor Forsikring'!F29+'Tryg Forsikring'!F29</f>
        <v>19537815.335500002</v>
      </c>
      <c r="F29" s="311">
        <f>'ACE European Group'!G29+'Danica Pensjonsforsikring'!G29+'DNB Livsforsikring'!G29+'Eika Forsikring AS'!G29+'Frende Livsforsikring'!G29+'Frende Skadeforsikring'!G29+'Gjensidige Forsikring'!G29+'Gjensidige Pensjon'!G29+'Handelsbanken Liv'!G29+'If Skadeforsikring NUF'!G29+KLP!G29+'KLP Bedriftspensjon AS'!G29+'KLP Skadeforsikring AS'!G29+'Landbruksforsikring AS'!G29+'NEMI Forsikring'!G29+'Nordea Liv '!G29+'Oslo Pensjonsforsikring'!G29+'Protector Forsikring'!G29+'SHB Liv'!G29+'Sparebank 1'!G29+'Storebrand Livsforsikring'!G29+'Telenor Forsikring'!G29+'Tryg Forsikring'!G29</f>
        <v>20599448.362949997</v>
      </c>
      <c r="G29" s="171">
        <f t="shared" si="6"/>
        <v>5.4</v>
      </c>
      <c r="H29" s="311">
        <f t="shared" si="9"/>
        <v>70732817.74012807</v>
      </c>
      <c r="I29" s="237">
        <f t="shared" si="7"/>
        <v>68786617.650759995</v>
      </c>
      <c r="J29" s="24">
        <f t="shared" si="8"/>
        <v>-2.8</v>
      </c>
    </row>
    <row r="30" spans="1:11" s="3" customFormat="1" ht="15.75" customHeight="1" x14ac:dyDescent="0.2">
      <c r="A30" s="621" t="s">
        <v>379</v>
      </c>
      <c r="B30" s="44">
        <f>'ACE European Group'!B30+'Danica Pensjonsforsikring'!B30+'DNB Livsforsikring'!B30+'Eika Forsikring AS'!B30+'Frende Livsforsikring'!B30+'Frende Skadeforsikring'!B30+'Gjensidige Forsikring'!B30+'Gjensidige Pensjon'!B30+'Handelsbanken Liv'!B30+'If Skadeforsikring NUF'!B30+KLP!B30+'KLP Bedriftspensjon AS'!B30+'KLP Skadeforsikring AS'!B30+'Landbruksforsikring AS'!B30+'NEMI Forsikring'!B30+'Nordea Liv '!B30+'Oslo Pensjonsforsikring'!B30+'Protector Forsikring'!B30+'SHB Liv'!B30+'Sparebank 1'!B30+'Storebrand Livsforsikring'!B30+'Telenor Forsikring'!B30+'Tryg Forsikring'!B30</f>
        <v>0</v>
      </c>
      <c r="C30" s="44">
        <f>'ACE European Group'!C30+'Danica Pensjonsforsikring'!C30+'DNB Livsforsikring'!C30+'Eika Forsikring AS'!C30+'Frende Livsforsikring'!C30+'Frende Skadeforsikring'!C30+'Gjensidige Forsikring'!C30+'Gjensidige Pensjon'!C30+'Handelsbanken Liv'!C30+'If Skadeforsikring NUF'!C30+KLP!C30+'KLP Bedriftspensjon AS'!C30+'KLP Skadeforsikring AS'!C30+'Landbruksforsikring AS'!C30+'NEMI Forsikring'!C30+'Nordea Liv '!C30+'Oslo Pensjonsforsikring'!C30+'Protector Forsikring'!C30+'SHB Liv'!C30+'Sparebank 1'!C30+'Storebrand Livsforsikring'!C30+'Telenor Forsikring'!C30+'Tryg Forsikring'!C30</f>
        <v>13215959.22284</v>
      </c>
      <c r="D30" s="27" t="str">
        <f t="shared" ref="D30:D32" si="16">IF($A$1=4,IF(B30=0, "    ---- ", IF(ABS(ROUND(100/B30*C30-100,1))&lt;999,ROUND(100/B30*C30-100,1),IF(ROUND(100/B30*C30-100,1)&gt;999,999,-999))),"")</f>
        <v xml:space="preserve">    ---- </v>
      </c>
      <c r="E30" s="44">
        <f>'ACE European Group'!F30+'Danica Pensjonsforsikring'!F30+'DNB Livsforsikring'!F30+'Eika Forsikring AS'!F30+'Frende Livsforsikring'!F30+'Frende Skadeforsikring'!F30+'Gjensidige Forsikring'!F30+'Gjensidige Pensjon'!F30+'Handelsbanken Liv'!F30+'If Skadeforsikring NUF'!F30+KLP!F30+'KLP Bedriftspensjon AS'!F30+'KLP Skadeforsikring AS'!F30+'Landbruksforsikring AS'!F30+'NEMI Forsikring'!F30+'Nordea Liv '!F30+'Oslo Pensjonsforsikring'!F30+'Protector Forsikring'!F30+'SHB Liv'!F30+'Sparebank 1'!F30+'Storebrand Livsforsikring'!F30+'Telenor Forsikring'!F30+'Tryg Forsikring'!F30</f>
        <v>0</v>
      </c>
      <c r="F30" s="44">
        <f>'ACE European Group'!G30+'Danica Pensjonsforsikring'!G30+'DNB Livsforsikring'!G30+'Eika Forsikring AS'!G30+'Frende Livsforsikring'!G30+'Frende Skadeforsikring'!G30+'Gjensidige Forsikring'!G30+'Gjensidige Pensjon'!G30+'Handelsbanken Liv'!G30+'If Skadeforsikring NUF'!G30+KLP!G30+'KLP Bedriftspensjon AS'!G30+'KLP Skadeforsikring AS'!G30+'Landbruksforsikring AS'!G30+'NEMI Forsikring'!G30+'Nordea Liv '!G30+'Oslo Pensjonsforsikring'!G30+'Protector Forsikring'!G30+'SHB Liv'!G30+'Sparebank 1'!G30+'Storebrand Livsforsikring'!G30+'Telenor Forsikring'!G30+'Tryg Forsikring'!G30</f>
        <v>4409397.0905899992</v>
      </c>
      <c r="G30" s="166" t="str">
        <f t="shared" ref="G30:G32" si="17">IF($A$1=4,IF(E30=0, "    ---- ", IF(ABS(ROUND(100/E30*F30-100,1))&lt;999,ROUND(100/E30*F30-100,1),IF(ROUND(100/E30*F30-100,1)&gt;999,999,-999))),"")</f>
        <v xml:space="preserve">    ---- </v>
      </c>
      <c r="H30" s="235">
        <f t="shared" si="9"/>
        <v>0</v>
      </c>
      <c r="I30" s="44">
        <f t="shared" si="7"/>
        <v>17625356.31343</v>
      </c>
      <c r="J30" s="23" t="str">
        <f t="shared" si="8"/>
        <v xml:space="preserve">    ---- </v>
      </c>
    </row>
    <row r="31" spans="1:11" s="3" customFormat="1" ht="15.75" customHeight="1" x14ac:dyDescent="0.2">
      <c r="A31" s="621" t="s">
        <v>380</v>
      </c>
      <c r="B31" s="44">
        <f>'ACE European Group'!B31+'Danica Pensjonsforsikring'!B31+'DNB Livsforsikring'!B31+'Eika Forsikring AS'!B31+'Frende Livsforsikring'!B31+'Frende Skadeforsikring'!B31+'Gjensidige Forsikring'!B31+'Gjensidige Pensjon'!B31+'Handelsbanken Liv'!B31+'If Skadeforsikring NUF'!B31+KLP!B31+'KLP Bedriftspensjon AS'!B31+'KLP Skadeforsikring AS'!B31+'Landbruksforsikring AS'!B31+'NEMI Forsikring'!B31+'Nordea Liv '!B31+'Oslo Pensjonsforsikring'!B31+'Protector Forsikring'!B31+'SHB Liv'!B31+'Sparebank 1'!B31+'Storebrand Livsforsikring'!B31+'Telenor Forsikring'!B31+'Tryg Forsikring'!B31</f>
        <v>0</v>
      </c>
      <c r="C31" s="44">
        <f>'ACE European Group'!C31+'Danica Pensjonsforsikring'!C31+'DNB Livsforsikring'!C31+'Eika Forsikring AS'!C31+'Frende Livsforsikring'!C31+'Frende Skadeforsikring'!C31+'Gjensidige Forsikring'!C31+'Gjensidige Pensjon'!C31+'Handelsbanken Liv'!C31+'If Skadeforsikring NUF'!C31+KLP!C31+'KLP Bedriftspensjon AS'!C31+'KLP Skadeforsikring AS'!C31+'Landbruksforsikring AS'!C31+'NEMI Forsikring'!C31+'Nordea Liv '!C31+'Oslo Pensjonsforsikring'!C31+'Protector Forsikring'!C31+'SHB Liv'!C31+'Sparebank 1'!C31+'Storebrand Livsforsikring'!C31+'Telenor Forsikring'!C31+'Tryg Forsikring'!C31</f>
        <v>31004942.46297</v>
      </c>
      <c r="D31" s="27" t="str">
        <f t="shared" si="16"/>
        <v xml:space="preserve">    ---- </v>
      </c>
      <c r="E31" s="44">
        <f>'ACE European Group'!F31+'Danica Pensjonsforsikring'!F31+'DNB Livsforsikring'!F31+'Eika Forsikring AS'!F31+'Frende Livsforsikring'!F31+'Frende Skadeforsikring'!F31+'Gjensidige Forsikring'!F31+'Gjensidige Pensjon'!F31+'Handelsbanken Liv'!F31+'If Skadeforsikring NUF'!F31+KLP!F31+'KLP Bedriftspensjon AS'!F31+'KLP Skadeforsikring AS'!F31+'Landbruksforsikring AS'!F31+'NEMI Forsikring'!F31+'Nordea Liv '!F31+'Oslo Pensjonsforsikring'!F31+'Protector Forsikring'!F31+'SHB Liv'!F31+'Sparebank 1'!F31+'Storebrand Livsforsikring'!F31+'Telenor Forsikring'!F31+'Tryg Forsikring'!F31</f>
        <v>0</v>
      </c>
      <c r="F31" s="44">
        <f>'ACE European Group'!G31+'Danica Pensjonsforsikring'!G31+'DNB Livsforsikring'!G31+'Eika Forsikring AS'!G31+'Frende Livsforsikring'!G31+'Frende Skadeforsikring'!G31+'Gjensidige Forsikring'!G31+'Gjensidige Pensjon'!G31+'Handelsbanken Liv'!G31+'If Skadeforsikring NUF'!G31+KLP!G31+'KLP Bedriftspensjon AS'!G31+'KLP Skadeforsikring AS'!G31+'Landbruksforsikring AS'!G31+'NEMI Forsikring'!G31+'Nordea Liv '!G31+'Oslo Pensjonsforsikring'!G31+'Protector Forsikring'!G31+'SHB Liv'!G31+'Sparebank 1'!G31+'Storebrand Livsforsikring'!G31+'Telenor Forsikring'!G31+'Tryg Forsikring'!G31</f>
        <v>10445302.511610001</v>
      </c>
      <c r="G31" s="166" t="str">
        <f t="shared" si="17"/>
        <v xml:space="preserve">    ---- </v>
      </c>
      <c r="H31" s="235">
        <f t="shared" si="9"/>
        <v>0</v>
      </c>
      <c r="I31" s="44">
        <f t="shared" si="7"/>
        <v>41450244.974580005</v>
      </c>
      <c r="J31" s="23" t="str">
        <f t="shared" si="8"/>
        <v xml:space="preserve">    ---- </v>
      </c>
    </row>
    <row r="32" spans="1:11" ht="15.75" customHeight="1" x14ac:dyDescent="0.2">
      <c r="A32" s="621" t="s">
        <v>381</v>
      </c>
      <c r="B32" s="44">
        <f>'ACE European Group'!B32+'Danica Pensjonsforsikring'!B32+'DNB Livsforsikring'!B32+'Eika Forsikring AS'!B32+'Frende Livsforsikring'!B32+'Frende Skadeforsikring'!B32+'Gjensidige Forsikring'!B32+'Gjensidige Pensjon'!B32+'Handelsbanken Liv'!B32+'If Skadeforsikring NUF'!B32+KLP!B32+'KLP Bedriftspensjon AS'!B32+'KLP Skadeforsikring AS'!B32+'Landbruksforsikring AS'!B32+'NEMI Forsikring'!B32+'Nordea Liv '!B32+'Oslo Pensjonsforsikring'!B32+'Protector Forsikring'!B32+'SHB Liv'!B32+'Sparebank 1'!B32+'Storebrand Livsforsikring'!B32+'Telenor Forsikring'!B32+'Tryg Forsikring'!B32</f>
        <v>0</v>
      </c>
      <c r="C32" s="44">
        <f>'ACE European Group'!C32+'Danica Pensjonsforsikring'!C32+'DNB Livsforsikring'!C32+'Eika Forsikring AS'!C32+'Frende Livsforsikring'!C32+'Frende Skadeforsikring'!C32+'Gjensidige Forsikring'!C32+'Gjensidige Pensjon'!C32+'Handelsbanken Liv'!C32+'If Skadeforsikring NUF'!C32+KLP!C32+'KLP Bedriftspensjon AS'!C32+'KLP Skadeforsikring AS'!C32+'Landbruksforsikring AS'!C32+'NEMI Forsikring'!C32+'Nordea Liv '!C32+'Oslo Pensjonsforsikring'!C32+'Protector Forsikring'!C32+'SHB Liv'!C32+'Sparebank 1'!C32+'Storebrand Livsforsikring'!C32+'Telenor Forsikring'!C32+'Tryg Forsikring'!C32</f>
        <v>2343443.0749999997</v>
      </c>
      <c r="D32" s="27" t="str">
        <f t="shared" si="16"/>
        <v xml:space="preserve">    ---- </v>
      </c>
      <c r="E32" s="44">
        <f>'ACE European Group'!F32+'Danica Pensjonsforsikring'!F32+'DNB Livsforsikring'!F32+'Eika Forsikring AS'!F32+'Frende Livsforsikring'!F32+'Frende Skadeforsikring'!F32+'Gjensidige Forsikring'!F32+'Gjensidige Pensjon'!F32+'Handelsbanken Liv'!F32+'If Skadeforsikring NUF'!F32+KLP!F32+'KLP Bedriftspensjon AS'!F32+'KLP Skadeforsikring AS'!F32+'Landbruksforsikring AS'!F32+'NEMI Forsikring'!F32+'Nordea Liv '!F32+'Oslo Pensjonsforsikring'!F32+'Protector Forsikring'!F32+'SHB Liv'!F32+'Sparebank 1'!F32+'Storebrand Livsforsikring'!F32+'Telenor Forsikring'!F32+'Tryg Forsikring'!F32</f>
        <v>0</v>
      </c>
      <c r="F32" s="44">
        <f>'ACE European Group'!G32+'Danica Pensjonsforsikring'!G32+'DNB Livsforsikring'!G32+'Eika Forsikring AS'!G32+'Frende Livsforsikring'!G32+'Frende Skadeforsikring'!G32+'Gjensidige Forsikring'!G32+'Gjensidige Pensjon'!G32+'Handelsbanken Liv'!G32+'If Skadeforsikring NUF'!G32+KLP!G32+'KLP Bedriftspensjon AS'!G32+'KLP Skadeforsikring AS'!G32+'Landbruksforsikring AS'!G32+'NEMI Forsikring'!G32+'Nordea Liv '!G32+'Oslo Pensjonsforsikring'!G32+'Protector Forsikring'!G32+'SHB Liv'!G32+'Sparebank 1'!G32+'Storebrand Livsforsikring'!G32+'Telenor Forsikring'!G32+'Tryg Forsikring'!G32</f>
        <v>4298185.4452899992</v>
      </c>
      <c r="G32" s="166" t="str">
        <f t="shared" si="17"/>
        <v xml:space="preserve">    ---- </v>
      </c>
      <c r="H32" s="235">
        <f t="shared" si="9"/>
        <v>0</v>
      </c>
      <c r="I32" s="44">
        <f t="shared" si="7"/>
        <v>6641628.5202899985</v>
      </c>
      <c r="J32" s="24" t="str">
        <f t="shared" si="8"/>
        <v xml:space="preserve">    ---- </v>
      </c>
    </row>
    <row r="33" spans="1:10" ht="15.75" customHeight="1" x14ac:dyDescent="0.2">
      <c r="A33" s="621" t="s">
        <v>382</v>
      </c>
      <c r="B33" s="44"/>
      <c r="C33" s="44">
        <f>'ACE European Group'!C33+'Danica Pensjonsforsikring'!C33+'DNB Livsforsikring'!C33+'Eika Forsikring AS'!C33+'Frende Livsforsikring'!C33+'Frende Skadeforsikring'!C33+'Gjensidige Forsikring'!C33+'Gjensidige Pensjon'!C33+'Handelsbanken Liv'!C33+'If Skadeforsikring NUF'!C33+KLP!C33+'KLP Bedriftspensjon AS'!C33+'KLP Skadeforsikring AS'!C33+'Landbruksforsikring AS'!C33+'NEMI Forsikring'!C33+'Nordea Liv '!C33+'Oslo Pensjonsforsikring'!C33+'Protector Forsikring'!C33+'SHB Liv'!C33+'Sparebank 1'!C33+'Storebrand Livsforsikring'!C33+'Telenor Forsikring'!C33+'Tryg Forsikring'!C33</f>
        <v>0</v>
      </c>
      <c r="D33" s="27"/>
      <c r="E33" s="44"/>
      <c r="F33" s="44">
        <f>'ACE European Group'!G33+'Danica Pensjonsforsikring'!G33+'DNB Livsforsikring'!G33+'Eika Forsikring AS'!G33+'Frende Livsforsikring'!G33+'Frende Skadeforsikring'!G33+'Gjensidige Forsikring'!G33+'Gjensidige Pensjon'!G33+'Handelsbanken Liv'!G33+'If Skadeforsikring NUF'!G33+KLP!G33+'KLP Bedriftspensjon AS'!G33+'KLP Skadeforsikring AS'!G33+'Landbruksforsikring AS'!G33+'NEMI Forsikring'!G33+'Nordea Liv '!G33+'Oslo Pensjonsforsikring'!G33+'Protector Forsikring'!G33+'SHB Liv'!G33+'Sparebank 1'!G33+'Storebrand Livsforsikring'!G33+'Telenor Forsikring'!G33+'Tryg Forsikring'!G33</f>
        <v>1446562.2144599999</v>
      </c>
      <c r="G33" s="166" t="str">
        <f t="shared" ref="G33" si="18">IF($A$1=4,IF(E33=0, "    ---- ", IF(ABS(ROUND(100/E33*F33-100,1))&lt;999,ROUND(100/E33*F33-100,1),IF(ROUND(100/E33*F33-100,1)&gt;999,999,-999))),"")</f>
        <v xml:space="preserve">    ---- </v>
      </c>
      <c r="H33" s="235">
        <f t="shared" ref="H33" si="19">SUM(B33,E33)</f>
        <v>0</v>
      </c>
      <c r="I33" s="44">
        <f t="shared" ref="I33" si="20">SUM(C33,F33)</f>
        <v>1446562.2144599999</v>
      </c>
      <c r="J33" s="24" t="str">
        <f t="shared" ref="J33" si="21">IF(H33=0, "    ---- ", IF(ABS(ROUND(100/H33*I33-100,1))&lt;999,ROUND(100/H33*I33-100,1),IF(ROUND(100/H33*I33-100,1)&gt;999,999,-999)))</f>
        <v xml:space="preserve">    ---- </v>
      </c>
    </row>
    <row r="34" spans="1:10" s="43" customFormat="1" ht="15.75" customHeight="1" x14ac:dyDescent="0.2">
      <c r="A34" s="39" t="s">
        <v>377</v>
      </c>
      <c r="B34" s="237">
        <f>'ACE European Group'!B34+'Danica Pensjonsforsikring'!B34+'DNB Livsforsikring'!B34+'Eika Forsikring AS'!B34+'Frende Livsforsikring'!B34+'Frende Skadeforsikring'!B34+'Gjensidige Forsikring'!B34+'Gjensidige Pensjon'!B34+'Handelsbanken Liv'!B34+'If Skadeforsikring NUF'!B34+KLP!B34+'KLP Bedriftspensjon AS'!B34+'KLP Skadeforsikring AS'!B34+'Landbruksforsikring AS'!B34+'NEMI Forsikring'!B34+'Nordea Liv '!B34+'Oslo Pensjonsforsikring'!B34+'Protector Forsikring'!B34+'SHB Liv'!B34+'Sparebank 1'!B34+'Storebrand Livsforsikring'!B34+'Telenor Forsikring'!B34+'Tryg Forsikring'!B34</f>
        <v>34943.284939999998</v>
      </c>
      <c r="C34" s="237">
        <f>'ACE European Group'!C34+'Danica Pensjonsforsikring'!C34+'DNB Livsforsikring'!C34+'Eika Forsikring AS'!C34+'Frende Livsforsikring'!C34+'Frende Skadeforsikring'!C34+'Gjensidige Forsikring'!C34+'Gjensidige Pensjon'!C34+'Handelsbanken Liv'!C34+'If Skadeforsikring NUF'!C34+KLP!C34+'KLP Bedriftspensjon AS'!C34+'KLP Skadeforsikring AS'!C34+'Landbruksforsikring AS'!C34+'NEMI Forsikring'!C34+'Nordea Liv '!C34+'Oslo Pensjonsforsikring'!C34+'Protector Forsikring'!C34+'SHB Liv'!C34+'Sparebank 1'!C34+'Storebrand Livsforsikring'!C34+'Telenor Forsikring'!C34+'Tryg Forsikring'!C34</f>
        <v>21214.471410000002</v>
      </c>
      <c r="D34" s="24">
        <f t="shared" si="5"/>
        <v>-39.299999999999997</v>
      </c>
      <c r="E34" s="311">
        <f>'ACE European Group'!F34+'Danica Pensjonsforsikring'!F34+'DNB Livsforsikring'!F34+'Eika Forsikring AS'!F34+'Frende Livsforsikring'!F34+'Frende Skadeforsikring'!F34+'Gjensidige Forsikring'!F34+'Gjensidige Pensjon'!F34+'Handelsbanken Liv'!F34+'If Skadeforsikring NUF'!F34+KLP!F34+'KLP Bedriftspensjon AS'!F34+'KLP Skadeforsikring AS'!F34+'Landbruksforsikring AS'!F34+'NEMI Forsikring'!F34+'Nordea Liv '!F34+'Oslo Pensjonsforsikring'!F34+'Protector Forsikring'!F34+'SHB Liv'!F34+'Sparebank 1'!F34+'Storebrand Livsforsikring'!F34+'Telenor Forsikring'!F34+'Tryg Forsikring'!F34</f>
        <v>7689.927020000001</v>
      </c>
      <c r="F34" s="311">
        <f>'ACE European Group'!G34+'Danica Pensjonsforsikring'!G34+'DNB Livsforsikring'!G34+'Eika Forsikring AS'!G34+'Frende Livsforsikring'!G34+'Frende Skadeforsikring'!G34+'Gjensidige Forsikring'!G34+'Gjensidige Pensjon'!G34+'Handelsbanken Liv'!G34+'If Skadeforsikring NUF'!G34+KLP!G34+'KLP Bedriftspensjon AS'!G34+'KLP Skadeforsikring AS'!G34+'Landbruksforsikring AS'!G34+'NEMI Forsikring'!G34+'Nordea Liv '!G34+'Oslo Pensjonsforsikring'!G34+'Protector Forsikring'!G34+'SHB Liv'!G34+'Sparebank 1'!G34+'Storebrand Livsforsikring'!G34+'Telenor Forsikring'!G34+'Tryg Forsikring'!G34</f>
        <v>50224.690560000003</v>
      </c>
      <c r="G34" s="171">
        <f t="shared" si="6"/>
        <v>553.1</v>
      </c>
      <c r="H34" s="311">
        <f t="shared" si="9"/>
        <v>42633.211960000001</v>
      </c>
      <c r="I34" s="237">
        <f t="shared" si="7"/>
        <v>71439.161970000001</v>
      </c>
      <c r="J34" s="24">
        <f t="shared" si="8"/>
        <v>67.599999999999994</v>
      </c>
    </row>
    <row r="35" spans="1:10" s="43" customFormat="1" ht="15.75" customHeight="1" x14ac:dyDescent="0.2">
      <c r="A35" s="39" t="s">
        <v>378</v>
      </c>
      <c r="B35" s="237">
        <f>'ACE European Group'!B35+'Danica Pensjonsforsikring'!B35+'DNB Livsforsikring'!B35+'Eika Forsikring AS'!B35+'Frende Livsforsikring'!B35+'Frende Skadeforsikring'!B35+'Gjensidige Forsikring'!B35+'Gjensidige Pensjon'!B35+'Handelsbanken Liv'!B35+'If Skadeforsikring NUF'!B35+KLP!B35+'KLP Bedriftspensjon AS'!B35+'KLP Skadeforsikring AS'!B35+'Landbruksforsikring AS'!B35+'NEMI Forsikring'!B35+'Nordea Liv '!B35+'Oslo Pensjonsforsikring'!B35+'Protector Forsikring'!B35+'SHB Liv'!B35+'Sparebank 1'!B35+'Storebrand Livsforsikring'!B35+'Telenor Forsikring'!B35+'Tryg Forsikring'!B35</f>
        <v>-57344.134640000004</v>
      </c>
      <c r="C35" s="237">
        <f>'ACE European Group'!C35+'Danica Pensjonsforsikring'!C35+'DNB Livsforsikring'!C35+'Eika Forsikring AS'!C35+'Frende Livsforsikring'!C35+'Frende Skadeforsikring'!C35+'Gjensidige Forsikring'!C35+'Gjensidige Pensjon'!C35+'Handelsbanken Liv'!C35+'If Skadeforsikring NUF'!C35+KLP!C35+'KLP Bedriftspensjon AS'!C35+'KLP Skadeforsikring AS'!C35+'Landbruksforsikring AS'!C35+'NEMI Forsikring'!C35+'Nordea Liv '!C35+'Oslo Pensjonsforsikring'!C35+'Protector Forsikring'!C35+'SHB Liv'!C35+'Sparebank 1'!C35+'Storebrand Livsforsikring'!C35+'Telenor Forsikring'!C35+'Tryg Forsikring'!C35</f>
        <v>-24272.818340000002</v>
      </c>
      <c r="D35" s="24">
        <f t="shared" si="5"/>
        <v>-57.7</v>
      </c>
      <c r="E35" s="311">
        <f>'ACE European Group'!F35+'Danica Pensjonsforsikring'!F35+'DNB Livsforsikring'!F35+'Eika Forsikring AS'!F35+'Frende Livsforsikring'!F35+'Frende Skadeforsikring'!F35+'Gjensidige Forsikring'!F35+'Gjensidige Pensjon'!F35+'Handelsbanken Liv'!F35+'If Skadeforsikring NUF'!F35+KLP!F35+'KLP Bedriftspensjon AS'!F35+'KLP Skadeforsikring AS'!F35+'Landbruksforsikring AS'!F35+'NEMI Forsikring'!F35+'Nordea Liv '!F35+'Oslo Pensjonsforsikring'!F35+'Protector Forsikring'!F35+'SHB Liv'!F35+'Sparebank 1'!F35+'Storebrand Livsforsikring'!F35+'Telenor Forsikring'!F35+'Tryg Forsikring'!F35</f>
        <v>82008.850169999991</v>
      </c>
      <c r="F35" s="311">
        <f>'ACE European Group'!G35+'Danica Pensjonsforsikring'!G35+'DNB Livsforsikring'!G35+'Eika Forsikring AS'!G35+'Frende Livsforsikring'!G35+'Frende Skadeforsikring'!G35+'Gjensidige Forsikring'!G35+'Gjensidige Pensjon'!G35+'Handelsbanken Liv'!G35+'If Skadeforsikring NUF'!G35+KLP!G35+'KLP Bedriftspensjon AS'!G35+'KLP Skadeforsikring AS'!G35+'Landbruksforsikring AS'!G35+'NEMI Forsikring'!G35+'Nordea Liv '!G35+'Oslo Pensjonsforsikring'!G35+'Protector Forsikring'!G35+'SHB Liv'!G35+'Sparebank 1'!G35+'Storebrand Livsforsikring'!G35+'Telenor Forsikring'!G35+'Tryg Forsikring'!G35</f>
        <v>79482.412830000001</v>
      </c>
      <c r="G35" s="171">
        <f t="shared" si="6"/>
        <v>-3.1</v>
      </c>
      <c r="H35" s="311">
        <f t="shared" si="9"/>
        <v>24664.715529999987</v>
      </c>
      <c r="I35" s="237">
        <f t="shared" si="7"/>
        <v>55209.594490000003</v>
      </c>
      <c r="J35" s="24">
        <f t="shared" si="8"/>
        <v>123.8</v>
      </c>
    </row>
    <row r="36" spans="1:10" s="43" customFormat="1" ht="15.75" customHeight="1" x14ac:dyDescent="0.2">
      <c r="A36" s="12" t="s">
        <v>295</v>
      </c>
      <c r="B36" s="237">
        <f>'ACE European Group'!B36+'Danica Pensjonsforsikring'!B36+'DNB Livsforsikring'!B36+'Eika Forsikring AS'!B36+'Frende Livsforsikring'!B36+'Frende Skadeforsikring'!B36+'Gjensidige Forsikring'!B36+'Gjensidige Pensjon'!B36+'Handelsbanken Liv'!B36+'If Skadeforsikring NUF'!B36+KLP!B36+'KLP Bedriftspensjon AS'!B36+'KLP Skadeforsikring AS'!B36+'Landbruksforsikring AS'!B36+'NEMI Forsikring'!B36+'Nordea Liv '!B36+'Oslo Pensjonsforsikring'!B36+'Protector Forsikring'!B36+'SHB Liv'!B36+'Sparebank 1'!B36+'Storebrand Livsforsikring'!B36+'Telenor Forsikring'!B36+'Tryg Forsikring'!B36</f>
        <v>3154.1660000000002</v>
      </c>
      <c r="C36" s="237">
        <f>'ACE European Group'!C36+'Danica Pensjonsforsikring'!C36+'DNB Livsforsikring'!C36+'Eika Forsikring AS'!C36+'Frende Livsforsikring'!C36+'Frende Skadeforsikring'!C36+'Gjensidige Forsikring'!C36+'Gjensidige Pensjon'!C36+'Handelsbanken Liv'!C36+'If Skadeforsikring NUF'!C36+KLP!C36+'KLP Bedriftspensjon AS'!C36+'KLP Skadeforsikring AS'!C36+'Landbruksforsikring AS'!C36+'NEMI Forsikring'!C36+'Nordea Liv '!C36+'Oslo Pensjonsforsikring'!C36+'Protector Forsikring'!C36+'SHB Liv'!C36+'Sparebank 1'!C36+'Storebrand Livsforsikring'!C36+'Telenor Forsikring'!C36+'Tryg Forsikring'!C36</f>
        <v>2910.576</v>
      </c>
      <c r="D36" s="11">
        <f t="shared" si="5"/>
        <v>-7.7</v>
      </c>
      <c r="E36" s="322">
        <f>'ACE European Group'!F36+'Danica Pensjonsforsikring'!F36+'DNB Livsforsikring'!F36+'Eika Forsikring AS'!F36+'Frende Livsforsikring'!F36+'Frende Skadeforsikring'!F36+'Gjensidige Forsikring'!F36+'Gjensidige Pensjon'!F36+'Handelsbanken Liv'!F36+'If Skadeforsikring NUF'!F36+KLP!F36+'KLP Bedriftspensjon AS'!F36+'KLP Skadeforsikring AS'!F36+'Landbruksforsikring AS'!F36+'NEMI Forsikring'!F36+'Nordea Liv '!F36+'Oslo Pensjonsforsikring'!F36+'Protector Forsikring'!F36+'SHB Liv'!F36+'Sparebank 1'!F36+'Storebrand Livsforsikring'!F36+'Telenor Forsikring'!F36+'Tryg Forsikring'!F36</f>
        <v>0</v>
      </c>
      <c r="F36" s="322">
        <f>'ACE European Group'!G36+'Danica Pensjonsforsikring'!G36+'DNB Livsforsikring'!G36+'Eika Forsikring AS'!G36+'Frende Livsforsikring'!G36+'Frende Skadeforsikring'!G36+'Gjensidige Forsikring'!G36+'Gjensidige Pensjon'!G36+'Handelsbanken Liv'!G36+'If Skadeforsikring NUF'!G36+KLP!G36+'KLP Bedriftspensjon AS'!G36+'KLP Skadeforsikring AS'!G36+'Landbruksforsikring AS'!G36+'NEMI Forsikring'!G36+'Nordea Liv '!G36+'Oslo Pensjonsforsikring'!G36+'Protector Forsikring'!G36+'SHB Liv'!G36+'Sparebank 1'!G36+'Storebrand Livsforsikring'!G36+'Telenor Forsikring'!G36+'Tryg Forsikring'!G36</f>
        <v>0</v>
      </c>
      <c r="G36" s="171" t="str">
        <f t="shared" ref="G36:G37" si="22">IF($A$1=4,IF(E36=0, "    ---- ", IF(ABS(ROUND(100/E36*F36-100,1))&lt;999,ROUND(100/E36*F36-100,1),IF(ROUND(100/E36*F36-100,1)&gt;999,999,-999))),"")</f>
        <v xml:space="preserve">    ---- </v>
      </c>
      <c r="H36" s="311">
        <f t="shared" si="9"/>
        <v>3154.1660000000002</v>
      </c>
      <c r="I36" s="237">
        <f t="shared" si="7"/>
        <v>2910.576</v>
      </c>
      <c r="J36" s="11">
        <f t="shared" si="8"/>
        <v>-7.7</v>
      </c>
    </row>
    <row r="37" spans="1:10" s="43" customFormat="1" ht="15.75" customHeight="1" x14ac:dyDescent="0.2">
      <c r="A37" s="622" t="s">
        <v>384</v>
      </c>
      <c r="B37" s="237">
        <f>'ACE European Group'!B37+'Danica Pensjonsforsikring'!B37+'DNB Livsforsikring'!B37+'Eika Forsikring AS'!B37+'Frende Livsforsikring'!B37+'Frende Skadeforsikring'!B37+'Gjensidige Forsikring'!B37+'Gjensidige Pensjon'!B37+'Handelsbanken Liv'!B37+'If Skadeforsikring NUF'!B37+KLP!B37+'KLP Bedriftspensjon AS'!B37+'KLP Skadeforsikring AS'!B37+'Landbruksforsikring AS'!B37+'NEMI Forsikring'!B37+'Nordea Liv '!B37+'Oslo Pensjonsforsikring'!B37+'Protector Forsikring'!B37+'SHB Liv'!B37+'Sparebank 1'!B37+'Storebrand Livsforsikring'!B37+'Telenor Forsikring'!B37+'Tryg Forsikring'!B37</f>
        <v>4063235.4939999999</v>
      </c>
      <c r="C37" s="237">
        <f>'ACE European Group'!C37+'Danica Pensjonsforsikring'!C37+'DNB Livsforsikring'!C37+'Eika Forsikring AS'!C37+'Frende Livsforsikring'!C37+'Frende Skadeforsikring'!C37+'Gjensidige Forsikring'!C37+'Gjensidige Pensjon'!C37+'Handelsbanken Liv'!C37+'If Skadeforsikring NUF'!C37+KLP!C37+'KLP Bedriftspensjon AS'!C37+'KLP Skadeforsikring AS'!C37+'Landbruksforsikring AS'!C37+'NEMI Forsikring'!C37+'Nordea Liv '!C37+'Oslo Pensjonsforsikring'!C37+'Protector Forsikring'!C37+'SHB Liv'!C37+'Sparebank 1'!C37+'Storebrand Livsforsikring'!C37+'Telenor Forsikring'!C37+'Tryg Forsikring'!C37</f>
        <v>3921812.1209999998</v>
      </c>
      <c r="D37" s="24">
        <f t="shared" si="5"/>
        <v>-3.5</v>
      </c>
      <c r="E37" s="327">
        <f>'ACE European Group'!F37+'Danica Pensjonsforsikring'!F37+'DNB Livsforsikring'!F37+'Eika Forsikring AS'!F37+'Frende Livsforsikring'!F37+'Frende Skadeforsikring'!F37+'Gjensidige Forsikring'!F37+'Gjensidige Pensjon'!F37+'Handelsbanken Liv'!F37+'If Skadeforsikring NUF'!F37+KLP!F37+'KLP Bedriftspensjon AS'!F37+'KLP Skadeforsikring AS'!F37+'Landbruksforsikring AS'!F37+'NEMI Forsikring'!F37+'Nordea Liv '!F37+'Oslo Pensjonsforsikring'!F37+'Protector Forsikring'!F37+'SHB Liv'!F37+'Sparebank 1'!F37+'Storebrand Livsforsikring'!F37+'Telenor Forsikring'!F37+'Tryg Forsikring'!F37</f>
        <v>0</v>
      </c>
      <c r="F37" s="327">
        <f>'ACE European Group'!G37+'Danica Pensjonsforsikring'!G37+'DNB Livsforsikring'!G37+'Eika Forsikring AS'!G37+'Frende Livsforsikring'!G37+'Frende Skadeforsikring'!G37+'Gjensidige Forsikring'!G37+'Gjensidige Pensjon'!G37+'Handelsbanken Liv'!G37+'If Skadeforsikring NUF'!G37+KLP!G37+'KLP Bedriftspensjon AS'!G37+'KLP Skadeforsikring AS'!G37+'Landbruksforsikring AS'!G37+'NEMI Forsikring'!G37+'Nordea Liv '!G37+'Oslo Pensjonsforsikring'!G37+'Protector Forsikring'!G37+'SHB Liv'!G37+'Sparebank 1'!G37+'Storebrand Livsforsikring'!G37+'Telenor Forsikring'!G37+'Tryg Forsikring'!G37</f>
        <v>0</v>
      </c>
      <c r="G37" s="171" t="str">
        <f t="shared" si="22"/>
        <v xml:space="preserve">    ---- </v>
      </c>
      <c r="H37" s="311">
        <f t="shared" si="9"/>
        <v>4063235.4939999999</v>
      </c>
      <c r="I37" s="237">
        <f t="shared" si="7"/>
        <v>3921812.1209999998</v>
      </c>
      <c r="J37" s="24">
        <f t="shared" si="8"/>
        <v>-3.5</v>
      </c>
    </row>
    <row r="38" spans="1:10" s="43" customFormat="1" ht="15.75" customHeight="1" x14ac:dyDescent="0.2">
      <c r="A38" s="622" t="s">
        <v>385</v>
      </c>
      <c r="B38" s="237">
        <f>'ACE European Group'!B38+'Danica Pensjonsforsikring'!B38+'DNB Livsforsikring'!B38+'Eika Forsikring AS'!B38+'Frende Livsforsikring'!B38+'Frende Skadeforsikring'!B38+'Gjensidige Forsikring'!B38+'Gjensidige Pensjon'!B38+'Handelsbanken Liv'!B38+'If Skadeforsikring NUF'!B38+KLP!B38+'KLP Bedriftspensjon AS'!B38+'KLP Skadeforsikring AS'!B38+'Landbruksforsikring AS'!B38+'NEMI Forsikring'!B38+'Nordea Liv '!B38+'Oslo Pensjonsforsikring'!B38+'Protector Forsikring'!B38+'SHB Liv'!B38+'Sparebank 1'!B38+'Storebrand Livsforsikring'!B38+'Telenor Forsikring'!B38+'Tryg Forsikring'!B38</f>
        <v>0</v>
      </c>
      <c r="C38" s="237">
        <f>'ACE European Group'!C38+'Danica Pensjonsforsikring'!C38+'DNB Livsforsikring'!C38+'Eika Forsikring AS'!C38+'Frende Livsforsikring'!C38+'Frende Skadeforsikring'!C38+'Gjensidige Forsikring'!C38+'Gjensidige Pensjon'!C38+'Handelsbanken Liv'!C38+'If Skadeforsikring NUF'!C38+KLP!C38+'KLP Bedriftspensjon AS'!C38+'KLP Skadeforsikring AS'!C38+'Landbruksforsikring AS'!C38+'NEMI Forsikring'!C38+'Nordea Liv '!C38+'Oslo Pensjonsforsikring'!C38+'Protector Forsikring'!C38+'SHB Liv'!C38+'Sparebank 1'!C38+'Storebrand Livsforsikring'!C38+'Telenor Forsikring'!C38+'Tryg Forsikring'!C38</f>
        <v>0</v>
      </c>
      <c r="D38" s="24"/>
      <c r="E38" s="322">
        <f>'ACE European Group'!F38+'Danica Pensjonsforsikring'!F38+'DNB Livsforsikring'!F38+'Eika Forsikring AS'!F38+'Frende Livsforsikring'!F38+'Frende Skadeforsikring'!F38+'Gjensidige Forsikring'!F38+'Gjensidige Pensjon'!F38+'Handelsbanken Liv'!F38+'If Skadeforsikring NUF'!F38+KLP!F38+'KLP Bedriftspensjon AS'!F38+'KLP Skadeforsikring AS'!F38+'Landbruksforsikring AS'!F38+'NEMI Forsikring'!F38+'Nordea Liv '!F38+'Oslo Pensjonsforsikring'!F38+'Protector Forsikring'!F38+'SHB Liv'!F38+'Sparebank 1'!F38+'Storebrand Livsforsikring'!F38+'Telenor Forsikring'!F38+'Tryg Forsikring'!F38</f>
        <v>0</v>
      </c>
      <c r="F38" s="328">
        <f>'ACE European Group'!G38+'Danica Pensjonsforsikring'!G38+'DNB Livsforsikring'!G38+'Eika Forsikring AS'!G38+'Frende Livsforsikring'!G38+'Frende Skadeforsikring'!G38+'Gjensidige Forsikring'!G38+'Gjensidige Pensjon'!G38+'Handelsbanken Liv'!G38+'If Skadeforsikring NUF'!G38+KLP!G38+'KLP Bedriftspensjon AS'!G38+'KLP Skadeforsikring AS'!G38+'Landbruksforsikring AS'!G38+'NEMI Forsikring'!G38+'Nordea Liv '!G38+'Oslo Pensjonsforsikring'!G38+'Protector Forsikring'!G38+'SHB Liv'!G38+'Sparebank 1'!G38+'Storebrand Livsforsikring'!G38+'Telenor Forsikring'!G38+'Tryg Forsikring'!G38</f>
        <v>0</v>
      </c>
      <c r="G38" s="171"/>
      <c r="H38" s="311">
        <f t="shared" si="9"/>
        <v>0</v>
      </c>
      <c r="I38" s="237">
        <f t="shared" si="7"/>
        <v>0</v>
      </c>
      <c r="J38" s="24"/>
    </row>
    <row r="39" spans="1:10" s="43" customFormat="1" ht="15.75" customHeight="1" x14ac:dyDescent="0.2">
      <c r="A39" s="623" t="s">
        <v>386</v>
      </c>
      <c r="B39" s="279">
        <f>'ACE European Group'!B39+'Danica Pensjonsforsikring'!B39+'DNB Livsforsikring'!B39+'Eika Forsikring AS'!B39+'Frende Livsforsikring'!B39+'Frende Skadeforsikring'!B39+'Gjensidige Forsikring'!B39+'Gjensidige Pensjon'!B39+'Handelsbanken Liv'!B39+'If Skadeforsikring NUF'!B39+KLP!B39+'KLP Bedriftspensjon AS'!B39+'KLP Skadeforsikring AS'!B39+'Landbruksforsikring AS'!B39+'NEMI Forsikring'!B39+'Nordea Liv '!B39+'Oslo Pensjonsforsikring'!B39+'Protector Forsikring'!B39+'SHB Liv'!B39+'Sparebank 1'!B39+'Storebrand Livsforsikring'!B39+'Telenor Forsikring'!B39+'Tryg Forsikring'!B39</f>
        <v>4</v>
      </c>
      <c r="C39" s="279">
        <f>'ACE European Group'!C39+'Danica Pensjonsforsikring'!C39+'DNB Livsforsikring'!C39+'Eika Forsikring AS'!C39+'Frende Livsforsikring'!C39+'Frende Skadeforsikring'!C39+'Gjensidige Forsikring'!C39+'Gjensidige Pensjon'!C39+'Handelsbanken Liv'!C39+'If Skadeforsikring NUF'!C39+KLP!C39+'KLP Bedriftspensjon AS'!C39+'KLP Skadeforsikring AS'!C39+'Landbruksforsikring AS'!C39+'NEMI Forsikring'!C39+'Nordea Liv '!C39+'Oslo Pensjonsforsikring'!C39+'Protector Forsikring'!C39+'SHB Liv'!C39+'Sparebank 1'!C39+'Storebrand Livsforsikring'!C39+'Telenor Forsikring'!C39+'Tryg Forsikring'!C39</f>
        <v>3</v>
      </c>
      <c r="D39" s="36">
        <f t="shared" si="5"/>
        <v>-25</v>
      </c>
      <c r="E39" s="329">
        <f>'ACE European Group'!F39+'Danica Pensjonsforsikring'!F39+'DNB Livsforsikring'!F39+'Eika Forsikring AS'!F39+'Frende Livsforsikring'!F39+'Frende Skadeforsikring'!F39+'Gjensidige Forsikring'!F39+'Gjensidige Pensjon'!F39+'Handelsbanken Liv'!F39+'If Skadeforsikring NUF'!F39+KLP!F39+'KLP Bedriftspensjon AS'!F39+'KLP Skadeforsikring AS'!F39+'Landbruksforsikring AS'!F39+'NEMI Forsikring'!F39+'Nordea Liv '!F39+'Oslo Pensjonsforsikring'!F39+'Protector Forsikring'!F39+'SHB Liv'!F39+'Sparebank 1'!F39+'Storebrand Livsforsikring'!F39+'Telenor Forsikring'!F39+'Tryg Forsikring'!F39</f>
        <v>0</v>
      </c>
      <c r="F39" s="329">
        <f>'ACE European Group'!G39+'Danica Pensjonsforsikring'!G39+'DNB Livsforsikring'!G39+'Eika Forsikring AS'!G39+'Frende Livsforsikring'!G39+'Frende Skadeforsikring'!G39+'Gjensidige Forsikring'!G39+'Gjensidige Pensjon'!G39+'Handelsbanken Liv'!G39+'If Skadeforsikring NUF'!G39+KLP!G39+'KLP Bedriftspensjon AS'!G39+'KLP Skadeforsikring AS'!G39+'Landbruksforsikring AS'!G39+'NEMI Forsikring'!G39+'Nordea Liv '!G39+'Oslo Pensjonsforsikring'!G39+'Protector Forsikring'!G39+'SHB Liv'!G39+'Sparebank 1'!G39+'Storebrand Livsforsikring'!G39+'Telenor Forsikring'!G39+'Tryg Forsikring'!G39</f>
        <v>0</v>
      </c>
      <c r="G39" s="169"/>
      <c r="H39" s="317">
        <f t="shared" si="9"/>
        <v>4</v>
      </c>
      <c r="I39" s="279">
        <f t="shared" si="7"/>
        <v>3</v>
      </c>
      <c r="J39" s="36">
        <f t="shared" si="8"/>
        <v>-25</v>
      </c>
    </row>
    <row r="40" spans="1:10" ht="15.75" customHeight="1" x14ac:dyDescent="0.2">
      <c r="A40" s="47"/>
    </row>
    <row r="41" spans="1:10" ht="15.75" customHeight="1" x14ac:dyDescent="0.2">
      <c r="A41" s="155"/>
    </row>
    <row r="42" spans="1:10" ht="15.75" customHeight="1" x14ac:dyDescent="0.25">
      <c r="A42" s="147" t="s">
        <v>284</v>
      </c>
      <c r="B42" s="721"/>
      <c r="C42" s="721"/>
      <c r="D42" s="721"/>
      <c r="E42" s="725"/>
      <c r="F42" s="725"/>
      <c r="G42" s="725"/>
      <c r="H42" s="725"/>
      <c r="I42" s="725"/>
      <c r="J42" s="725"/>
    </row>
    <row r="43" spans="1:10" ht="15.75" customHeight="1" x14ac:dyDescent="0.25">
      <c r="A43" s="163"/>
      <c r="B43" s="439"/>
      <c r="C43" s="439"/>
      <c r="D43" s="439"/>
      <c r="E43" s="301"/>
      <c r="F43" s="301"/>
      <c r="G43" s="301"/>
      <c r="H43" s="301"/>
      <c r="I43" s="301"/>
      <c r="J43" s="301"/>
    </row>
    <row r="44" spans="1:10" s="3" customFormat="1" ht="15.75" customHeight="1" x14ac:dyDescent="0.25">
      <c r="A44" s="250"/>
      <c r="B44" s="330" t="s">
        <v>0</v>
      </c>
      <c r="C44" s="331"/>
      <c r="D44" s="255"/>
      <c r="E44" s="42"/>
      <c r="F44" s="42"/>
      <c r="G44" s="40"/>
      <c r="H44" s="42"/>
      <c r="I44" s="42"/>
      <c r="J44" s="40"/>
    </row>
    <row r="45" spans="1:10" s="3" customFormat="1" ht="15.75" customHeight="1" x14ac:dyDescent="0.2">
      <c r="A45" s="140"/>
      <c r="B45" s="20" t="s">
        <v>413</v>
      </c>
      <c r="C45" s="20" t="s">
        <v>414</v>
      </c>
      <c r="D45" s="253" t="s">
        <v>3</v>
      </c>
      <c r="E45" s="42"/>
      <c r="F45" s="42"/>
      <c r="G45" s="40"/>
      <c r="H45" s="42"/>
      <c r="I45" s="42"/>
      <c r="J45" s="40"/>
    </row>
    <row r="46" spans="1:10" s="3" customFormat="1" ht="15.75" customHeight="1" x14ac:dyDescent="0.2">
      <c r="A46" s="643"/>
      <c r="B46" s="46"/>
      <c r="C46" s="254"/>
      <c r="D46" s="17" t="s">
        <v>4</v>
      </c>
      <c r="E46" s="40"/>
      <c r="F46" s="40"/>
      <c r="G46" s="40"/>
      <c r="H46" s="40"/>
      <c r="I46" s="40"/>
      <c r="J46" s="40"/>
    </row>
    <row r="47" spans="1:10" s="424" customFormat="1" ht="15.75" customHeight="1" x14ac:dyDescent="0.2">
      <c r="A47" s="14" t="s">
        <v>23</v>
      </c>
      <c r="B47" s="237">
        <f>'ACE European Group'!B47+'Danica Pensjonsforsikring'!B47+'DNB Livsforsikring'!B47+'Eika Forsikring AS'!B47+'Frende Livsforsikring'!B47+'Frende Skadeforsikring'!B47+'Gjensidige Forsikring'!B47+'Gjensidige Pensjon'!B47+'Handelsbanken Liv'!B47+'If Skadeforsikring NUF'!B47+KLP!B47+'KLP Bedriftspensjon AS'!B47+'KLP Skadeforsikring AS'!B47+'Landbruksforsikring AS'!B47+'NEMI Forsikring'!B47+'Nordea Liv '!B47+'Oslo Pensjonsforsikring'!B47+'Protector Forsikring'!B47+'SHB Liv'!B47+'Sparebank 1'!B47+'Storebrand Livsforsikring'!B47+'Telenor Forsikring'!B47+'Tryg Forsikring'!B47</f>
        <v>3338287.7907300005</v>
      </c>
      <c r="C47" s="332">
        <f>'ACE European Group'!C47+'Danica Pensjonsforsikring'!C47+'DNB Livsforsikring'!C47+'Eika Forsikring AS'!C47+'Frende Livsforsikring'!C47+'Frende Skadeforsikring'!C47+'Gjensidige Forsikring'!C47+'Gjensidige Pensjon'!C47+'Handelsbanken Liv'!C47+'If Skadeforsikring NUF'!C47+KLP!C47+'KLP Bedriftspensjon AS'!C47+'KLP Skadeforsikring AS'!C47+'Landbruksforsikring AS'!C47+'NEMI Forsikring'!C47+'Nordea Liv '!C47+'Oslo Pensjonsforsikring'!C47+'Protector Forsikring'!C47+'SHB Liv'!C47+'Sparebank 1'!C47+'Storebrand Livsforsikring'!C47+'Telenor Forsikring'!C47+'Tryg Forsikring'!C47</f>
        <v>3689873.4923725286</v>
      </c>
      <c r="D47" s="24">
        <f t="shared" ref="D47:D58" si="23">IF(B47=0, "    ---- ", IF(ABS(ROUND(100/B47*C47-100,1))&lt;999,ROUND(100/B47*C47-100,1),IF(ROUND(100/B47*C47-100,1)&gt;999,999,-999)))</f>
        <v>10.5</v>
      </c>
      <c r="E47" s="425"/>
      <c r="F47" s="426"/>
      <c r="G47" s="32"/>
      <c r="H47" s="427"/>
      <c r="I47" s="427"/>
      <c r="J47" s="32"/>
    </row>
    <row r="48" spans="1:10" s="3" customFormat="1" ht="15.75" customHeight="1" x14ac:dyDescent="0.2">
      <c r="A48" s="38" t="s">
        <v>387</v>
      </c>
      <c r="B48" s="44">
        <f>'ACE European Group'!B48+'Danica Pensjonsforsikring'!B48+'DNB Livsforsikring'!B48+'Eika Forsikring AS'!B48+'Frende Livsforsikring'!B48+'Frende Skadeforsikring'!B48+'Gjensidige Forsikring'!B48+'Gjensidige Pensjon'!B48+'Handelsbanken Liv'!B48+'If Skadeforsikring NUF'!B48+KLP!B48+'KLP Bedriftspensjon AS'!B48+'KLP Skadeforsikring AS'!B48+'Landbruksforsikring AS'!B48+'NEMI Forsikring'!B48+'Nordea Liv '!B48+'Oslo Pensjonsforsikring'!B48+'Protector Forsikring'!B48+'SHB Liv'!B48+'Sparebank 1'!B48+'Storebrand Livsforsikring'!B48+'Telenor Forsikring'!B48+'Tryg Forsikring'!B48</f>
        <v>1820086.5708399999</v>
      </c>
      <c r="C48" s="44">
        <f>'ACE European Group'!C48+'Danica Pensjonsforsikring'!C48+'DNB Livsforsikring'!C48+'Eika Forsikring AS'!C48+'Frende Livsforsikring'!C48+'Frende Skadeforsikring'!C48+'Gjensidige Forsikring'!C48+'Gjensidige Pensjon'!C48+'Handelsbanken Liv'!C48+'If Skadeforsikring NUF'!C48+KLP!C48+'KLP Bedriftspensjon AS'!C48+'KLP Skadeforsikring AS'!C48+'Landbruksforsikring AS'!C48+'NEMI Forsikring'!C48+'Nordea Liv '!C48+'Oslo Pensjonsforsikring'!C48+'Protector Forsikring'!C48+'SHB Liv'!C48+'Sparebank 1'!C48+'Storebrand Livsforsikring'!C48+'Telenor Forsikring'!C48+'Tryg Forsikring'!C48</f>
        <v>2089397.0250325291</v>
      </c>
      <c r="D48" s="24">
        <f t="shared" si="23"/>
        <v>14.8</v>
      </c>
      <c r="E48" s="35"/>
      <c r="F48" s="5"/>
      <c r="G48" s="34"/>
      <c r="H48" s="33"/>
      <c r="I48" s="33"/>
      <c r="J48" s="32"/>
    </row>
    <row r="49" spans="1:10" s="3" customFormat="1" ht="15.75" customHeight="1" x14ac:dyDescent="0.2">
      <c r="A49" s="38" t="s">
        <v>388</v>
      </c>
      <c r="B49" s="192">
        <f>'ACE European Group'!B49+'Danica Pensjonsforsikring'!B49+'DNB Livsforsikring'!B49+'Eika Forsikring AS'!B49+'Frende Livsforsikring'!B49+'Frende Skadeforsikring'!B49+'Gjensidige Forsikring'!B49+'Gjensidige Pensjon'!B49+'Handelsbanken Liv'!B49+'If Skadeforsikring NUF'!B49+KLP!B49+'KLP Bedriftspensjon AS'!B49+'KLP Skadeforsikring AS'!B49+'Landbruksforsikring AS'!B49+'NEMI Forsikring'!B49+'Nordea Liv '!B49+'Oslo Pensjonsforsikring'!B49+'Protector Forsikring'!B49+'SHB Liv'!B49+'Sparebank 1'!B49+'Storebrand Livsforsikring'!B49+'Telenor Forsikring'!B49+'Tryg Forsikring'!B49</f>
        <v>1518201.2198900001</v>
      </c>
      <c r="C49" s="192">
        <f>'ACE European Group'!C49+'Danica Pensjonsforsikring'!C49+'DNB Livsforsikring'!C49+'Eika Forsikring AS'!C49+'Frende Livsforsikring'!C49+'Frende Skadeforsikring'!C49+'Gjensidige Forsikring'!C49+'Gjensidige Pensjon'!C49+'Handelsbanken Liv'!C49+'If Skadeforsikring NUF'!C49+KLP!C49+'KLP Bedriftspensjon AS'!C49+'KLP Skadeforsikring AS'!C49+'Landbruksforsikring AS'!C49+'NEMI Forsikring'!C49+'Nordea Liv '!C49+'Oslo Pensjonsforsikring'!C49+'Protector Forsikring'!C49+'SHB Liv'!C49+'Sparebank 1'!C49+'Storebrand Livsforsikring'!C49+'Telenor Forsikring'!C49+'Tryg Forsikring'!C49</f>
        <v>1600476.46734</v>
      </c>
      <c r="D49" s="24">
        <f t="shared" si="23"/>
        <v>5.4</v>
      </c>
      <c r="E49" s="35"/>
      <c r="F49" s="5"/>
      <c r="G49" s="34"/>
      <c r="H49" s="37"/>
      <c r="I49" s="37"/>
      <c r="J49" s="32"/>
    </row>
    <row r="50" spans="1:10" s="3" customFormat="1" ht="15.75" customHeight="1" x14ac:dyDescent="0.2">
      <c r="A50" s="299" t="s">
        <v>6</v>
      </c>
      <c r="B50" s="44"/>
      <c r="C50" s="44"/>
      <c r="D50" s="27"/>
      <c r="E50" s="35"/>
      <c r="F50" s="5"/>
      <c r="G50" s="34"/>
      <c r="H50" s="33"/>
      <c r="I50" s="33"/>
      <c r="J50" s="32"/>
    </row>
    <row r="51" spans="1:10" s="3" customFormat="1" ht="15.75" customHeight="1" x14ac:dyDescent="0.2">
      <c r="A51" s="299" t="s">
        <v>7</v>
      </c>
      <c r="B51" s="44"/>
      <c r="C51" s="44"/>
      <c r="D51" s="27"/>
      <c r="E51" s="35"/>
      <c r="F51" s="5"/>
      <c r="G51" s="34"/>
      <c r="H51" s="33"/>
      <c r="I51" s="33"/>
      <c r="J51" s="32"/>
    </row>
    <row r="52" spans="1:10" s="3" customFormat="1" ht="15.75" customHeight="1" x14ac:dyDescent="0.2">
      <c r="A52" s="299" t="s">
        <v>8</v>
      </c>
      <c r="B52" s="44"/>
      <c r="C52" s="44"/>
      <c r="D52" s="27"/>
      <c r="E52" s="35"/>
      <c r="F52" s="5"/>
      <c r="G52" s="34"/>
      <c r="H52" s="33"/>
      <c r="I52" s="33"/>
      <c r="J52" s="32"/>
    </row>
    <row r="53" spans="1:10" s="424" customFormat="1" ht="15.75" customHeight="1" x14ac:dyDescent="0.2">
      <c r="A53" s="39" t="s">
        <v>389</v>
      </c>
      <c r="B53" s="237">
        <f>'ACE European Group'!B53+'Danica Pensjonsforsikring'!B53+'DNB Livsforsikring'!B53+'Eika Forsikring AS'!B53+'Frende Livsforsikring'!B53+'Frende Skadeforsikring'!B53+'Gjensidige Forsikring'!B53+'Gjensidige Pensjon'!B53+'Handelsbanken Liv'!B53+'If Skadeforsikring NUF'!B53+KLP!B53+'KLP Bedriftspensjon AS'!B53+'KLP Skadeforsikring AS'!B53+'Landbruksforsikring AS'!B53+'NEMI Forsikring'!B53+'Nordea Liv '!B53+'Oslo Pensjonsforsikring'!B53+'Protector Forsikring'!B53+'SHB Liv'!B53+'Sparebank 1'!B53+'Storebrand Livsforsikring'!B53+'Telenor Forsikring'!B53+'Tryg Forsikring'!B53</f>
        <v>151823.30799999999</v>
      </c>
      <c r="C53" s="237">
        <f>'ACE European Group'!C53+'Danica Pensjonsforsikring'!C53+'DNB Livsforsikring'!C53+'Eika Forsikring AS'!C53+'Frende Livsforsikring'!C53+'Frende Skadeforsikring'!C53+'Gjensidige Forsikring'!C53+'Gjensidige Pensjon'!C53+'Handelsbanken Liv'!C53+'If Skadeforsikring NUF'!C53+KLP!C53+'KLP Bedriftspensjon AS'!C53+'KLP Skadeforsikring AS'!C53+'Landbruksforsikring AS'!C53+'NEMI Forsikring'!C53+'Nordea Liv '!C53+'Oslo Pensjonsforsikring'!C53+'Protector Forsikring'!C53+'SHB Liv'!C53+'Sparebank 1'!C53+'Storebrand Livsforsikring'!C53+'Telenor Forsikring'!C53+'Tryg Forsikring'!C53</f>
        <v>97665.195999999982</v>
      </c>
      <c r="D53" s="24">
        <f t="shared" si="23"/>
        <v>-35.700000000000003</v>
      </c>
      <c r="E53" s="425"/>
      <c r="F53" s="426"/>
      <c r="G53" s="32"/>
      <c r="H53" s="174"/>
      <c r="I53" s="174"/>
      <c r="J53" s="32"/>
    </row>
    <row r="54" spans="1:10" s="3" customFormat="1" ht="15.75" customHeight="1" x14ac:dyDescent="0.2">
      <c r="A54" s="38" t="s">
        <v>387</v>
      </c>
      <c r="B54" s="44">
        <f>'ACE European Group'!B54+'Danica Pensjonsforsikring'!B54+'DNB Livsforsikring'!B54+'Eika Forsikring AS'!B54+'Frende Livsforsikring'!B54+'Frende Skadeforsikring'!B54+'Gjensidige Forsikring'!B54+'Gjensidige Pensjon'!B54+'Handelsbanken Liv'!B54+'If Skadeforsikring NUF'!B54+KLP!B54+'KLP Bedriftspensjon AS'!B54+'KLP Skadeforsikring AS'!B54+'Landbruksforsikring AS'!B54+'NEMI Forsikring'!B54+'Nordea Liv '!B54+'Oslo Pensjonsforsikring'!B54+'Protector Forsikring'!B54+'SHB Liv'!B54+'Sparebank 1'!B54+'Storebrand Livsforsikring'!B54+'Telenor Forsikring'!B54+'Tryg Forsikring'!B54</f>
        <v>94474.40800000001</v>
      </c>
      <c r="C54" s="44">
        <f>'ACE European Group'!C54+'Danica Pensjonsforsikring'!C54+'DNB Livsforsikring'!C54+'Eika Forsikring AS'!C54+'Frende Livsforsikring'!C54+'Frende Skadeforsikring'!C54+'Gjensidige Forsikring'!C54+'Gjensidige Pensjon'!C54+'Handelsbanken Liv'!C54+'If Skadeforsikring NUF'!C54+KLP!C54+'KLP Bedriftspensjon AS'!C54+'KLP Skadeforsikring AS'!C54+'Landbruksforsikring AS'!C54+'NEMI Forsikring'!C54+'Nordea Liv '!C54+'Oslo Pensjonsforsikring'!C54+'Protector Forsikring'!C54+'SHB Liv'!C54+'Sparebank 1'!C54+'Storebrand Livsforsikring'!C54+'Telenor Forsikring'!C54+'Tryg Forsikring'!C54</f>
        <v>97665.195999999982</v>
      </c>
      <c r="D54" s="24">
        <f t="shared" si="23"/>
        <v>3.4</v>
      </c>
      <c r="E54" s="35"/>
      <c r="F54" s="5"/>
      <c r="G54" s="34"/>
      <c r="H54" s="33"/>
      <c r="I54" s="33"/>
      <c r="J54" s="32"/>
    </row>
    <row r="55" spans="1:10" s="3" customFormat="1" ht="15.75" customHeight="1" x14ac:dyDescent="0.2">
      <c r="A55" s="38" t="s">
        <v>388</v>
      </c>
      <c r="B55" s="44">
        <f>'ACE European Group'!B55+'Danica Pensjonsforsikring'!B55+'DNB Livsforsikring'!B55+'Eika Forsikring AS'!B55+'Frende Livsforsikring'!B55+'Frende Skadeforsikring'!B55+'Gjensidige Forsikring'!B55+'Gjensidige Pensjon'!B55+'Handelsbanken Liv'!B55+'If Skadeforsikring NUF'!B55+KLP!B55+'KLP Bedriftspensjon AS'!B55+'KLP Skadeforsikring AS'!B55+'Landbruksforsikring AS'!B55+'NEMI Forsikring'!B55+'Nordea Liv '!B55+'Oslo Pensjonsforsikring'!B55+'Protector Forsikring'!B55+'SHB Liv'!B55+'Sparebank 1'!B55+'Storebrand Livsforsikring'!B55+'Telenor Forsikring'!B55+'Tryg Forsikring'!B55</f>
        <v>57348.9</v>
      </c>
      <c r="C55" s="44">
        <f>'ACE European Group'!C55+'Danica Pensjonsforsikring'!C55+'DNB Livsforsikring'!C55+'Eika Forsikring AS'!C55+'Frende Livsforsikring'!C55+'Frende Skadeforsikring'!C55+'Gjensidige Forsikring'!C55+'Gjensidige Pensjon'!C55+'Handelsbanken Liv'!C55+'If Skadeforsikring NUF'!C55+KLP!C55+'KLP Bedriftspensjon AS'!C55+'KLP Skadeforsikring AS'!C55+'Landbruksforsikring AS'!C55+'NEMI Forsikring'!C55+'Nordea Liv '!C55+'Oslo Pensjonsforsikring'!C55+'Protector Forsikring'!C55+'SHB Liv'!C55+'Sparebank 1'!C55+'Storebrand Livsforsikring'!C55+'Telenor Forsikring'!C55+'Tryg Forsikring'!C55</f>
        <v>0</v>
      </c>
      <c r="D55" s="24">
        <f t="shared" si="23"/>
        <v>-100</v>
      </c>
      <c r="E55" s="35"/>
      <c r="F55" s="5"/>
      <c r="G55" s="34"/>
      <c r="H55" s="33"/>
      <c r="I55" s="33"/>
      <c r="J55" s="32"/>
    </row>
    <row r="56" spans="1:10" s="424" customFormat="1" ht="15.75" customHeight="1" x14ac:dyDescent="0.2">
      <c r="A56" s="39" t="s">
        <v>390</v>
      </c>
      <c r="B56" s="237">
        <f>'ACE European Group'!B56+'Danica Pensjonsforsikring'!B56+'DNB Livsforsikring'!B56+'Eika Forsikring AS'!B56+'Frende Livsforsikring'!B56+'Frende Skadeforsikring'!B56+'Gjensidige Forsikring'!B56+'Gjensidige Pensjon'!B56+'Handelsbanken Liv'!B56+'If Skadeforsikring NUF'!B56+KLP!B56+'KLP Bedriftspensjon AS'!B56+'KLP Skadeforsikring AS'!B56+'Landbruksforsikring AS'!B56+'NEMI Forsikring'!B56+'Nordea Liv '!B56+'Oslo Pensjonsforsikring'!B56+'Protector Forsikring'!B56+'SHB Liv'!B56+'Sparebank 1'!B56+'Storebrand Livsforsikring'!B56+'Telenor Forsikring'!B56+'Tryg Forsikring'!B56</f>
        <v>112204.845</v>
      </c>
      <c r="C56" s="237">
        <f>'ACE European Group'!C56+'Danica Pensjonsforsikring'!C56+'DNB Livsforsikring'!C56+'Eika Forsikring AS'!C56+'Frende Livsforsikring'!C56+'Frende Skadeforsikring'!C56+'Gjensidige Forsikring'!C56+'Gjensidige Pensjon'!C56+'Handelsbanken Liv'!C56+'If Skadeforsikring NUF'!C56+KLP!C56+'KLP Bedriftspensjon AS'!C56+'KLP Skadeforsikring AS'!C56+'Landbruksforsikring AS'!C56+'NEMI Forsikring'!C56+'Nordea Liv '!C56+'Oslo Pensjonsforsikring'!C56+'Protector Forsikring'!C56+'SHB Liv'!C56+'Sparebank 1'!C56+'Storebrand Livsforsikring'!C56+'Telenor Forsikring'!C56+'Tryg Forsikring'!C56</f>
        <v>106500.674</v>
      </c>
      <c r="D56" s="24">
        <f t="shared" si="23"/>
        <v>-5.0999999999999996</v>
      </c>
      <c r="E56" s="425"/>
      <c r="F56" s="426"/>
      <c r="G56" s="32"/>
      <c r="H56" s="174"/>
      <c r="I56" s="174"/>
      <c r="J56" s="32"/>
    </row>
    <row r="57" spans="1:10" s="3" customFormat="1" ht="15.75" customHeight="1" x14ac:dyDescent="0.2">
      <c r="A57" s="38" t="s">
        <v>387</v>
      </c>
      <c r="B57" s="44">
        <f>'ACE European Group'!B57+'Danica Pensjonsforsikring'!B57+'DNB Livsforsikring'!B57+'Eika Forsikring AS'!B57+'Frende Livsforsikring'!B57+'Frende Skadeforsikring'!B57+'Gjensidige Forsikring'!B57+'Gjensidige Pensjon'!B57+'Handelsbanken Liv'!B57+'If Skadeforsikring NUF'!B57+KLP!B57+'KLP Bedriftspensjon AS'!B57+'KLP Skadeforsikring AS'!B57+'Landbruksforsikring AS'!B57+'NEMI Forsikring'!B57+'Nordea Liv '!B57+'Oslo Pensjonsforsikring'!B57+'Protector Forsikring'!B57+'SHB Liv'!B57+'Sparebank 1'!B57+'Storebrand Livsforsikring'!B57+'Telenor Forsikring'!B57+'Tryg Forsikring'!B57</f>
        <v>112204.845</v>
      </c>
      <c r="C57" s="44">
        <f>'ACE European Group'!C57+'Danica Pensjonsforsikring'!C57+'DNB Livsforsikring'!C57+'Eika Forsikring AS'!C57+'Frende Livsforsikring'!C57+'Frende Skadeforsikring'!C57+'Gjensidige Forsikring'!C57+'Gjensidige Pensjon'!C57+'Handelsbanken Liv'!C57+'If Skadeforsikring NUF'!C57+KLP!C57+'KLP Bedriftspensjon AS'!C57+'KLP Skadeforsikring AS'!C57+'Landbruksforsikring AS'!C57+'NEMI Forsikring'!C57+'Nordea Liv '!C57+'Oslo Pensjonsforsikring'!C57+'Protector Forsikring'!C57+'SHB Liv'!C57+'Sparebank 1'!C57+'Storebrand Livsforsikring'!C57+'Telenor Forsikring'!C57+'Tryg Forsikring'!C57</f>
        <v>106497.401</v>
      </c>
      <c r="D57" s="24">
        <f t="shared" si="23"/>
        <v>-5.0999999999999996</v>
      </c>
      <c r="E57" s="35"/>
      <c r="F57" s="5"/>
      <c r="G57" s="34"/>
      <c r="H57" s="33"/>
      <c r="I57" s="33"/>
      <c r="J57" s="32"/>
    </row>
    <row r="58" spans="1:10" s="3" customFormat="1" ht="15.75" customHeight="1" x14ac:dyDescent="0.2">
      <c r="A58" s="38" t="s">
        <v>388</v>
      </c>
      <c r="B58" s="45">
        <f>'ACE European Group'!B58+'Danica Pensjonsforsikring'!B58+'DNB Livsforsikring'!B58+'Eika Forsikring AS'!B58+'Frende Livsforsikring'!B58+'Frende Skadeforsikring'!B58+'Gjensidige Forsikring'!B58+'Gjensidige Pensjon'!B58+'Handelsbanken Liv'!B58+'If Skadeforsikring NUF'!B58+KLP!B58+'KLP Bedriftspensjon AS'!B58+'KLP Skadeforsikring AS'!B58+'Landbruksforsikring AS'!B58+'NEMI Forsikring'!B58+'Nordea Liv '!B58+'Oslo Pensjonsforsikring'!B58+'Protector Forsikring'!B58+'SHB Liv'!B58+'Sparebank 1'!B58+'Storebrand Livsforsikring'!B58+'Telenor Forsikring'!B58+'Tryg Forsikring'!B58</f>
        <v>0</v>
      </c>
      <c r="C58" s="45">
        <f>'ACE European Group'!C58+'Danica Pensjonsforsikring'!C58+'DNB Livsforsikring'!C58+'Eika Forsikring AS'!C58+'Frende Livsforsikring'!C58+'Frende Skadeforsikring'!C58+'Gjensidige Forsikring'!C58+'Gjensidige Pensjon'!C58+'Handelsbanken Liv'!C58+'If Skadeforsikring NUF'!C58+KLP!C58+'KLP Bedriftspensjon AS'!C58+'KLP Skadeforsikring AS'!C58+'Landbruksforsikring AS'!C58+'NEMI Forsikring'!C58+'Nordea Liv '!C58+'Oslo Pensjonsforsikring'!C58+'Protector Forsikring'!C58+'SHB Liv'!C58+'Sparebank 1'!C58+'Storebrand Livsforsikring'!C58+'Telenor Forsikring'!C58+'Tryg Forsikring'!C58</f>
        <v>3.2730000000000001</v>
      </c>
      <c r="D58" s="36" t="str">
        <f t="shared" si="23"/>
        <v xml:space="preserve">    ---- </v>
      </c>
      <c r="E58" s="35"/>
      <c r="F58" s="5"/>
      <c r="G58" s="34"/>
      <c r="H58" s="33"/>
      <c r="I58" s="33"/>
      <c r="J58" s="32"/>
    </row>
    <row r="59" spans="1:10" s="3" customFormat="1" ht="15.75" customHeight="1" x14ac:dyDescent="0.25">
      <c r="A59" s="164"/>
      <c r="B59" s="30"/>
      <c r="C59" s="30"/>
      <c r="D59" s="30"/>
      <c r="E59" s="31"/>
      <c r="F59" s="31"/>
      <c r="G59" s="31"/>
      <c r="H59" s="31"/>
      <c r="I59" s="31"/>
      <c r="J59" s="31"/>
    </row>
    <row r="60" spans="1:10" ht="15.75" customHeight="1" x14ac:dyDescent="0.2">
      <c r="A60" s="155"/>
    </row>
    <row r="61" spans="1:10" ht="15.75" customHeight="1" x14ac:dyDescent="0.25">
      <c r="A61" s="147" t="s">
        <v>285</v>
      </c>
      <c r="C61" s="26"/>
      <c r="D61" s="25"/>
      <c r="E61" s="26"/>
      <c r="F61" s="26"/>
      <c r="G61" s="25"/>
      <c r="H61" s="26"/>
      <c r="I61" s="26"/>
      <c r="J61" s="25"/>
    </row>
    <row r="62" spans="1:10" ht="20.100000000000001" customHeight="1" x14ac:dyDescent="0.25">
      <c r="A62" s="149"/>
      <c r="B62" s="721"/>
      <c r="C62" s="721"/>
      <c r="D62" s="721"/>
      <c r="E62" s="721"/>
      <c r="F62" s="721"/>
      <c r="G62" s="721"/>
      <c r="H62" s="721"/>
      <c r="I62" s="721"/>
      <c r="J62" s="721"/>
    </row>
    <row r="63" spans="1:10" ht="15.75" customHeight="1" x14ac:dyDescent="0.2">
      <c r="A63" s="144"/>
      <c r="B63" s="722" t="s">
        <v>0</v>
      </c>
      <c r="C63" s="723"/>
      <c r="D63" s="723"/>
      <c r="E63" s="722" t="s">
        <v>1</v>
      </c>
      <c r="F63" s="723"/>
      <c r="G63" s="724"/>
      <c r="H63" s="723" t="s">
        <v>2</v>
      </c>
      <c r="I63" s="723"/>
      <c r="J63" s="724"/>
    </row>
    <row r="64" spans="1:10" ht="15.75" customHeight="1" x14ac:dyDescent="0.2">
      <c r="A64" s="140"/>
      <c r="B64" s="20" t="s">
        <v>413</v>
      </c>
      <c r="C64" s="20" t="s">
        <v>414</v>
      </c>
      <c r="D64" s="19" t="s">
        <v>3</v>
      </c>
      <c r="E64" s="20" t="s">
        <v>413</v>
      </c>
      <c r="F64" s="20" t="s">
        <v>414</v>
      </c>
      <c r="G64" s="19" t="s">
        <v>3</v>
      </c>
      <c r="H64" s="20" t="s">
        <v>413</v>
      </c>
      <c r="I64" s="20" t="s">
        <v>414</v>
      </c>
      <c r="J64" s="19" t="s">
        <v>3</v>
      </c>
    </row>
    <row r="65" spans="1:10" ht="15.75" customHeight="1" x14ac:dyDescent="0.2">
      <c r="A65" s="643"/>
      <c r="B65" s="15"/>
      <c r="C65" s="15"/>
      <c r="D65" s="17" t="s">
        <v>4</v>
      </c>
      <c r="E65" s="16"/>
      <c r="F65" s="16"/>
      <c r="G65" s="15" t="s">
        <v>4</v>
      </c>
      <c r="H65" s="16"/>
      <c r="I65" s="16"/>
      <c r="J65" s="15" t="s">
        <v>4</v>
      </c>
    </row>
    <row r="66" spans="1:10" s="43" customFormat="1" ht="15.75" customHeight="1" x14ac:dyDescent="0.2">
      <c r="A66" s="14" t="s">
        <v>23</v>
      </c>
      <c r="B66" s="333">
        <f>'ACE European Group'!B66+'Danica Pensjonsforsikring'!B66+'DNB Livsforsikring'!B66+'Eika Forsikring AS'!B66+'Frende Livsforsikring'!B66+'Frende Skadeforsikring'!B66+'Gjensidige Forsikring'!B66+'Gjensidige Pensjon'!B66+'Handelsbanken Liv'!B66+'If Skadeforsikring NUF'!B66+KLP!B66+'KLP Bedriftspensjon AS'!B66+'KLP Skadeforsikring AS'!B66+'Landbruksforsikring AS'!B66+'NEMI Forsikring'!B66+'Nordea Liv '!B66+'Oslo Pensjonsforsikring'!B66+'Protector Forsikring'!B66+'SHB Liv'!B66+'Sparebank 1'!B66+'Storebrand Livsforsikring'!B66+'Telenor Forsikring'!B66+'Tryg Forsikring'!B66</f>
        <v>7818091.2000899995</v>
      </c>
      <c r="C66" s="333">
        <f>'ACE European Group'!C66+'Danica Pensjonsforsikring'!C66+'DNB Livsforsikring'!C66+'Eika Forsikring AS'!C66+'Frende Livsforsikring'!C66+'Frende Skadeforsikring'!C66+'Gjensidige Forsikring'!C66+'Gjensidige Pensjon'!C66+'Handelsbanken Liv'!C66+'If Skadeforsikring NUF'!C66+KLP!C66+'KLP Bedriftspensjon AS'!C66+'KLP Skadeforsikring AS'!C66+'Landbruksforsikring AS'!C66+'NEMI Forsikring'!C66+'Nordea Liv '!C66+'Oslo Pensjonsforsikring'!C66+'Protector Forsikring'!C66+'SHB Liv'!C66+'Sparebank 1'!C66+'Storebrand Livsforsikring'!C66+'Telenor Forsikring'!C66+'Tryg Forsikring'!C66</f>
        <v>7196350.2520500002</v>
      </c>
      <c r="D66" s="24">
        <f t="shared" ref="D66:D111" si="24">IF(B66=0, "    ---- ", IF(ABS(ROUND(100/B66*C66-100,1))&lt;999,ROUND(100/B66*C66-100,1),IF(ROUND(100/B66*C66-100,1)&gt;999,999,-999)))</f>
        <v>-8</v>
      </c>
      <c r="E66" s="237">
        <f>'ACE European Group'!F66+'Danica Pensjonsforsikring'!F66+'DNB Livsforsikring'!F66+'Eika Forsikring AS'!F66+'Frende Livsforsikring'!F66+'Frende Skadeforsikring'!F66+'Gjensidige Forsikring'!F66+'Gjensidige Pensjon'!F66+'Handelsbanken Liv'!F66+'If Skadeforsikring NUF'!F66+KLP!F66+'KLP Bedriftspensjon AS'!F66+'KLP Skadeforsikring AS'!F66+'Landbruksforsikring AS'!F66+'NEMI Forsikring'!F66+'Nordea Liv '!F66+'Oslo Pensjonsforsikring'!F66+'Protector Forsikring'!F66+'SHB Liv'!F66+'Sparebank 1'!F66+'Storebrand Livsforsikring'!F66+'Telenor Forsikring'!F66+'Tryg Forsikring'!F66</f>
        <v>19684863.982809998</v>
      </c>
      <c r="F66" s="237">
        <f>'ACE European Group'!G66+'Danica Pensjonsforsikring'!G66+'DNB Livsforsikring'!G66+'Eika Forsikring AS'!G66+'Frende Livsforsikring'!G66+'Frende Skadeforsikring'!G66+'Gjensidige Forsikring'!G66+'Gjensidige Pensjon'!G66+'Handelsbanken Liv'!G66+'If Skadeforsikring NUF'!G66+KLP!G66+'KLP Bedriftspensjon AS'!G66+'KLP Skadeforsikring AS'!G66+'Landbruksforsikring AS'!G66+'NEMI Forsikring'!G66+'Nordea Liv '!G66+'Oslo Pensjonsforsikring'!G66+'Protector Forsikring'!G66+'SHB Liv'!G66+'Sparebank 1'!G66+'Storebrand Livsforsikring'!G66+'Telenor Forsikring'!G66+'Tryg Forsikring'!G66</f>
        <v>21482709.84821</v>
      </c>
      <c r="G66" s="171">
        <f t="shared" ref="G66:G68" si="25">IF(E66=0, "    ---- ", IF(ABS(ROUND(100/E66*F66-100,1))&lt;999,ROUND(100/E66*F66-100,1),IF(ROUND(100/E66*F66-100,1)&gt;999,999,-999)))</f>
        <v>9.1</v>
      </c>
      <c r="H66" s="333">
        <f t="shared" ref="H66:H86" si="26">SUM(B66,E66)</f>
        <v>27502955.182899997</v>
      </c>
      <c r="I66" s="333">
        <f t="shared" ref="I66:I86" si="27">SUM(C66,F66)</f>
        <v>28679060.100260001</v>
      </c>
      <c r="J66" s="24">
        <f t="shared" ref="J66:J111" si="28">IF(H66=0, "    ---- ", IF(ABS(ROUND(100/H66*I66-100,1))&lt;999,ROUND(100/H66*I66-100,1),IF(ROUND(100/H66*I66-100,1)&gt;999,999,-999)))</f>
        <v>4.3</v>
      </c>
    </row>
    <row r="67" spans="1:10" ht="15.75" customHeight="1" x14ac:dyDescent="0.25">
      <c r="A67" s="21" t="s">
        <v>9</v>
      </c>
      <c r="B67" s="235">
        <f>'ACE European Group'!B67+'Danica Pensjonsforsikring'!B67+'DNB Livsforsikring'!B67+'Eika Forsikring AS'!B67+'Frende Livsforsikring'!B67+'Frende Skadeforsikring'!B67+'Gjensidige Forsikring'!B67+'Gjensidige Pensjon'!B67+'Handelsbanken Liv'!B67+'If Skadeforsikring NUF'!B67+KLP!B67+'KLP Bedriftspensjon AS'!B67+'KLP Skadeforsikring AS'!B67+'Landbruksforsikring AS'!B67+'NEMI Forsikring'!B67+'Nordea Liv '!B67+'Oslo Pensjonsforsikring'!B67+'Protector Forsikring'!B67+'SHB Liv'!B67+'Sparebank 1'!B67+'Storebrand Livsforsikring'!B67+'Telenor Forsikring'!B67+'Tryg Forsikring'!B67</f>
        <v>6453304.1577000003</v>
      </c>
      <c r="C67" s="235">
        <f>'ACE European Group'!C67+'Danica Pensjonsforsikring'!C67+'DNB Livsforsikring'!C67+'Eika Forsikring AS'!C67+'Frende Livsforsikring'!C67+'Frende Skadeforsikring'!C67+'Gjensidige Forsikring'!C67+'Gjensidige Pensjon'!C67+'Handelsbanken Liv'!C67+'If Skadeforsikring NUF'!C67+KLP!C67+'KLP Bedriftspensjon AS'!C67+'KLP Skadeforsikring AS'!C67+'Landbruksforsikring AS'!C67+'NEMI Forsikring'!C67+'Nordea Liv '!C67+'Oslo Pensjonsforsikring'!C67+'Protector Forsikring'!C67+'SHB Liv'!C67+'Sparebank 1'!C67+'Storebrand Livsforsikring'!C67+'Telenor Forsikring'!C67+'Tryg Forsikring'!C67</f>
        <v>5800050.3408199996</v>
      </c>
      <c r="D67" s="242">
        <f t="shared" si="24"/>
        <v>-10.1</v>
      </c>
      <c r="E67" s="44">
        <f>'ACE European Group'!F67+'Danica Pensjonsforsikring'!F67+'DNB Livsforsikring'!F67+'Eika Forsikring AS'!F67+'Frende Livsforsikring'!F67+'Frende Skadeforsikring'!F67+'Gjensidige Forsikring'!F67+'Gjensidige Pensjon'!F67+'Handelsbanken Liv'!F67+'If Skadeforsikring NUF'!F67+KLP!F67+'KLP Bedriftspensjon AS'!F67+'KLP Skadeforsikring AS'!F67+'Landbruksforsikring AS'!F67+'NEMI Forsikring'!F67+'Nordea Liv '!F67+'Oslo Pensjonsforsikring'!F67+'Protector Forsikring'!F67+'SHB Liv'!F67+'Sparebank 1'!F67+'Storebrand Livsforsikring'!F67+'Telenor Forsikring'!F67+'Tryg Forsikring'!F67</f>
        <v>0</v>
      </c>
      <c r="F67" s="44">
        <f>'ACE European Group'!G67+'Danica Pensjonsforsikring'!G67+'DNB Livsforsikring'!G67+'Eika Forsikring AS'!G67+'Frende Livsforsikring'!G67+'Frende Skadeforsikring'!G67+'Gjensidige Forsikring'!G67+'Gjensidige Pensjon'!G67+'Handelsbanken Liv'!G67+'If Skadeforsikring NUF'!G67+KLP!G67+'KLP Bedriftspensjon AS'!G67+'KLP Skadeforsikring AS'!G67+'Landbruksforsikring AS'!G67+'NEMI Forsikring'!G67+'Nordea Liv '!G67+'Oslo Pensjonsforsikring'!G67+'Protector Forsikring'!G67+'SHB Liv'!G67+'Sparebank 1'!G67+'Storebrand Livsforsikring'!G67+'Telenor Forsikring'!G67+'Tryg Forsikring'!G67</f>
        <v>0</v>
      </c>
      <c r="G67" s="23"/>
      <c r="H67" s="238">
        <f t="shared" si="26"/>
        <v>6453304.1577000003</v>
      </c>
      <c r="I67" s="238">
        <f t="shared" si="27"/>
        <v>5800050.3408199996</v>
      </c>
      <c r="J67" s="23">
        <f t="shared" si="28"/>
        <v>-10.1</v>
      </c>
    </row>
    <row r="68" spans="1:10" ht="15.75" customHeight="1" x14ac:dyDescent="0.25">
      <c r="A68" s="21" t="s">
        <v>10</v>
      </c>
      <c r="B68" s="235">
        <f>'ACE European Group'!B68+'Danica Pensjonsforsikring'!B68+'DNB Livsforsikring'!B68+'Eika Forsikring AS'!B68+'Frende Livsforsikring'!B68+'Frende Skadeforsikring'!B68+'Gjensidige Forsikring'!B68+'Gjensidige Pensjon'!B68+'Handelsbanken Liv'!B68+'If Skadeforsikring NUF'!B68+KLP!B68+'KLP Bedriftspensjon AS'!B68+'KLP Skadeforsikring AS'!B68+'Landbruksforsikring AS'!B68+'NEMI Forsikring'!B68+'Nordea Liv '!B68+'Oslo Pensjonsforsikring'!B68+'Protector Forsikring'!B68+'SHB Liv'!B68+'Sparebank 1'!B68+'Storebrand Livsforsikring'!B68+'Telenor Forsikring'!B68+'Tryg Forsikring'!B68</f>
        <v>137950.46448</v>
      </c>
      <c r="C68" s="235">
        <f>'ACE European Group'!C68+'Danica Pensjonsforsikring'!C68+'DNB Livsforsikring'!C68+'Eika Forsikring AS'!C68+'Frende Livsforsikring'!C68+'Frende Skadeforsikring'!C68+'Gjensidige Forsikring'!C68+'Gjensidige Pensjon'!C68+'Handelsbanken Liv'!C68+'If Skadeforsikring NUF'!C68+KLP!C68+'KLP Bedriftspensjon AS'!C68+'KLP Skadeforsikring AS'!C68+'Landbruksforsikring AS'!C68+'NEMI Forsikring'!C68+'Nordea Liv '!C68+'Oslo Pensjonsforsikring'!C68+'Protector Forsikring'!C68+'SHB Liv'!C68+'Sparebank 1'!C68+'Storebrand Livsforsikring'!C68+'Telenor Forsikring'!C68+'Tryg Forsikring'!C68</f>
        <v>132470.12831</v>
      </c>
      <c r="D68" s="242">
        <f t="shared" si="24"/>
        <v>-4</v>
      </c>
      <c r="E68" s="44">
        <f>'ACE European Group'!F68+'Danica Pensjonsforsikring'!F68+'DNB Livsforsikring'!F68+'Eika Forsikring AS'!F68+'Frende Livsforsikring'!F68+'Frende Skadeforsikring'!F68+'Gjensidige Forsikring'!F68+'Gjensidige Pensjon'!F68+'Handelsbanken Liv'!F68+'If Skadeforsikring NUF'!F68+KLP!F68+'KLP Bedriftspensjon AS'!F68+'KLP Skadeforsikring AS'!F68+'Landbruksforsikring AS'!F68+'NEMI Forsikring'!F68+'Nordea Liv '!F68+'Oslo Pensjonsforsikring'!F68+'Protector Forsikring'!F68+'SHB Liv'!F68+'Sparebank 1'!F68+'Storebrand Livsforsikring'!F68+'Telenor Forsikring'!F68+'Tryg Forsikring'!F68</f>
        <v>19462237.96314</v>
      </c>
      <c r="F68" s="44">
        <f>'ACE European Group'!G68+'Danica Pensjonsforsikring'!G68+'DNB Livsforsikring'!G68+'Eika Forsikring AS'!G68+'Frende Livsforsikring'!G68+'Frende Skadeforsikring'!G68+'Gjensidige Forsikring'!G68+'Gjensidige Pensjon'!G68+'Handelsbanken Liv'!G68+'If Skadeforsikring NUF'!G68+KLP!G68+'KLP Bedriftspensjon AS'!G68+'KLP Skadeforsikring AS'!G68+'Landbruksforsikring AS'!G68+'NEMI Forsikring'!G68+'Nordea Liv '!G68+'Oslo Pensjonsforsikring'!G68+'Protector Forsikring'!G68+'SHB Liv'!G68+'Sparebank 1'!G68+'Storebrand Livsforsikring'!G68+'Telenor Forsikring'!G68+'Tryg Forsikring'!G68</f>
        <v>21178067.78822</v>
      </c>
      <c r="G68" s="23">
        <f t="shared" si="25"/>
        <v>8.8000000000000007</v>
      </c>
      <c r="H68" s="238">
        <f t="shared" si="26"/>
        <v>19600188.427620001</v>
      </c>
      <c r="I68" s="238">
        <f t="shared" si="27"/>
        <v>21310537.916529998</v>
      </c>
      <c r="J68" s="23">
        <f t="shared" si="28"/>
        <v>8.6999999999999993</v>
      </c>
    </row>
    <row r="69" spans="1:10" ht="15.75" customHeight="1" x14ac:dyDescent="0.2">
      <c r="A69" s="299" t="s">
        <v>391</v>
      </c>
      <c r="B69" s="44"/>
      <c r="C69" s="44"/>
      <c r="D69" s="27"/>
      <c r="E69" s="44"/>
      <c r="F69" s="44"/>
      <c r="G69" s="166"/>
      <c r="H69" s="238"/>
      <c r="I69" s="238"/>
      <c r="J69" s="23"/>
    </row>
    <row r="70" spans="1:10" ht="15.75" customHeight="1" x14ac:dyDescent="0.2">
      <c r="A70" s="299" t="s">
        <v>12</v>
      </c>
      <c r="B70" s="236"/>
      <c r="C70" s="236"/>
      <c r="D70" s="27"/>
      <c r="E70" s="44"/>
      <c r="F70" s="44"/>
      <c r="G70" s="166"/>
      <c r="H70" s="238"/>
      <c r="I70" s="238"/>
      <c r="J70" s="23"/>
    </row>
    <row r="71" spans="1:10" ht="15.75" customHeight="1" x14ac:dyDescent="0.2">
      <c r="A71" s="299" t="s">
        <v>13</v>
      </c>
      <c r="B71" s="236"/>
      <c r="C71" s="236"/>
      <c r="D71" s="27"/>
      <c r="E71" s="44"/>
      <c r="F71" s="44"/>
      <c r="G71" s="166"/>
      <c r="H71" s="238"/>
      <c r="I71" s="238"/>
      <c r="J71" s="23"/>
    </row>
    <row r="72" spans="1:10" ht="15.75" customHeight="1" x14ac:dyDescent="0.2">
      <c r="A72" s="299" t="s">
        <v>392</v>
      </c>
      <c r="B72" s="44"/>
      <c r="C72" s="44"/>
      <c r="D72" s="27"/>
      <c r="E72" s="44"/>
      <c r="F72" s="44"/>
      <c r="G72" s="166"/>
      <c r="H72" s="238"/>
      <c r="I72" s="238"/>
      <c r="J72" s="24"/>
    </row>
    <row r="73" spans="1:10" ht="15.75" customHeight="1" x14ac:dyDescent="0.2">
      <c r="A73" s="299" t="s">
        <v>12</v>
      </c>
      <c r="B73" s="236"/>
      <c r="C73" s="236"/>
      <c r="D73" s="27"/>
      <c r="E73" s="44"/>
      <c r="F73" s="44"/>
      <c r="G73" s="166"/>
      <c r="H73" s="238"/>
      <c r="I73" s="238"/>
      <c r="J73" s="23"/>
    </row>
    <row r="74" spans="1:10" s="3" customFormat="1" ht="15.75" customHeight="1" x14ac:dyDescent="0.2">
      <c r="A74" s="299" t="s">
        <v>13</v>
      </c>
      <c r="B74" s="236"/>
      <c r="C74" s="236"/>
      <c r="D74" s="27"/>
      <c r="E74" s="44"/>
      <c r="F74" s="44"/>
      <c r="G74" s="166"/>
      <c r="H74" s="238"/>
      <c r="I74" s="238"/>
      <c r="J74" s="23"/>
    </row>
    <row r="75" spans="1:10" s="3" customFormat="1" ht="15.75" customHeight="1" x14ac:dyDescent="0.2">
      <c r="A75" s="21" t="s">
        <v>361</v>
      </c>
      <c r="B75" s="44">
        <f>'ACE European Group'!B75+'Danica Pensjonsforsikring'!B75+'DNB Livsforsikring'!B75+'Eika Forsikring AS'!B75+'Frende Livsforsikring'!B75+'Frende Skadeforsikring'!B75+'Gjensidige Forsikring'!B75+'Gjensidige Pensjon'!B75+'Handelsbanken Liv'!B75+'If Skadeforsikring NUF'!B75+KLP!B75+'KLP Bedriftspensjon AS'!B75+'KLP Skadeforsikring AS'!B75+'Landbruksforsikring AS'!B75+'NEMI Forsikring'!B75+'Nordea Liv '!B75+'Oslo Pensjonsforsikring'!B75+'Protector Forsikring'!B75+'SHB Liv'!B75+'Sparebank 1'!B75+'Storebrand Livsforsikring'!B75+'Telenor Forsikring'!B75+'Tryg Forsikring'!B75</f>
        <v>196379.58338999999</v>
      </c>
      <c r="C75" s="44">
        <f>'ACE European Group'!C75+'Danica Pensjonsforsikring'!C75+'DNB Livsforsikring'!C75+'Eika Forsikring AS'!C75+'Frende Livsforsikring'!C75+'Frende Skadeforsikring'!C75+'Gjensidige Forsikring'!C75+'Gjensidige Pensjon'!C75+'Handelsbanken Liv'!C75+'If Skadeforsikring NUF'!C75+KLP!C75+'KLP Bedriftspensjon AS'!C75+'KLP Skadeforsikring AS'!C75+'Landbruksforsikring AS'!C75+'NEMI Forsikring'!C75+'Nordea Liv '!C75+'Oslo Pensjonsforsikring'!C75+'Protector Forsikring'!C75+'SHB Liv'!C75+'Sparebank 1'!C75+'Storebrand Livsforsikring'!C75+'Telenor Forsikring'!C75+'Tryg Forsikring'!C75</f>
        <v>243025.87884000002</v>
      </c>
      <c r="D75" s="23">
        <f t="shared" si="24"/>
        <v>23.8</v>
      </c>
      <c r="E75" s="44">
        <f>'ACE European Group'!F75+'Danica Pensjonsforsikring'!F75+'DNB Livsforsikring'!F75+'Eika Forsikring AS'!F75+'Frende Livsforsikring'!F75+'Frende Skadeforsikring'!F75+'Gjensidige Forsikring'!F75+'Gjensidige Pensjon'!F75+'Handelsbanken Liv'!F75+'If Skadeforsikring NUF'!F75+KLP!F75+'KLP Bedriftspensjon AS'!F75+'KLP Skadeforsikring AS'!F75+'Landbruksforsikring AS'!F75+'NEMI Forsikring'!F75+'Nordea Liv '!F75+'Oslo Pensjonsforsikring'!F75+'Protector Forsikring'!F75+'SHB Liv'!F75+'Sparebank 1'!F75+'Storebrand Livsforsikring'!F75+'Telenor Forsikring'!F75+'Tryg Forsikring'!F75</f>
        <v>222626.01967000001</v>
      </c>
      <c r="F75" s="44">
        <f>'ACE European Group'!G75+'Danica Pensjonsforsikring'!G75+'DNB Livsforsikring'!G75+'Eika Forsikring AS'!G75+'Frende Livsforsikring'!G75+'Frende Skadeforsikring'!G75+'Gjensidige Forsikring'!G75+'Gjensidige Pensjon'!G75+'Handelsbanken Liv'!G75+'If Skadeforsikring NUF'!G75+KLP!G75+'KLP Bedriftspensjon AS'!G75+'KLP Skadeforsikring AS'!G75+'Landbruksforsikring AS'!G75+'NEMI Forsikring'!G75+'Nordea Liv '!G75+'Oslo Pensjonsforsikring'!G75+'Protector Forsikring'!G75+'SHB Liv'!G75+'Sparebank 1'!G75+'Storebrand Livsforsikring'!G75+'Telenor Forsikring'!G75+'Tryg Forsikring'!G75</f>
        <v>304642.05998999998</v>
      </c>
      <c r="G75" s="23">
        <f t="shared" ref="G75:G79" si="29">IF(E75=0, "    ---- ", IF(ABS(ROUND(100/E75*F75-100,1))&lt;999,ROUND(100/E75*F75-100,1),IF(ROUND(100/E75*F75-100,1)&gt;999,999,-999)))</f>
        <v>36.799999999999997</v>
      </c>
      <c r="H75" s="238">
        <f t="shared" si="26"/>
        <v>419005.60305999999</v>
      </c>
      <c r="I75" s="238">
        <f t="shared" si="27"/>
        <v>547667.93883</v>
      </c>
      <c r="J75" s="23">
        <f t="shared" si="28"/>
        <v>30.7</v>
      </c>
    </row>
    <row r="76" spans="1:10" s="3" customFormat="1" ht="15.75" customHeight="1" x14ac:dyDescent="0.2">
      <c r="A76" s="21" t="s">
        <v>360</v>
      </c>
      <c r="B76" s="44">
        <f>'ACE European Group'!B76+'Danica Pensjonsforsikring'!B76+'DNB Livsforsikring'!B76+'Eika Forsikring AS'!B76+'Frende Livsforsikring'!B76+'Frende Skadeforsikring'!B76+'Gjensidige Forsikring'!B76+'Gjensidige Pensjon'!B76+'Handelsbanken Liv'!B76+'If Skadeforsikring NUF'!B76+KLP!B76+'KLP Bedriftspensjon AS'!B76+'KLP Skadeforsikring AS'!B76+'Landbruksforsikring AS'!B76+'NEMI Forsikring'!B76+'Nordea Liv '!B76+'Oslo Pensjonsforsikring'!B76+'Protector Forsikring'!B76+'SHB Liv'!B76+'Sparebank 1'!B76+'Storebrand Livsforsikring'!B76+'Telenor Forsikring'!B76+'Tryg Forsikring'!B76</f>
        <v>1030456.9945199999</v>
      </c>
      <c r="C76" s="44">
        <f>'ACE European Group'!C76+'Danica Pensjonsforsikring'!C76+'DNB Livsforsikring'!C76+'Eika Forsikring AS'!C76+'Frende Livsforsikring'!C76+'Frende Skadeforsikring'!C76+'Gjensidige Forsikring'!C76+'Gjensidige Pensjon'!C76+'Handelsbanken Liv'!C76+'If Skadeforsikring NUF'!C76+KLP!C76+'KLP Bedriftspensjon AS'!C76+'KLP Skadeforsikring AS'!C76+'Landbruksforsikring AS'!C76+'NEMI Forsikring'!C76+'Nordea Liv '!C76+'Oslo Pensjonsforsikring'!C76+'Protector Forsikring'!C76+'SHB Liv'!C76+'Sparebank 1'!C76+'Storebrand Livsforsikring'!C76+'Telenor Forsikring'!C76+'Tryg Forsikring'!C76</f>
        <v>1020803.90408</v>
      </c>
      <c r="D76" s="23">
        <f t="shared" ref="D76" si="30">IF(B76=0, "    ---- ", IF(ABS(ROUND(100/B76*C76-100,1))&lt;999,ROUND(100/B76*C76-100,1),IF(ROUND(100/B76*C76-100,1)&gt;999,999,-999)))</f>
        <v>-0.9</v>
      </c>
      <c r="E76" s="44">
        <f>'ACE European Group'!F76+'Danica Pensjonsforsikring'!F76+'DNB Livsforsikring'!F76+'Eika Forsikring AS'!F76+'Frende Livsforsikring'!F76+'Frende Skadeforsikring'!F76+'Gjensidige Forsikring'!F76+'Gjensidige Pensjon'!F76+'Handelsbanken Liv'!F76+'If Skadeforsikring NUF'!F76+KLP!F76+'KLP Bedriftspensjon AS'!F76+'KLP Skadeforsikring AS'!F76+'Landbruksforsikring AS'!F76+'NEMI Forsikring'!F76+'Nordea Liv '!F76+'Oslo Pensjonsforsikring'!F76+'Protector Forsikring'!F76+'SHB Liv'!F76+'Sparebank 1'!F76+'Storebrand Livsforsikring'!F76+'Telenor Forsikring'!F76+'Tryg Forsikring'!F76</f>
        <v>0</v>
      </c>
      <c r="F76" s="44">
        <f>'ACE European Group'!G76+'Danica Pensjonsforsikring'!G76+'DNB Livsforsikring'!G76+'Eika Forsikring AS'!G76+'Frende Livsforsikring'!G76+'Frende Skadeforsikring'!G76+'Gjensidige Forsikring'!G76+'Gjensidige Pensjon'!G76+'Handelsbanken Liv'!G76+'If Skadeforsikring NUF'!G76+KLP!G76+'KLP Bedriftspensjon AS'!G76+'KLP Skadeforsikring AS'!G76+'Landbruksforsikring AS'!G76+'NEMI Forsikring'!G76+'Nordea Liv '!G76+'Oslo Pensjonsforsikring'!G76+'Protector Forsikring'!G76+'SHB Liv'!G76+'Sparebank 1'!G76+'Storebrand Livsforsikring'!G76+'Telenor Forsikring'!G76+'Tryg Forsikring'!G76</f>
        <v>0</v>
      </c>
      <c r="G76" s="23" t="str">
        <f t="shared" si="29"/>
        <v xml:space="preserve">    ---- </v>
      </c>
      <c r="H76" s="238">
        <f t="shared" ref="H76" si="31">SUM(B76,E76)</f>
        <v>1030456.9945199999</v>
      </c>
      <c r="I76" s="238">
        <f t="shared" ref="I76" si="32">SUM(C76,F76)</f>
        <v>1020803.90408</v>
      </c>
      <c r="J76" s="23">
        <f t="shared" ref="J76" si="33">IF(H76=0, "    ---- ", IF(ABS(ROUND(100/H76*I76-100,1))&lt;999,ROUND(100/H76*I76-100,1),IF(ROUND(100/H76*I76-100,1)&gt;999,999,-999)))</f>
        <v>-0.9</v>
      </c>
    </row>
    <row r="77" spans="1:10" ht="15.75" customHeight="1" x14ac:dyDescent="0.2">
      <c r="A77" s="21" t="s">
        <v>393</v>
      </c>
      <c r="B77" s="44">
        <f>'ACE European Group'!B77+'Danica Pensjonsforsikring'!B77+'DNB Livsforsikring'!B77+'Eika Forsikring AS'!B77+'Frende Livsforsikring'!B77+'Frende Skadeforsikring'!B77+'Gjensidige Forsikring'!B77+'Gjensidige Pensjon'!B77+'Handelsbanken Liv'!B77+'If Skadeforsikring NUF'!B77+KLP!B77+'KLP Bedriftspensjon AS'!B77+'KLP Skadeforsikring AS'!B77+'Landbruksforsikring AS'!B77+'NEMI Forsikring'!B77+'Nordea Liv '!B77+'Oslo Pensjonsforsikring'!B77+'Protector Forsikring'!B77+'SHB Liv'!B77+'Sparebank 1'!B77+'Storebrand Livsforsikring'!B77+'Telenor Forsikring'!B77+'Tryg Forsikring'!B77</f>
        <v>6387380.9991800003</v>
      </c>
      <c r="C77" s="235">
        <f>'ACE European Group'!C77+'Danica Pensjonsforsikring'!C77+'DNB Livsforsikring'!C77+'Eika Forsikring AS'!C77+'Frende Livsforsikring'!C77+'Frende Skadeforsikring'!C77+'Gjensidige Forsikring'!C77+'Gjensidige Pensjon'!C77+'Handelsbanken Liv'!C77+'If Skadeforsikring NUF'!C77+KLP!C77+'KLP Bedriftspensjon AS'!C77+'KLP Skadeforsikring AS'!C77+'Landbruksforsikring AS'!C77+'NEMI Forsikring'!C77+'Nordea Liv '!C77+'Oslo Pensjonsforsikring'!C77+'Protector Forsikring'!C77+'SHB Liv'!C77+'Sparebank 1'!C77+'Storebrand Livsforsikring'!C77+'Telenor Forsikring'!C77+'Tryg Forsikring'!C77</f>
        <v>5826678.6981300004</v>
      </c>
      <c r="D77" s="23">
        <f t="shared" si="24"/>
        <v>-8.8000000000000007</v>
      </c>
      <c r="E77" s="44">
        <f>'ACE European Group'!F77+'Danica Pensjonsforsikring'!F77+'DNB Livsforsikring'!F77+'Eika Forsikring AS'!F77+'Frende Livsforsikring'!F77+'Frende Skadeforsikring'!F77+'Gjensidige Forsikring'!F77+'Gjensidige Pensjon'!F77+'Handelsbanken Liv'!F77+'If Skadeforsikring NUF'!F77+KLP!F77+'KLP Bedriftspensjon AS'!F77+'KLP Skadeforsikring AS'!F77+'Landbruksforsikring AS'!F77+'NEMI Forsikring'!F77+'Nordea Liv '!F77+'Oslo Pensjonsforsikring'!F77+'Protector Forsikring'!F77+'SHB Liv'!F77+'Sparebank 1'!F77+'Storebrand Livsforsikring'!F77+'Telenor Forsikring'!F77+'Tryg Forsikring'!F77</f>
        <v>19452523.862829998</v>
      </c>
      <c r="F77" s="44">
        <f>'ACE European Group'!G77+'Danica Pensjonsforsikring'!G77+'DNB Livsforsikring'!G77+'Eika Forsikring AS'!G77+'Frende Livsforsikring'!G77+'Frende Skadeforsikring'!G77+'Gjensidige Forsikring'!G77+'Gjensidige Pensjon'!G77+'Handelsbanken Liv'!G77+'If Skadeforsikring NUF'!G77+KLP!G77+'KLP Bedriftspensjon AS'!G77+'KLP Skadeforsikring AS'!G77+'Landbruksforsikring AS'!G77+'NEMI Forsikring'!G77+'Nordea Liv '!G77+'Oslo Pensjonsforsikring'!G77+'Protector Forsikring'!G77+'SHB Liv'!G77+'Sparebank 1'!G77+'Storebrand Livsforsikring'!G77+'Telenor Forsikring'!G77+'Tryg Forsikring'!G77</f>
        <v>21168378.720389999</v>
      </c>
      <c r="G77" s="23">
        <f t="shared" si="29"/>
        <v>8.8000000000000007</v>
      </c>
      <c r="H77" s="238">
        <f t="shared" si="26"/>
        <v>25839904.862009998</v>
      </c>
      <c r="I77" s="238">
        <f t="shared" si="27"/>
        <v>26995057.41852</v>
      </c>
      <c r="J77" s="23">
        <f t="shared" si="28"/>
        <v>4.5</v>
      </c>
    </row>
    <row r="78" spans="1:10" ht="15.75" customHeight="1" x14ac:dyDescent="0.2">
      <c r="A78" s="21" t="s">
        <v>9</v>
      </c>
      <c r="B78" s="44">
        <f>'ACE European Group'!B78+'Danica Pensjonsforsikring'!B78+'DNB Livsforsikring'!B78+'Eika Forsikring AS'!B78+'Frende Livsforsikring'!B78+'Frende Skadeforsikring'!B78+'Gjensidige Forsikring'!B78+'Gjensidige Pensjon'!B78+'Handelsbanken Liv'!B78+'If Skadeforsikring NUF'!B78+KLP!B78+'KLP Bedriftspensjon AS'!B78+'KLP Skadeforsikring AS'!B78+'Landbruksforsikring AS'!B78+'NEMI Forsikring'!B78+'Nordea Liv '!B78+'Oslo Pensjonsforsikring'!B78+'Protector Forsikring'!B78+'SHB Liv'!B78+'Sparebank 1'!B78+'Storebrand Livsforsikring'!B78+'Telenor Forsikring'!B78+'Tryg Forsikring'!B78</f>
        <v>6252548.5447000004</v>
      </c>
      <c r="C78" s="235">
        <f>'ACE European Group'!C78+'Danica Pensjonsforsikring'!C78+'DNB Livsforsikring'!C78+'Eika Forsikring AS'!C78+'Frende Livsforsikring'!C78+'Frende Skadeforsikring'!C78+'Gjensidige Forsikring'!C78+'Gjensidige Pensjon'!C78+'Handelsbanken Liv'!C78+'If Skadeforsikring NUF'!C78+KLP!C78+'KLP Bedriftspensjon AS'!C78+'KLP Skadeforsikring AS'!C78+'Landbruksforsikring AS'!C78+'NEMI Forsikring'!C78+'Nordea Liv '!C78+'Oslo Pensjonsforsikring'!C78+'Protector Forsikring'!C78+'SHB Liv'!C78+'Sparebank 1'!C78+'Storebrand Livsforsikring'!C78+'Telenor Forsikring'!C78+'Tryg Forsikring'!C78</f>
        <v>5697337.42282</v>
      </c>
      <c r="D78" s="23">
        <f t="shared" si="24"/>
        <v>-8.9</v>
      </c>
      <c r="E78" s="44">
        <f>'ACE European Group'!F78+'Danica Pensjonsforsikring'!F78+'DNB Livsforsikring'!F78+'Eika Forsikring AS'!F78+'Frende Livsforsikring'!F78+'Frende Skadeforsikring'!F78+'Gjensidige Forsikring'!F78+'Gjensidige Pensjon'!F78+'Handelsbanken Liv'!F78+'If Skadeforsikring NUF'!F78+KLP!F78+'KLP Bedriftspensjon AS'!F78+'KLP Skadeforsikring AS'!F78+'Landbruksforsikring AS'!F78+'NEMI Forsikring'!F78+'Nordea Liv '!F78+'Oslo Pensjonsforsikring'!F78+'Protector Forsikring'!F78+'SHB Liv'!F78+'Sparebank 1'!F78+'Storebrand Livsforsikring'!F78+'Telenor Forsikring'!F78+'Tryg Forsikring'!F78</f>
        <v>0</v>
      </c>
      <c r="F78" s="44">
        <f>'ACE European Group'!G78+'Danica Pensjonsforsikring'!G78+'DNB Livsforsikring'!G78+'Eika Forsikring AS'!G78+'Frende Livsforsikring'!G78+'Frende Skadeforsikring'!G78+'Gjensidige Forsikring'!G78+'Gjensidige Pensjon'!G78+'Handelsbanken Liv'!G78+'If Skadeforsikring NUF'!G78+KLP!G78+'KLP Bedriftspensjon AS'!G78+'KLP Skadeforsikring AS'!G78+'Landbruksforsikring AS'!G78+'NEMI Forsikring'!G78+'Nordea Liv '!G78+'Oslo Pensjonsforsikring'!G78+'Protector Forsikring'!G78+'SHB Liv'!G78+'Sparebank 1'!G78+'Storebrand Livsforsikring'!G78+'Telenor Forsikring'!G78+'Tryg Forsikring'!G78</f>
        <v>0</v>
      </c>
      <c r="G78" s="23" t="str">
        <f t="shared" si="29"/>
        <v xml:space="preserve">    ---- </v>
      </c>
      <c r="H78" s="238">
        <f t="shared" si="26"/>
        <v>6252548.5447000004</v>
      </c>
      <c r="I78" s="238">
        <f t="shared" si="27"/>
        <v>5697337.42282</v>
      </c>
      <c r="J78" s="23">
        <f t="shared" si="28"/>
        <v>-8.9</v>
      </c>
    </row>
    <row r="79" spans="1:10" ht="15.75" customHeight="1" x14ac:dyDescent="0.2">
      <c r="A79" s="21" t="s">
        <v>10</v>
      </c>
      <c r="B79" s="44">
        <f>'ACE European Group'!B79+'Danica Pensjonsforsikring'!B79+'DNB Livsforsikring'!B79+'Eika Forsikring AS'!B79+'Frende Livsforsikring'!B79+'Frende Skadeforsikring'!B79+'Gjensidige Forsikring'!B79+'Gjensidige Pensjon'!B79+'Handelsbanken Liv'!B79+'If Skadeforsikring NUF'!B79+KLP!B79+'KLP Bedriftspensjon AS'!B79+'KLP Skadeforsikring AS'!B79+'Landbruksforsikring AS'!B79+'NEMI Forsikring'!B79+'Nordea Liv '!B79+'Oslo Pensjonsforsikring'!B79+'Protector Forsikring'!B79+'SHB Liv'!B79+'Sparebank 1'!B79+'Storebrand Livsforsikring'!B79+'Telenor Forsikring'!B79+'Tryg Forsikring'!B79</f>
        <v>134832.45448000001</v>
      </c>
      <c r="C79" s="145">
        <f>'ACE European Group'!C79+'Danica Pensjonsforsikring'!C79+'DNB Livsforsikring'!C79+'Eika Forsikring AS'!C79+'Frende Livsforsikring'!C79+'Frende Skadeforsikring'!C79+'Gjensidige Forsikring'!C79+'Gjensidige Pensjon'!C79+'Handelsbanken Liv'!C79+'If Skadeforsikring NUF'!C79+KLP!C79+'KLP Bedriftspensjon AS'!C79+'KLP Skadeforsikring AS'!C79+'Landbruksforsikring AS'!C79+'NEMI Forsikring'!C79+'Nordea Liv '!C79+'Oslo Pensjonsforsikring'!C79+'Protector Forsikring'!C79+'SHB Liv'!C79+'Sparebank 1'!C79+'Storebrand Livsforsikring'!C79+'Telenor Forsikring'!C79+'Tryg Forsikring'!C79</f>
        <v>129341.27531</v>
      </c>
      <c r="D79" s="23">
        <f t="shared" si="24"/>
        <v>-4.0999999999999996</v>
      </c>
      <c r="E79" s="44">
        <f>'ACE European Group'!F79+'Danica Pensjonsforsikring'!F79+'DNB Livsforsikring'!F79+'Eika Forsikring AS'!F79+'Frende Livsforsikring'!F79+'Frende Skadeforsikring'!F79+'Gjensidige Forsikring'!F79+'Gjensidige Pensjon'!F79+'Handelsbanken Liv'!F79+'If Skadeforsikring NUF'!F79+KLP!F79+'KLP Bedriftspensjon AS'!F79+'KLP Skadeforsikring AS'!F79+'Landbruksforsikring AS'!F79+'NEMI Forsikring'!F79+'Nordea Liv '!F79+'Oslo Pensjonsforsikring'!F79+'Protector Forsikring'!F79+'SHB Liv'!F79+'Sparebank 1'!F79+'Storebrand Livsforsikring'!F79+'Telenor Forsikring'!F79+'Tryg Forsikring'!F79</f>
        <v>19452523.862829998</v>
      </c>
      <c r="F79" s="44">
        <f>'ACE European Group'!G79+'Danica Pensjonsforsikring'!G79+'DNB Livsforsikring'!G79+'Eika Forsikring AS'!G79+'Frende Livsforsikring'!G79+'Frende Skadeforsikring'!G79+'Gjensidige Forsikring'!G79+'Gjensidige Pensjon'!G79+'Handelsbanken Liv'!G79+'If Skadeforsikring NUF'!G79+KLP!G79+'KLP Bedriftspensjon AS'!G79+'KLP Skadeforsikring AS'!G79+'Landbruksforsikring AS'!G79+'NEMI Forsikring'!G79+'Nordea Liv '!G79+'Oslo Pensjonsforsikring'!G79+'Protector Forsikring'!G79+'SHB Liv'!G79+'Sparebank 1'!G79+'Storebrand Livsforsikring'!G79+'Telenor Forsikring'!G79+'Tryg Forsikring'!G79</f>
        <v>21168378.720389999</v>
      </c>
      <c r="G79" s="23">
        <f t="shared" si="29"/>
        <v>8.8000000000000007</v>
      </c>
      <c r="H79" s="238">
        <f t="shared" si="26"/>
        <v>19587356.317309998</v>
      </c>
      <c r="I79" s="238">
        <f t="shared" si="27"/>
        <v>21297719.995699998</v>
      </c>
      <c r="J79" s="23">
        <f t="shared" si="28"/>
        <v>8.6999999999999993</v>
      </c>
    </row>
    <row r="80" spans="1:10" ht="15.75" customHeight="1" x14ac:dyDescent="0.2">
      <c r="A80" s="299" t="s">
        <v>391</v>
      </c>
      <c r="B80" s="44"/>
      <c r="C80" s="44"/>
      <c r="D80" s="27"/>
      <c r="E80" s="44"/>
      <c r="F80" s="44"/>
      <c r="G80" s="166"/>
      <c r="H80" s="238"/>
      <c r="I80" s="238"/>
      <c r="J80" s="23"/>
    </row>
    <row r="81" spans="1:12" ht="15.75" customHeight="1" x14ac:dyDescent="0.2">
      <c r="A81" s="299" t="s">
        <v>12</v>
      </c>
      <c r="B81" s="236"/>
      <c r="C81" s="236"/>
      <c r="D81" s="27"/>
      <c r="E81" s="44"/>
      <c r="F81" s="44"/>
      <c r="G81" s="166"/>
      <c r="H81" s="238"/>
      <c r="I81" s="238"/>
      <c r="J81" s="23"/>
    </row>
    <row r="82" spans="1:12" ht="15.75" customHeight="1" x14ac:dyDescent="0.2">
      <c r="A82" s="299" t="s">
        <v>13</v>
      </c>
      <c r="B82" s="236"/>
      <c r="C82" s="236"/>
      <c r="D82" s="27"/>
      <c r="E82" s="44"/>
      <c r="F82" s="44"/>
      <c r="G82" s="166"/>
      <c r="H82" s="238"/>
      <c r="I82" s="238"/>
      <c r="J82" s="23"/>
    </row>
    <row r="83" spans="1:12" ht="15.75" customHeight="1" x14ac:dyDescent="0.2">
      <c r="A83" s="299" t="s">
        <v>392</v>
      </c>
      <c r="B83" s="44"/>
      <c r="C83" s="44"/>
      <c r="D83" s="27"/>
      <c r="E83" s="44"/>
      <c r="F83" s="44"/>
      <c r="G83" s="166"/>
      <c r="H83" s="238"/>
      <c r="I83" s="238"/>
      <c r="J83" s="24"/>
    </row>
    <row r="84" spans="1:12" ht="15.75" customHeight="1" x14ac:dyDescent="0.2">
      <c r="A84" s="299" t="s">
        <v>12</v>
      </c>
      <c r="B84" s="236"/>
      <c r="C84" s="236"/>
      <c r="D84" s="27"/>
      <c r="E84" s="44"/>
      <c r="F84" s="44"/>
      <c r="G84" s="166"/>
      <c r="H84" s="238"/>
      <c r="I84" s="238"/>
      <c r="J84" s="23"/>
    </row>
    <row r="85" spans="1:12" ht="15.75" customHeight="1" x14ac:dyDescent="0.2">
      <c r="A85" s="299" t="s">
        <v>13</v>
      </c>
      <c r="B85" s="236"/>
      <c r="C85" s="236"/>
      <c r="D85" s="27"/>
      <c r="E85" s="44"/>
      <c r="F85" s="44"/>
      <c r="G85" s="166"/>
      <c r="H85" s="238"/>
      <c r="I85" s="238"/>
      <c r="J85" s="23"/>
    </row>
    <row r="86" spans="1:12" ht="15.75" customHeight="1" x14ac:dyDescent="0.2">
      <c r="A86" s="21" t="s">
        <v>394</v>
      </c>
      <c r="B86" s="235">
        <f>'ACE European Group'!B86+'Danica Pensjonsforsikring'!B86+'DNB Livsforsikring'!B86+'Eika Forsikring AS'!B86+'Frende Livsforsikring'!B86+'Frende Skadeforsikring'!B86+'Gjensidige Forsikring'!B86+'Gjensidige Pensjon'!B86+'Handelsbanken Liv'!B86+'If Skadeforsikring NUF'!B86+KLP!B86+'KLP Bedriftspensjon AS'!B86+'KLP Skadeforsikring AS'!B86+'Landbruksforsikring AS'!B86+'NEMI Forsikring'!B86+'Nordea Liv '!B86+'Oslo Pensjonsforsikring'!B86+'Protector Forsikring'!B86+'SHB Liv'!B86+'Sparebank 1'!B86+'Storebrand Livsforsikring'!B86+'Telenor Forsikring'!B86+'Tryg Forsikring'!B86</f>
        <v>203873.62299999999</v>
      </c>
      <c r="C86" s="235">
        <f>'ACE European Group'!C86+'Danica Pensjonsforsikring'!C86+'DNB Livsforsikring'!C86+'Eika Forsikring AS'!C86+'Frende Livsforsikring'!C86+'Frende Skadeforsikring'!C86+'Gjensidige Forsikring'!C86+'Gjensidige Pensjon'!C86+'Handelsbanken Liv'!C86+'If Skadeforsikring NUF'!C86+KLP!C86+'KLP Bedriftspensjon AS'!C86+'KLP Skadeforsikring AS'!C86+'Landbruksforsikring AS'!C86+'NEMI Forsikring'!C86+'Nordea Liv '!C86+'Oslo Pensjonsforsikring'!C86+'Protector Forsikring'!C86+'SHB Liv'!C86+'Sparebank 1'!C86+'Storebrand Livsforsikring'!C86+'Telenor Forsikring'!C86+'Tryg Forsikring'!C86</f>
        <v>105841.77100000001</v>
      </c>
      <c r="D86" s="23">
        <f t="shared" si="24"/>
        <v>-48.1</v>
      </c>
      <c r="E86" s="44">
        <f>'ACE European Group'!F86+'Danica Pensjonsforsikring'!F86+'DNB Livsforsikring'!F86+'Eika Forsikring AS'!F86+'Frende Livsforsikring'!F86+'Frende Skadeforsikring'!F86+'Gjensidige Forsikring'!F86+'Gjensidige Pensjon'!F86+'Handelsbanken Liv'!F86+'If Skadeforsikring NUF'!F86+KLP!F86+'KLP Bedriftspensjon AS'!F86+'KLP Skadeforsikring AS'!F86+'Landbruksforsikring AS'!F86+'NEMI Forsikring'!F86+'Nordea Liv '!F86+'Oslo Pensjonsforsikring'!F86+'Protector Forsikring'!F86+'SHB Liv'!F86+'Sparebank 1'!F86+'Storebrand Livsforsikring'!F86+'Telenor Forsikring'!F86+'Tryg Forsikring'!F86</f>
        <v>9714.1003099999998</v>
      </c>
      <c r="F86" s="44">
        <f>'ACE European Group'!G86+'Danica Pensjonsforsikring'!G86+'DNB Livsforsikring'!G86+'Eika Forsikring AS'!G86+'Frende Livsforsikring'!G86+'Frende Skadeforsikring'!G86+'Gjensidige Forsikring'!G86+'Gjensidige Pensjon'!G86+'Handelsbanken Liv'!G86+'If Skadeforsikring NUF'!G86+KLP!G86+'KLP Bedriftspensjon AS'!G86+'KLP Skadeforsikring AS'!G86+'Landbruksforsikring AS'!G86+'NEMI Forsikring'!G86+'Nordea Liv '!G86+'Oslo Pensjonsforsikring'!G86+'Protector Forsikring'!G86+'SHB Liv'!G86+'Sparebank 1'!G86+'Storebrand Livsforsikring'!G86+'Telenor Forsikring'!G86+'Tryg Forsikring'!G86</f>
        <v>9689.0668299999998</v>
      </c>
      <c r="G86" s="23">
        <f t="shared" ref="G86:G89" si="34">IF(E86=0, "    ---- ", IF(ABS(ROUND(100/E86*F86-100,1))&lt;999,ROUND(100/E86*F86-100,1),IF(ROUND(100/E86*F86-100,1)&gt;999,999,-999)))</f>
        <v>-0.3</v>
      </c>
      <c r="H86" s="238">
        <f t="shared" si="26"/>
        <v>213587.72331</v>
      </c>
      <c r="I86" s="238">
        <f t="shared" si="27"/>
        <v>115530.83783</v>
      </c>
      <c r="J86" s="23">
        <f t="shared" si="28"/>
        <v>-45.9</v>
      </c>
    </row>
    <row r="87" spans="1:12" s="43" customFormat="1" ht="15.75" customHeight="1" x14ac:dyDescent="0.2">
      <c r="A87" s="13" t="s">
        <v>376</v>
      </c>
      <c r="B87" s="311">
        <f>'ACE European Group'!B87+'Danica Pensjonsforsikring'!B87+'DNB Livsforsikring'!B87+'Eika Forsikring AS'!B87+'Frende Livsforsikring'!B87+'Frende Skadeforsikring'!B87+'Gjensidige Forsikring'!B87+'Gjensidige Pensjon'!B87+'Handelsbanken Liv'!B87+'If Skadeforsikring NUF'!B87+KLP!B87+'KLP Bedriftspensjon AS'!B87+'KLP Skadeforsikring AS'!B87+'Landbruksforsikring AS'!B87+'NEMI Forsikring'!B87+'Nordea Liv '!B87+'Oslo Pensjonsforsikring'!B87+'Protector Forsikring'!B87+'SHB Liv'!B87+'Sparebank 1'!B87+'Storebrand Livsforsikring'!B87+'Telenor Forsikring'!B87+'Tryg Forsikring'!B87</f>
        <v>380237441.83810288</v>
      </c>
      <c r="C87" s="311">
        <f>'ACE European Group'!C87+'Danica Pensjonsforsikring'!C87+'DNB Livsforsikring'!C87+'Eika Forsikring AS'!C87+'Frende Livsforsikring'!C87+'Frende Skadeforsikring'!C87+'Gjensidige Forsikring'!C87+'Gjensidige Pensjon'!C87+'Handelsbanken Liv'!C87+'If Skadeforsikring NUF'!C87+KLP!C87+'KLP Bedriftspensjon AS'!C87+'KLP Skadeforsikring AS'!C87+'Landbruksforsikring AS'!C87+'NEMI Forsikring'!C87+'Nordea Liv '!C87+'Oslo Pensjonsforsikring'!C87+'Protector Forsikring'!C87+'SHB Liv'!C87+'Sparebank 1'!C87+'Storebrand Livsforsikring'!C87+'Telenor Forsikring'!C87+'Tryg Forsikring'!C87</f>
        <v>385752452.07682163</v>
      </c>
      <c r="D87" s="24">
        <f t="shared" si="24"/>
        <v>1.5</v>
      </c>
      <c r="E87" s="237">
        <f>'ACE European Group'!F87+'Danica Pensjonsforsikring'!F87+'DNB Livsforsikring'!F87+'Eika Forsikring AS'!F87+'Frende Livsforsikring'!F87+'Frende Skadeforsikring'!F87+'Gjensidige Forsikring'!F87+'Gjensidige Pensjon'!F87+'Handelsbanken Liv'!F87+'If Skadeforsikring NUF'!F87+KLP!F87+'KLP Bedriftspensjon AS'!F87+'KLP Skadeforsikring AS'!F87+'Landbruksforsikring AS'!F87+'NEMI Forsikring'!F87+'Nordea Liv '!F87+'Oslo Pensjonsforsikring'!F87+'Protector Forsikring'!F87+'SHB Liv'!F87+'Sparebank 1'!F87+'Storebrand Livsforsikring'!F87+'Telenor Forsikring'!F87+'Tryg Forsikring'!F87</f>
        <v>210528447.54627991</v>
      </c>
      <c r="F87" s="237">
        <f>'ACE European Group'!G87+'Danica Pensjonsforsikring'!G87+'DNB Livsforsikring'!G87+'Eika Forsikring AS'!G87+'Frende Livsforsikring'!G87+'Frende Skadeforsikring'!G87+'Gjensidige Forsikring'!G87+'Gjensidige Pensjon'!G87+'Handelsbanken Liv'!G87+'If Skadeforsikring NUF'!G87+KLP!G87+'KLP Bedriftspensjon AS'!G87+'KLP Skadeforsikring AS'!G87+'Landbruksforsikring AS'!G87+'NEMI Forsikring'!G87+'Nordea Liv '!G87+'Oslo Pensjonsforsikring'!G87+'Protector Forsikring'!G87+'SHB Liv'!G87+'Sparebank 1'!G87+'Storebrand Livsforsikring'!G87+'Telenor Forsikring'!G87+'Tryg Forsikring'!G87</f>
        <v>259587592.96527541</v>
      </c>
      <c r="G87" s="24">
        <f t="shared" si="34"/>
        <v>23.3</v>
      </c>
      <c r="H87" s="333">
        <f t="shared" ref="H87:H111" si="35">SUM(B87,E87)</f>
        <v>590765889.38438272</v>
      </c>
      <c r="I87" s="333">
        <f t="shared" ref="I87:I111" si="36">SUM(C87,F87)</f>
        <v>645340045.04209709</v>
      </c>
      <c r="J87" s="24">
        <f t="shared" si="28"/>
        <v>9.1999999999999993</v>
      </c>
    </row>
    <row r="88" spans="1:12" ht="15.75" customHeight="1" x14ac:dyDescent="0.2">
      <c r="A88" s="21" t="s">
        <v>9</v>
      </c>
      <c r="B88" s="235">
        <f>'ACE European Group'!B88+'Danica Pensjonsforsikring'!B88+'DNB Livsforsikring'!B88+'Eika Forsikring AS'!B88+'Frende Livsforsikring'!B88+'Frende Skadeforsikring'!B88+'Gjensidige Forsikring'!B88+'Gjensidige Pensjon'!B88+'Handelsbanken Liv'!B88+'If Skadeforsikring NUF'!B88+KLP!B88+'KLP Bedriftspensjon AS'!B88+'KLP Skadeforsikring AS'!B88+'Landbruksforsikring AS'!B88+'NEMI Forsikring'!B88+'Nordea Liv '!B88+'Oslo Pensjonsforsikring'!B88+'Protector Forsikring'!B88+'SHB Liv'!B88+'Sparebank 1'!B88+'Storebrand Livsforsikring'!B88+'Telenor Forsikring'!B88+'Tryg Forsikring'!B88</f>
        <v>372841730.7611593</v>
      </c>
      <c r="C88" s="235">
        <f>'ACE European Group'!C88+'Danica Pensjonsforsikring'!C88+'DNB Livsforsikring'!C88+'Eika Forsikring AS'!C88+'Frende Livsforsikring'!C88+'Frende Skadeforsikring'!C88+'Gjensidige Forsikring'!C88+'Gjensidige Pensjon'!C88+'Handelsbanken Liv'!C88+'If Skadeforsikring NUF'!C88+KLP!C88+'KLP Bedriftspensjon AS'!C88+'KLP Skadeforsikring AS'!C88+'Landbruksforsikring AS'!C88+'NEMI Forsikring'!C88+'Nordea Liv '!C88+'Oslo Pensjonsforsikring'!C88+'Protector Forsikring'!C88+'SHB Liv'!C88+'Sparebank 1'!C88+'Storebrand Livsforsikring'!C88+'Telenor Forsikring'!C88+'Tryg Forsikring'!C88</f>
        <v>377020967.67783427</v>
      </c>
      <c r="D88" s="23">
        <f t="shared" si="24"/>
        <v>1.1000000000000001</v>
      </c>
      <c r="E88" s="44">
        <f>'ACE European Group'!F88+'Danica Pensjonsforsikring'!F88+'DNB Livsforsikring'!F88+'Eika Forsikring AS'!F88+'Frende Livsforsikring'!F88+'Frende Skadeforsikring'!F88+'Gjensidige Forsikring'!F88+'Gjensidige Pensjon'!F88+'Handelsbanken Liv'!F88+'If Skadeforsikring NUF'!F88+KLP!F88+'KLP Bedriftspensjon AS'!F88+'KLP Skadeforsikring AS'!F88+'Landbruksforsikring AS'!F88+'NEMI Forsikring'!F88+'Nordea Liv '!F88+'Oslo Pensjonsforsikring'!F88+'Protector Forsikring'!F88+'SHB Liv'!F88+'Sparebank 1'!F88+'Storebrand Livsforsikring'!F88+'Telenor Forsikring'!F88+'Tryg Forsikring'!F88</f>
        <v>0</v>
      </c>
      <c r="F88" s="44">
        <f>'ACE European Group'!G88+'Danica Pensjonsforsikring'!G88+'DNB Livsforsikring'!G88+'Eika Forsikring AS'!G88+'Frende Livsforsikring'!G88+'Frende Skadeforsikring'!G88+'Gjensidige Forsikring'!G88+'Gjensidige Pensjon'!G88+'Handelsbanken Liv'!G88+'If Skadeforsikring NUF'!G88+KLP!G88+'KLP Bedriftspensjon AS'!G88+'KLP Skadeforsikring AS'!G88+'Landbruksforsikring AS'!G88+'NEMI Forsikring'!G88+'Nordea Liv '!G88+'Oslo Pensjonsforsikring'!G88+'Protector Forsikring'!G88+'SHB Liv'!G88+'Sparebank 1'!G88+'Storebrand Livsforsikring'!G88+'Telenor Forsikring'!G88+'Tryg Forsikring'!G88</f>
        <v>0</v>
      </c>
      <c r="G88" s="23"/>
      <c r="H88" s="238">
        <f t="shared" si="35"/>
        <v>372841730.7611593</v>
      </c>
      <c r="I88" s="238">
        <f t="shared" si="36"/>
        <v>377020967.67783427</v>
      </c>
      <c r="J88" s="23">
        <f t="shared" si="28"/>
        <v>1.1000000000000001</v>
      </c>
      <c r="K88" s="149"/>
      <c r="L88" s="149"/>
    </row>
    <row r="89" spans="1:12" ht="15.75" customHeight="1" x14ac:dyDescent="0.2">
      <c r="A89" s="21" t="s">
        <v>10</v>
      </c>
      <c r="B89" s="235">
        <f>'ACE European Group'!B89+'Danica Pensjonsforsikring'!B89+'DNB Livsforsikring'!B89+'Eika Forsikring AS'!B89+'Frende Livsforsikring'!B89+'Frende Skadeforsikring'!B89+'Gjensidige Forsikring'!B89+'Gjensidige Pensjon'!B89+'Handelsbanken Liv'!B89+'If Skadeforsikring NUF'!B89+KLP!B89+'KLP Bedriftspensjon AS'!B89+'KLP Skadeforsikring AS'!B89+'Landbruksforsikring AS'!B89+'NEMI Forsikring'!B89+'Nordea Liv '!B89+'Oslo Pensjonsforsikring'!B89+'Protector Forsikring'!B89+'SHB Liv'!B89+'Sparebank 1'!B89+'Storebrand Livsforsikring'!B89+'Telenor Forsikring'!B89+'Tryg Forsikring'!B89</f>
        <v>2502034.6195535795</v>
      </c>
      <c r="C89" s="235">
        <f>'ACE European Group'!C89+'Danica Pensjonsforsikring'!C89+'DNB Livsforsikring'!C89+'Eika Forsikring AS'!C89+'Frende Livsforsikring'!C89+'Frende Skadeforsikring'!C89+'Gjensidige Forsikring'!C89+'Gjensidige Pensjon'!C89+'Handelsbanken Liv'!C89+'If Skadeforsikring NUF'!C89+KLP!C89+'KLP Bedriftspensjon AS'!C89+'KLP Skadeforsikring AS'!C89+'Landbruksforsikring AS'!C89+'NEMI Forsikring'!C89+'Nordea Liv '!C89+'Oslo Pensjonsforsikring'!C89+'Protector Forsikring'!C89+'SHB Liv'!C89+'Sparebank 1'!C89+'Storebrand Livsforsikring'!C89+'Telenor Forsikring'!C89+'Tryg Forsikring'!C89</f>
        <v>2636927.1810573502</v>
      </c>
      <c r="D89" s="23">
        <f t="shared" si="24"/>
        <v>5.4</v>
      </c>
      <c r="E89" s="44">
        <f>'ACE European Group'!F89+'Danica Pensjonsforsikring'!F89+'DNB Livsforsikring'!F89+'Eika Forsikring AS'!F89+'Frende Livsforsikring'!F89+'Frende Skadeforsikring'!F89+'Gjensidige Forsikring'!F89+'Gjensidige Pensjon'!F89+'Handelsbanken Liv'!F89+'If Skadeforsikring NUF'!F89+KLP!F89+'KLP Bedriftspensjon AS'!F89+'KLP Skadeforsikring AS'!F89+'Landbruksforsikring AS'!F89+'NEMI Forsikring'!F89+'Nordea Liv '!F89+'Oslo Pensjonsforsikring'!F89+'Protector Forsikring'!F89+'SHB Liv'!F89+'Sparebank 1'!F89+'Storebrand Livsforsikring'!F89+'Telenor Forsikring'!F89+'Tryg Forsikring'!F89</f>
        <v>209912156.94425991</v>
      </c>
      <c r="F89" s="44">
        <f>'ACE European Group'!G89+'Danica Pensjonsforsikring'!G89+'DNB Livsforsikring'!G89+'Eika Forsikring AS'!G89+'Frende Livsforsikring'!G89+'Frende Skadeforsikring'!G89+'Gjensidige Forsikring'!G89+'Gjensidige Pensjon'!G89+'Handelsbanken Liv'!G89+'If Skadeforsikring NUF'!G89+KLP!G89+'KLP Bedriftspensjon AS'!G89+'KLP Skadeforsikring AS'!G89+'Landbruksforsikring AS'!G89+'NEMI Forsikring'!G89+'Nordea Liv '!G89+'Oslo Pensjonsforsikring'!G89+'Protector Forsikring'!G89+'SHB Liv'!G89+'Sparebank 1'!G89+'Storebrand Livsforsikring'!G89+'Telenor Forsikring'!G89+'Tryg Forsikring'!G89</f>
        <v>258556149.83675539</v>
      </c>
      <c r="G89" s="23">
        <f t="shared" si="34"/>
        <v>23.2</v>
      </c>
      <c r="H89" s="238">
        <f t="shared" si="35"/>
        <v>212414191.56381348</v>
      </c>
      <c r="I89" s="238">
        <f t="shared" si="36"/>
        <v>261193077.01781276</v>
      </c>
      <c r="J89" s="23">
        <f t="shared" si="28"/>
        <v>23</v>
      </c>
      <c r="K89" s="149"/>
      <c r="L89" s="149"/>
    </row>
    <row r="90" spans="1:12" ht="15.75" customHeight="1" x14ac:dyDescent="0.2">
      <c r="A90" s="299" t="s">
        <v>391</v>
      </c>
      <c r="B90" s="44"/>
      <c r="C90" s="44"/>
      <c r="D90" s="27"/>
      <c r="E90" s="44"/>
      <c r="F90" s="44"/>
      <c r="G90" s="166"/>
      <c r="H90" s="238"/>
      <c r="I90" s="238"/>
      <c r="J90" s="23"/>
    </row>
    <row r="91" spans="1:12" ht="15.75" customHeight="1" x14ac:dyDescent="0.2">
      <c r="A91" s="299" t="s">
        <v>12</v>
      </c>
      <c r="B91" s="236"/>
      <c r="C91" s="236"/>
      <c r="D91" s="27"/>
      <c r="E91" s="44"/>
      <c r="F91" s="44"/>
      <c r="G91" s="166"/>
      <c r="H91" s="238"/>
      <c r="I91" s="238"/>
      <c r="J91" s="23"/>
    </row>
    <row r="92" spans="1:12" ht="15.75" customHeight="1" x14ac:dyDescent="0.2">
      <c r="A92" s="299" t="s">
        <v>13</v>
      </c>
      <c r="B92" s="236"/>
      <c r="C92" s="236"/>
      <c r="D92" s="27"/>
      <c r="E92" s="44"/>
      <c r="F92" s="44"/>
      <c r="G92" s="166"/>
      <c r="H92" s="238"/>
      <c r="I92" s="238"/>
      <c r="J92" s="23"/>
    </row>
    <row r="93" spans="1:12" ht="15.75" customHeight="1" x14ac:dyDescent="0.2">
      <c r="A93" s="299" t="s">
        <v>392</v>
      </c>
      <c r="B93" s="44"/>
      <c r="C93" s="44"/>
      <c r="D93" s="27"/>
      <c r="E93" s="44"/>
      <c r="F93" s="44"/>
      <c r="G93" s="166"/>
      <c r="H93" s="238"/>
      <c r="I93" s="238"/>
      <c r="J93" s="23"/>
    </row>
    <row r="94" spans="1:12" ht="15.75" customHeight="1" x14ac:dyDescent="0.2">
      <c r="A94" s="299" t="s">
        <v>12</v>
      </c>
      <c r="B94" s="236"/>
      <c r="C94" s="236"/>
      <c r="D94" s="27"/>
      <c r="E94" s="44"/>
      <c r="F94" s="44"/>
      <c r="G94" s="166"/>
      <c r="H94" s="238"/>
      <c r="I94" s="238"/>
      <c r="J94" s="23"/>
    </row>
    <row r="95" spans="1:12" ht="15.75" customHeight="1" x14ac:dyDescent="0.2">
      <c r="A95" s="299" t="s">
        <v>13</v>
      </c>
      <c r="B95" s="236"/>
      <c r="C95" s="236"/>
      <c r="D95" s="27"/>
      <c r="E95" s="44"/>
      <c r="F95" s="44"/>
      <c r="G95" s="166"/>
      <c r="H95" s="238"/>
      <c r="I95" s="238"/>
      <c r="J95" s="23"/>
    </row>
    <row r="96" spans="1:12" ht="15.75" customHeight="1" x14ac:dyDescent="0.2">
      <c r="A96" s="21" t="s">
        <v>361</v>
      </c>
      <c r="B96" s="235">
        <f>'ACE European Group'!B96+'Danica Pensjonsforsikring'!B96+'DNB Livsforsikring'!B96+'Eika Forsikring AS'!B96+'Frende Livsforsikring'!B96+'Frende Skadeforsikring'!B96+'Gjensidige Forsikring'!B96+'Gjensidige Pensjon'!B96+'Handelsbanken Liv'!B96+'If Skadeforsikring NUF'!B96+KLP!B96+'KLP Bedriftspensjon AS'!B96+'KLP Skadeforsikring AS'!B96+'Landbruksforsikring AS'!B96+'NEMI Forsikring'!B96+'Nordea Liv '!B96+'Oslo Pensjonsforsikring'!B96+'Protector Forsikring'!B96+'SHB Liv'!B96+'Sparebank 1'!B96+'Storebrand Livsforsikring'!B96+'Telenor Forsikring'!B96+'Tryg Forsikring'!B96</f>
        <v>327426.80781000003</v>
      </c>
      <c r="C96" s="235">
        <f>'ACE European Group'!C96+'Danica Pensjonsforsikring'!C96+'DNB Livsforsikring'!C96+'Eika Forsikring AS'!C96+'Frende Livsforsikring'!C96+'Frende Skadeforsikring'!C96+'Gjensidige Forsikring'!C96+'Gjensidige Pensjon'!C96+'Handelsbanken Liv'!C96+'If Skadeforsikring NUF'!C96+KLP!C96+'KLP Bedriftspensjon AS'!C96+'KLP Skadeforsikring AS'!C96+'Landbruksforsikring AS'!C96+'NEMI Forsikring'!C96+'Nordea Liv '!C96+'Oslo Pensjonsforsikring'!C96+'Protector Forsikring'!C96+'SHB Liv'!C96+'Sparebank 1'!C96+'Storebrand Livsforsikring'!C96+'Telenor Forsikring'!C96+'Tryg Forsikring'!C96</f>
        <v>756706.69482999993</v>
      </c>
      <c r="D96" s="23">
        <f t="shared" si="24"/>
        <v>131.1</v>
      </c>
      <c r="E96" s="44">
        <f>'ACE European Group'!F96+'Danica Pensjonsforsikring'!F96+'DNB Livsforsikring'!F96+'Eika Forsikring AS'!F96+'Frende Livsforsikring'!F96+'Frende Skadeforsikring'!F96+'Gjensidige Forsikring'!F96+'Gjensidige Pensjon'!F96+'Handelsbanken Liv'!F96+'If Skadeforsikring NUF'!F96+KLP!F96+'KLP Bedriftspensjon AS'!F96+'KLP Skadeforsikring AS'!F96+'Landbruksforsikring AS'!F96+'NEMI Forsikring'!F96+'Nordea Liv '!F96+'Oslo Pensjonsforsikring'!F96+'Protector Forsikring'!F96+'SHB Liv'!F96+'Sparebank 1'!F96+'Storebrand Livsforsikring'!F96+'Telenor Forsikring'!F96+'Tryg Forsikring'!F96</f>
        <v>616290.60201999999</v>
      </c>
      <c r="F96" s="44">
        <f>'ACE European Group'!G96+'Danica Pensjonsforsikring'!G96+'DNB Livsforsikring'!G96+'Eika Forsikring AS'!G96+'Frende Livsforsikring'!G96+'Frende Skadeforsikring'!G96+'Gjensidige Forsikring'!G96+'Gjensidige Pensjon'!G96+'Handelsbanken Liv'!G96+'If Skadeforsikring NUF'!G96+KLP!G96+'KLP Bedriftspensjon AS'!G96+'KLP Skadeforsikring AS'!G96+'Landbruksforsikring AS'!G96+'NEMI Forsikring'!G96+'Nordea Liv '!G96+'Oslo Pensjonsforsikring'!G96+'Protector Forsikring'!G96+'SHB Liv'!G96+'Sparebank 1'!G96+'Storebrand Livsforsikring'!G96+'Telenor Forsikring'!G96+'Tryg Forsikring'!G96</f>
        <v>1031443.12852</v>
      </c>
      <c r="G96" s="23">
        <f t="shared" ref="G96:G100" si="37">IF(E96=0, "    ---- ", IF(ABS(ROUND(100/E96*F96-100,1))&lt;999,ROUND(100/E96*F96-100,1),IF(ROUND(100/E96*F96-100,1)&gt;999,999,-999)))</f>
        <v>67.400000000000006</v>
      </c>
      <c r="H96" s="238">
        <f t="shared" si="35"/>
        <v>943717.40983000002</v>
      </c>
      <c r="I96" s="238">
        <f t="shared" si="36"/>
        <v>1788149.82335</v>
      </c>
      <c r="J96" s="23">
        <f t="shared" si="28"/>
        <v>89.5</v>
      </c>
    </row>
    <row r="97" spans="1:10" ht="15.75" customHeight="1" x14ac:dyDescent="0.2">
      <c r="A97" s="21" t="s">
        <v>360</v>
      </c>
      <c r="B97" s="235">
        <f>'ACE European Group'!B97+'Danica Pensjonsforsikring'!B97+'DNB Livsforsikring'!B97+'Eika Forsikring AS'!B97+'Frende Livsforsikring'!B97+'Frende Skadeforsikring'!B97+'Gjensidige Forsikring'!B97+'Gjensidige Pensjon'!B97+'Handelsbanken Liv'!B97+'If Skadeforsikring NUF'!B97+KLP!B97+'KLP Bedriftspensjon AS'!B97+'KLP Skadeforsikring AS'!B97+'Landbruksforsikring AS'!B97+'NEMI Forsikring'!B97+'Nordea Liv '!B97+'Oslo Pensjonsforsikring'!B97+'Protector Forsikring'!B97+'SHB Liv'!B97+'Sparebank 1'!B97+'Storebrand Livsforsikring'!B97+'Telenor Forsikring'!B97+'Tryg Forsikring'!B97</f>
        <v>4566249.64958</v>
      </c>
      <c r="C97" s="235">
        <f>'ACE European Group'!C97+'Danica Pensjonsforsikring'!C97+'DNB Livsforsikring'!C97+'Eika Forsikring AS'!C97+'Frende Livsforsikring'!C97+'Frende Skadeforsikring'!C97+'Gjensidige Forsikring'!C97+'Gjensidige Pensjon'!C97+'Handelsbanken Liv'!C97+'If Skadeforsikring NUF'!C97+KLP!C97+'KLP Bedriftspensjon AS'!C97+'KLP Skadeforsikring AS'!C97+'Landbruksforsikring AS'!C97+'NEMI Forsikring'!C97+'Nordea Liv '!C97+'Oslo Pensjonsforsikring'!C97+'Protector Forsikring'!C97+'SHB Liv'!C97+'Sparebank 1'!C97+'Storebrand Livsforsikring'!C97+'Telenor Forsikring'!C97+'Tryg Forsikring'!C97</f>
        <v>5337850.5230999999</v>
      </c>
      <c r="D97" s="23">
        <f t="shared" ref="D97" si="38">IF(B97=0, "    ---- ", IF(ABS(ROUND(100/B97*C97-100,1))&lt;999,ROUND(100/B97*C97-100,1),IF(ROUND(100/B97*C97-100,1)&gt;999,999,-999)))</f>
        <v>16.899999999999999</v>
      </c>
      <c r="E97" s="44">
        <f>'ACE European Group'!F97+'Danica Pensjonsforsikring'!F97+'DNB Livsforsikring'!F97+'Eika Forsikring AS'!F97+'Frende Livsforsikring'!F97+'Frende Skadeforsikring'!F97+'Gjensidige Forsikring'!F97+'Gjensidige Pensjon'!F97+'Handelsbanken Liv'!F97+'If Skadeforsikring NUF'!F97+KLP!F97+'KLP Bedriftspensjon AS'!F97+'KLP Skadeforsikring AS'!F97+'Landbruksforsikring AS'!F97+'NEMI Forsikring'!F97+'Nordea Liv '!F97+'Oslo Pensjonsforsikring'!F97+'Protector Forsikring'!F97+'SHB Liv'!F97+'Sparebank 1'!F97+'Storebrand Livsforsikring'!F97+'Telenor Forsikring'!F97+'Tryg Forsikring'!F97</f>
        <v>0</v>
      </c>
      <c r="F97" s="44">
        <f>'ACE European Group'!G97+'Danica Pensjonsforsikring'!G97+'DNB Livsforsikring'!G97+'Eika Forsikring AS'!G97+'Frende Livsforsikring'!G97+'Frende Skadeforsikring'!G97+'Gjensidige Forsikring'!G97+'Gjensidige Pensjon'!G97+'Handelsbanken Liv'!G97+'If Skadeforsikring NUF'!G97+KLP!G97+'KLP Bedriftspensjon AS'!G97+'KLP Skadeforsikring AS'!G97+'Landbruksforsikring AS'!G97+'NEMI Forsikring'!G97+'Nordea Liv '!G97+'Oslo Pensjonsforsikring'!G97+'Protector Forsikring'!G97+'SHB Liv'!G97+'Sparebank 1'!G97+'Storebrand Livsforsikring'!G97+'Telenor Forsikring'!G97+'Tryg Forsikring'!G97</f>
        <v>0</v>
      </c>
      <c r="G97" s="23"/>
      <c r="H97" s="238">
        <f t="shared" ref="H97" si="39">SUM(B97,E97)</f>
        <v>4566249.64958</v>
      </c>
      <c r="I97" s="238">
        <f t="shared" ref="I97" si="40">SUM(C97,F97)</f>
        <v>5337850.5230999999</v>
      </c>
      <c r="J97" s="23">
        <f t="shared" ref="J97" si="41">IF(H97=0, "    ---- ", IF(ABS(ROUND(100/H97*I97-100,1))&lt;999,ROUND(100/H97*I97-100,1),IF(ROUND(100/H97*I97-100,1)&gt;999,999,-999)))</f>
        <v>16.899999999999999</v>
      </c>
    </row>
    <row r="98" spans="1:10" ht="15.75" customHeight="1" x14ac:dyDescent="0.2">
      <c r="A98" s="21" t="s">
        <v>393</v>
      </c>
      <c r="B98" s="235">
        <f>'ACE European Group'!B98+'Danica Pensjonsforsikring'!B98+'DNB Livsforsikring'!B98+'Eika Forsikring AS'!B98+'Frende Livsforsikring'!B98+'Frende Skadeforsikring'!B98+'Gjensidige Forsikring'!B98+'Gjensidige Pensjon'!B98+'Handelsbanken Liv'!B98+'If Skadeforsikring NUF'!B98+KLP!B98+'KLP Bedriftspensjon AS'!B98+'KLP Skadeforsikring AS'!B98+'Landbruksforsikring AS'!B98+'NEMI Forsikring'!B98+'Nordea Liv '!B98+'Oslo Pensjonsforsikring'!B98+'Protector Forsikring'!B98+'SHB Liv'!B98+'Sparebank 1'!B98+'Storebrand Livsforsikring'!B98+'Telenor Forsikring'!B98+'Tryg Forsikring'!B98</f>
        <v>370457991.0077129</v>
      </c>
      <c r="C98" s="235">
        <f>'ACE European Group'!C98+'Danica Pensjonsforsikring'!C98+'DNB Livsforsikring'!C98+'Eika Forsikring AS'!C98+'Frende Livsforsikring'!C98+'Frende Skadeforsikring'!C98+'Gjensidige Forsikring'!C98+'Gjensidige Pensjon'!C98+'Handelsbanken Liv'!C98+'If Skadeforsikring NUF'!C98+KLP!C98+'KLP Bedriftspensjon AS'!C98+'KLP Skadeforsikring AS'!C98+'Landbruksforsikring AS'!C98+'NEMI Forsikring'!C98+'Nordea Liv '!C98+'Oslo Pensjonsforsikring'!C98+'Protector Forsikring'!C98+'SHB Liv'!C98+'Sparebank 1'!C98+'Storebrand Livsforsikring'!C98+'Telenor Forsikring'!C98+'Tryg Forsikring'!C98</f>
        <v>374800405.29489166</v>
      </c>
      <c r="D98" s="23">
        <f t="shared" si="24"/>
        <v>1.2</v>
      </c>
      <c r="E98" s="44">
        <f>'ACE European Group'!F98+'Danica Pensjonsforsikring'!F98+'DNB Livsforsikring'!F98+'Eika Forsikring AS'!F98+'Frende Livsforsikring'!F98+'Frende Skadeforsikring'!F98+'Gjensidige Forsikring'!F98+'Gjensidige Pensjon'!F98+'Handelsbanken Liv'!F98+'If Skadeforsikring NUF'!F98+KLP!F98+'KLP Bedriftspensjon AS'!F98+'KLP Skadeforsikring AS'!F98+'Landbruksforsikring AS'!F98+'NEMI Forsikring'!F98+'Nordea Liv '!F98+'Oslo Pensjonsforsikring'!F98+'Protector Forsikring'!F98+'SHB Liv'!F98+'Sparebank 1'!F98+'Storebrand Livsforsikring'!F98+'Telenor Forsikring'!F98+'Tryg Forsikring'!F98</f>
        <v>209362604.39224991</v>
      </c>
      <c r="F98" s="44">
        <f>'ACE European Group'!G98+'Danica Pensjonsforsikring'!G98+'DNB Livsforsikring'!G98+'Eika Forsikring AS'!G98+'Frende Livsforsikring'!G98+'Frende Skadeforsikring'!G98+'Gjensidige Forsikring'!G98+'Gjensidige Pensjon'!G98+'Handelsbanken Liv'!G98+'If Skadeforsikring NUF'!G98+KLP!G98+'KLP Bedriftspensjon AS'!G98+'KLP Skadeforsikring AS'!G98+'Landbruksforsikring AS'!G98+'NEMI Forsikring'!G98+'Nordea Liv '!G98+'Oslo Pensjonsforsikring'!G98+'Protector Forsikring'!G98+'SHB Liv'!G98+'Sparebank 1'!G98+'Storebrand Livsforsikring'!G98+'Telenor Forsikring'!G98+'Tryg Forsikring'!G98</f>
        <v>257853688.3500154</v>
      </c>
      <c r="G98" s="23">
        <f t="shared" si="37"/>
        <v>23.2</v>
      </c>
      <c r="H98" s="238">
        <f t="shared" si="35"/>
        <v>579820595.39996278</v>
      </c>
      <c r="I98" s="238">
        <f t="shared" si="36"/>
        <v>632654093.644907</v>
      </c>
      <c r="J98" s="23">
        <f t="shared" si="28"/>
        <v>9.1</v>
      </c>
    </row>
    <row r="99" spans="1:10" ht="15.75" customHeight="1" x14ac:dyDescent="0.2">
      <c r="A99" s="21" t="s">
        <v>9</v>
      </c>
      <c r="B99" s="235">
        <f>'ACE European Group'!B99+'Danica Pensjonsforsikring'!B99+'DNB Livsforsikring'!B99+'Eika Forsikring AS'!B99+'Frende Livsforsikring'!B99+'Frende Skadeforsikring'!B99+'Gjensidige Forsikring'!B99+'Gjensidige Pensjon'!B99+'Handelsbanken Liv'!B99+'If Skadeforsikring NUF'!B99+KLP!B99+'KLP Bedriftspensjon AS'!B99+'KLP Skadeforsikring AS'!B99+'Landbruksforsikring AS'!B99+'NEMI Forsikring'!B99+'Nordea Liv '!B99+'Oslo Pensjonsforsikring'!B99+'Protector Forsikring'!B99+'SHB Liv'!B99+'Sparebank 1'!B99+'Storebrand Livsforsikring'!B99+'Telenor Forsikring'!B99+'Tryg Forsikring'!B99</f>
        <v>367955956.38815933</v>
      </c>
      <c r="C99" s="235">
        <f>'ACE European Group'!C99+'Danica Pensjonsforsikring'!C99+'DNB Livsforsikring'!C99+'Eika Forsikring AS'!C99+'Frende Livsforsikring'!C99+'Frende Skadeforsikring'!C99+'Gjensidige Forsikring'!C99+'Gjensidige Pensjon'!C99+'Handelsbanken Liv'!C99+'If Skadeforsikring NUF'!C99+KLP!C99+'KLP Bedriftspensjon AS'!C99+'KLP Skadeforsikring AS'!C99+'Landbruksforsikring AS'!C99+'NEMI Forsikring'!C99+'Nordea Liv '!C99+'Oslo Pensjonsforsikring'!C99+'Protector Forsikring'!C99+'SHB Liv'!C99+'Sparebank 1'!C99+'Storebrand Livsforsikring'!C99+'Telenor Forsikring'!C99+'Tryg Forsikring'!C99</f>
        <v>372163478.11383426</v>
      </c>
      <c r="D99" s="23">
        <f t="shared" si="24"/>
        <v>1.1000000000000001</v>
      </c>
      <c r="E99" s="44">
        <f>'ACE European Group'!F99+'Danica Pensjonsforsikring'!F99+'DNB Livsforsikring'!F99+'Eika Forsikring AS'!F99+'Frende Livsforsikring'!F99+'Frende Skadeforsikring'!F99+'Gjensidige Forsikring'!F99+'Gjensidige Pensjon'!F99+'Handelsbanken Liv'!F99+'If Skadeforsikring NUF'!F99+KLP!F99+'KLP Bedriftspensjon AS'!F99+'KLP Skadeforsikring AS'!F99+'Landbruksforsikring AS'!F99+'NEMI Forsikring'!F99+'Nordea Liv '!F99+'Oslo Pensjonsforsikring'!F99+'Protector Forsikring'!F99+'SHB Liv'!F99+'Sparebank 1'!F99+'Storebrand Livsforsikring'!F99+'Telenor Forsikring'!F99+'Tryg Forsikring'!F99</f>
        <v>0</v>
      </c>
      <c r="F99" s="44">
        <f>'ACE European Group'!G99+'Danica Pensjonsforsikring'!G99+'DNB Livsforsikring'!G99+'Eika Forsikring AS'!G99+'Frende Livsforsikring'!G99+'Frende Skadeforsikring'!G99+'Gjensidige Forsikring'!G99+'Gjensidige Pensjon'!G99+'Handelsbanken Liv'!G99+'If Skadeforsikring NUF'!G99+KLP!G99+'KLP Bedriftspensjon AS'!G99+'KLP Skadeforsikring AS'!G99+'Landbruksforsikring AS'!G99+'NEMI Forsikring'!G99+'Nordea Liv '!G99+'Oslo Pensjonsforsikring'!G99+'Protector Forsikring'!G99+'SHB Liv'!G99+'Sparebank 1'!G99+'Storebrand Livsforsikring'!G99+'Telenor Forsikring'!G99+'Tryg Forsikring'!G99</f>
        <v>0</v>
      </c>
      <c r="G99" s="23"/>
      <c r="H99" s="238">
        <f t="shared" si="35"/>
        <v>367955956.38815933</v>
      </c>
      <c r="I99" s="238">
        <f t="shared" si="36"/>
        <v>372163478.11383426</v>
      </c>
      <c r="J99" s="23">
        <f t="shared" si="28"/>
        <v>1.1000000000000001</v>
      </c>
    </row>
    <row r="100" spans="1:10" ht="15.75" customHeight="1" x14ac:dyDescent="0.2">
      <c r="A100" s="21" t="s">
        <v>10</v>
      </c>
      <c r="B100" s="235">
        <f>'ACE European Group'!B100+'Danica Pensjonsforsikring'!B100+'DNB Livsforsikring'!B100+'Eika Forsikring AS'!B100+'Frende Livsforsikring'!B100+'Frende Skadeforsikring'!B100+'Gjensidige Forsikring'!B100+'Gjensidige Pensjon'!B100+'Handelsbanken Liv'!B100+'If Skadeforsikring NUF'!B100+KLP!B100+'KLP Bedriftspensjon AS'!B100+'KLP Skadeforsikring AS'!B100+'Landbruksforsikring AS'!B100+'NEMI Forsikring'!B100+'Nordea Liv '!B100+'Oslo Pensjonsforsikring'!B100+'Protector Forsikring'!B100+'SHB Liv'!B100+'Sparebank 1'!B100+'Storebrand Livsforsikring'!B100+'Telenor Forsikring'!B100+'Tryg Forsikring'!B100</f>
        <v>2502034.6195535795</v>
      </c>
      <c r="C100" s="235">
        <f>'ACE European Group'!C100+'Danica Pensjonsforsikring'!C100+'DNB Livsforsikring'!C100+'Eika Forsikring AS'!C100+'Frende Livsforsikring'!C100+'Frende Skadeforsikring'!C100+'Gjensidige Forsikring'!C100+'Gjensidige Pensjon'!C100+'Handelsbanken Liv'!C100+'If Skadeforsikring NUF'!C100+KLP!C100+'KLP Bedriftspensjon AS'!C100+'KLP Skadeforsikring AS'!C100+'Landbruksforsikring AS'!C100+'NEMI Forsikring'!C100+'Nordea Liv '!C100+'Oslo Pensjonsforsikring'!C100+'Protector Forsikring'!C100+'SHB Liv'!C100+'Sparebank 1'!C100+'Storebrand Livsforsikring'!C100+'Telenor Forsikring'!C100+'Tryg Forsikring'!C100</f>
        <v>2636927.1810573502</v>
      </c>
      <c r="D100" s="23">
        <f t="shared" si="24"/>
        <v>5.4</v>
      </c>
      <c r="E100" s="44">
        <f>'ACE European Group'!F100+'Danica Pensjonsforsikring'!F100+'DNB Livsforsikring'!F100+'Eika Forsikring AS'!F100+'Frende Livsforsikring'!F100+'Frende Skadeforsikring'!F100+'Gjensidige Forsikring'!F100+'Gjensidige Pensjon'!F100+'Handelsbanken Liv'!F100+'If Skadeforsikring NUF'!F100+KLP!F100+'KLP Bedriftspensjon AS'!F100+'KLP Skadeforsikring AS'!F100+'Landbruksforsikring AS'!F100+'NEMI Forsikring'!F100+'Nordea Liv '!F100+'Oslo Pensjonsforsikring'!F100+'Protector Forsikring'!F100+'SHB Liv'!F100+'Sparebank 1'!F100+'Storebrand Livsforsikring'!F100+'Telenor Forsikring'!F100+'Tryg Forsikring'!F100</f>
        <v>209362604.39224991</v>
      </c>
      <c r="F100" s="44">
        <f>'ACE European Group'!G100+'Danica Pensjonsforsikring'!G100+'DNB Livsforsikring'!G100+'Eika Forsikring AS'!G100+'Frende Livsforsikring'!G100+'Frende Skadeforsikring'!G100+'Gjensidige Forsikring'!G100+'Gjensidige Pensjon'!G100+'Handelsbanken Liv'!G100+'If Skadeforsikring NUF'!G100+KLP!G100+'KLP Bedriftspensjon AS'!G100+'KLP Skadeforsikring AS'!G100+'Landbruksforsikring AS'!G100+'NEMI Forsikring'!G100+'Nordea Liv '!G100+'Oslo Pensjonsforsikring'!G100+'Protector Forsikring'!G100+'SHB Liv'!G100+'Sparebank 1'!G100+'Storebrand Livsforsikring'!G100+'Telenor Forsikring'!G100+'Tryg Forsikring'!G100</f>
        <v>257853688.3500154</v>
      </c>
      <c r="G100" s="23">
        <f t="shared" si="37"/>
        <v>23.2</v>
      </c>
      <c r="H100" s="238">
        <f t="shared" si="35"/>
        <v>211864639.01180348</v>
      </c>
      <c r="I100" s="238">
        <f t="shared" si="36"/>
        <v>260490615.53107277</v>
      </c>
      <c r="J100" s="23">
        <f t="shared" si="28"/>
        <v>23</v>
      </c>
    </row>
    <row r="101" spans="1:10" ht="15.75" customHeight="1" x14ac:dyDescent="0.2">
      <c r="A101" s="299" t="s">
        <v>391</v>
      </c>
      <c r="B101" s="44"/>
      <c r="C101" s="44"/>
      <c r="D101" s="27"/>
      <c r="E101" s="44"/>
      <c r="F101" s="44"/>
      <c r="G101" s="166"/>
      <c r="H101" s="238"/>
      <c r="I101" s="238"/>
      <c r="J101" s="23"/>
    </row>
    <row r="102" spans="1:10" ht="15.75" customHeight="1" x14ac:dyDescent="0.2">
      <c r="A102" s="299" t="s">
        <v>12</v>
      </c>
      <c r="B102" s="236"/>
      <c r="C102" s="236"/>
      <c r="D102" s="27"/>
      <c r="E102" s="44"/>
      <c r="F102" s="44"/>
      <c r="G102" s="166"/>
      <c r="H102" s="238"/>
      <c r="I102" s="238"/>
      <c r="J102" s="23"/>
    </row>
    <row r="103" spans="1:10" ht="15.75" customHeight="1" x14ac:dyDescent="0.2">
      <c r="A103" s="299" t="s">
        <v>13</v>
      </c>
      <c r="B103" s="236"/>
      <c r="C103" s="236"/>
      <c r="D103" s="27"/>
      <c r="E103" s="44"/>
      <c r="F103" s="44"/>
      <c r="G103" s="166"/>
      <c r="H103" s="238"/>
      <c r="I103" s="238"/>
      <c r="J103" s="23"/>
    </row>
    <row r="104" spans="1:10" ht="15.75" customHeight="1" x14ac:dyDescent="0.2">
      <c r="A104" s="299" t="s">
        <v>392</v>
      </c>
      <c r="B104" s="44"/>
      <c r="C104" s="44"/>
      <c r="D104" s="27"/>
      <c r="E104" s="44"/>
      <c r="F104" s="44"/>
      <c r="G104" s="166"/>
      <c r="H104" s="238"/>
      <c r="I104" s="238"/>
      <c r="J104" s="23"/>
    </row>
    <row r="105" spans="1:10" ht="15.75" customHeight="1" x14ac:dyDescent="0.2">
      <c r="A105" s="299" t="s">
        <v>12</v>
      </c>
      <c r="B105" s="236"/>
      <c r="C105" s="236"/>
      <c r="D105" s="27"/>
      <c r="E105" s="44"/>
      <c r="F105" s="44"/>
      <c r="G105" s="166"/>
      <c r="H105" s="238"/>
      <c r="I105" s="238"/>
      <c r="J105" s="23"/>
    </row>
    <row r="106" spans="1:10" ht="15.75" customHeight="1" x14ac:dyDescent="0.2">
      <c r="A106" s="299" t="s">
        <v>13</v>
      </c>
      <c r="B106" s="236"/>
      <c r="C106" s="236"/>
      <c r="D106" s="27"/>
      <c r="E106" s="44"/>
      <c r="F106" s="44"/>
      <c r="G106" s="166"/>
      <c r="H106" s="238"/>
      <c r="I106" s="238"/>
      <c r="J106" s="23"/>
    </row>
    <row r="107" spans="1:10" ht="15.75" customHeight="1" x14ac:dyDescent="0.2">
      <c r="A107" s="21" t="s">
        <v>394</v>
      </c>
      <c r="B107" s="235">
        <f>'ACE European Group'!B107+'Danica Pensjonsforsikring'!B107+'DNB Livsforsikring'!B107+'Eika Forsikring AS'!B107+'Frende Livsforsikring'!B107+'Frende Skadeforsikring'!B107+'Gjensidige Forsikring'!B107+'Gjensidige Pensjon'!B107+'Handelsbanken Liv'!B107+'If Skadeforsikring NUF'!B107+KLP!B107+'KLP Bedriftspensjon AS'!B107+'KLP Skadeforsikring AS'!B107+'Landbruksforsikring AS'!B107+'NEMI Forsikring'!B107+'Nordea Liv '!B107+'Oslo Pensjonsforsikring'!B107+'Protector Forsikring'!B107+'SHB Liv'!B107+'Sparebank 1'!B107+'Storebrand Livsforsikring'!B107+'Telenor Forsikring'!B107+'Tryg Forsikring'!B107</f>
        <v>4885774.3729999997</v>
      </c>
      <c r="C107" s="235">
        <f>'ACE European Group'!C107+'Danica Pensjonsforsikring'!C107+'DNB Livsforsikring'!C107+'Eika Forsikring AS'!C107+'Frende Livsforsikring'!C107+'Frende Skadeforsikring'!C107+'Gjensidige Forsikring'!C107+'Gjensidige Pensjon'!C107+'Handelsbanken Liv'!C107+'If Skadeforsikring NUF'!C107+KLP!C107+'KLP Bedriftspensjon AS'!C107+'KLP Skadeforsikring AS'!C107+'Landbruksforsikring AS'!C107+'NEMI Forsikring'!C107+'Nordea Liv '!C107+'Oslo Pensjonsforsikring'!C107+'Protector Forsikring'!C107+'SHB Liv'!C107+'Sparebank 1'!C107+'Storebrand Livsforsikring'!C107+'Telenor Forsikring'!C107+'Tryg Forsikring'!C107</f>
        <v>4857489.9850000003</v>
      </c>
      <c r="D107" s="23">
        <f t="shared" si="24"/>
        <v>-0.6</v>
      </c>
      <c r="E107" s="44">
        <f>'ACE European Group'!F107+'Danica Pensjonsforsikring'!F107+'DNB Livsforsikring'!F107+'Eika Forsikring AS'!F107+'Frende Livsforsikring'!F107+'Frende Skadeforsikring'!F107+'Gjensidige Forsikring'!F107+'Gjensidige Pensjon'!F107+'Handelsbanken Liv'!F107+'If Skadeforsikring NUF'!F107+KLP!F107+'KLP Bedriftspensjon AS'!F107+'KLP Skadeforsikring AS'!F107+'Landbruksforsikring AS'!F107+'NEMI Forsikring'!F107+'Nordea Liv '!F107+'Oslo Pensjonsforsikring'!F107+'Protector Forsikring'!F107+'SHB Liv'!F107+'Sparebank 1'!F107+'Storebrand Livsforsikring'!F107+'Telenor Forsikring'!F107+'Tryg Forsikring'!F107</f>
        <v>549552.5520100001</v>
      </c>
      <c r="F107" s="44">
        <f>'ACE European Group'!G107+'Danica Pensjonsforsikring'!G107+'DNB Livsforsikring'!G107+'Eika Forsikring AS'!G107+'Frende Livsforsikring'!G107+'Frende Skadeforsikring'!G107+'Gjensidige Forsikring'!G107+'Gjensidige Pensjon'!G107+'Handelsbanken Liv'!G107+'If Skadeforsikring NUF'!G107+KLP!G107+'KLP Bedriftspensjon AS'!G107+'KLP Skadeforsikring AS'!G107+'Landbruksforsikring AS'!G107+'NEMI Forsikring'!G107+'Nordea Liv '!G107+'Oslo Pensjonsforsikring'!G107+'Protector Forsikring'!G107+'SHB Liv'!G107+'Sparebank 1'!G107+'Storebrand Livsforsikring'!G107+'Telenor Forsikring'!G107+'Tryg Forsikring'!G107</f>
        <v>702461.92574000009</v>
      </c>
      <c r="G107" s="23">
        <f t="shared" ref="G107:G114" si="42">IF(E107=0, "    ---- ", IF(ABS(ROUND(100/E107*F107-100,1))&lt;999,ROUND(100/E107*F107-100,1),IF(ROUND(100/E107*F107-100,1)&gt;999,999,-999)))</f>
        <v>27.8</v>
      </c>
      <c r="H107" s="238">
        <f t="shared" si="35"/>
        <v>5435326.9250099994</v>
      </c>
      <c r="I107" s="238">
        <f t="shared" si="36"/>
        <v>5559951.9107400002</v>
      </c>
      <c r="J107" s="23">
        <f t="shared" si="28"/>
        <v>2.2999999999999998</v>
      </c>
    </row>
    <row r="108" spans="1:10" ht="15.75" customHeight="1" x14ac:dyDescent="0.2">
      <c r="A108" s="21" t="s">
        <v>395</v>
      </c>
      <c r="B108" s="235">
        <f>'ACE European Group'!B108+'Danica Pensjonsforsikring'!B108+'DNB Livsforsikring'!B108+'Eika Forsikring AS'!B108+'Frende Livsforsikring'!B108+'Frende Skadeforsikring'!B108+'Gjensidige Forsikring'!B108+'Gjensidige Pensjon'!B108+'Handelsbanken Liv'!B108+'If Skadeforsikring NUF'!B108+KLP!B108+'KLP Bedriftspensjon AS'!B108+'KLP Skadeforsikring AS'!B108+'Landbruksforsikring AS'!B108+'NEMI Forsikring'!B108+'Nordea Liv '!B108+'Oslo Pensjonsforsikring'!B108+'Protector Forsikring'!B108+'SHB Liv'!B108+'Sparebank 1'!B108+'Storebrand Livsforsikring'!B108+'Telenor Forsikring'!B108+'Tryg Forsikring'!B108</f>
        <v>297706001.8227132</v>
      </c>
      <c r="C108" s="235">
        <f>'ACE European Group'!C108+'Danica Pensjonsforsikring'!C108+'DNB Livsforsikring'!C108+'Eika Forsikring AS'!C108+'Frende Livsforsikring'!C108+'Frende Skadeforsikring'!C108+'Gjensidige Forsikring'!C108+'Gjensidige Pensjon'!C108+'Handelsbanken Liv'!C108+'If Skadeforsikring NUF'!C108+KLP!C108+'KLP Bedriftspensjon AS'!C108+'KLP Skadeforsikring AS'!C108+'Landbruksforsikring AS'!C108+'NEMI Forsikring'!C108+'Nordea Liv '!C108+'Oslo Pensjonsforsikring'!C108+'Protector Forsikring'!C108+'SHB Liv'!C108+'Sparebank 1'!C108+'Storebrand Livsforsikring'!C108+'Telenor Forsikring'!C108+'Tryg Forsikring'!C108</f>
        <v>308835022.99411529</v>
      </c>
      <c r="D108" s="23">
        <f t="shared" si="24"/>
        <v>3.7</v>
      </c>
      <c r="E108" s="44">
        <f>'ACE European Group'!F108+'Danica Pensjonsforsikring'!F108+'DNB Livsforsikring'!F108+'Eika Forsikring AS'!F108+'Frende Livsforsikring'!F108+'Frende Skadeforsikring'!F108+'Gjensidige Forsikring'!F108+'Gjensidige Pensjon'!F108+'Handelsbanken Liv'!F108+'If Skadeforsikring NUF'!F108+KLP!F108+'KLP Bedriftspensjon AS'!F108+'KLP Skadeforsikring AS'!F108+'Landbruksforsikring AS'!F108+'NEMI Forsikring'!F108+'Nordea Liv '!F108+'Oslo Pensjonsforsikring'!F108+'Protector Forsikring'!F108+'SHB Liv'!F108+'Sparebank 1'!F108+'Storebrand Livsforsikring'!F108+'Telenor Forsikring'!F108+'Tryg Forsikring'!F108</f>
        <v>6845177.7409999995</v>
      </c>
      <c r="F108" s="44">
        <f>'ACE European Group'!G108+'Danica Pensjonsforsikring'!G108+'DNB Livsforsikring'!G108+'Eika Forsikring AS'!G108+'Frende Livsforsikring'!G108+'Frende Skadeforsikring'!G108+'Gjensidige Forsikring'!G108+'Gjensidige Pensjon'!G108+'Handelsbanken Liv'!G108+'If Skadeforsikring NUF'!G108+KLP!G108+'KLP Bedriftspensjon AS'!G108+'KLP Skadeforsikring AS'!G108+'Landbruksforsikring AS'!G108+'NEMI Forsikring'!G108+'Nordea Liv '!G108+'Oslo Pensjonsforsikring'!G108+'Protector Forsikring'!G108+'SHB Liv'!G108+'Sparebank 1'!G108+'Storebrand Livsforsikring'!G108+'Telenor Forsikring'!G108+'Tryg Forsikring'!G108</f>
        <v>16185786.369999999</v>
      </c>
      <c r="G108" s="23">
        <f t="shared" si="42"/>
        <v>136.5</v>
      </c>
      <c r="H108" s="238">
        <f t="shared" si="35"/>
        <v>304551179.56371319</v>
      </c>
      <c r="I108" s="238">
        <f t="shared" si="36"/>
        <v>325020809.3641153</v>
      </c>
      <c r="J108" s="23">
        <f t="shared" si="28"/>
        <v>6.7</v>
      </c>
    </row>
    <row r="109" spans="1:10" ht="15.75" customHeight="1" x14ac:dyDescent="0.2">
      <c r="A109" s="21" t="s">
        <v>396</v>
      </c>
      <c r="B109" s="235">
        <f>'ACE European Group'!B109+'Danica Pensjonsforsikring'!B109+'DNB Livsforsikring'!B109+'Eika Forsikring AS'!B109+'Frende Livsforsikring'!B109+'Frende Skadeforsikring'!B109+'Gjensidige Forsikring'!B109+'Gjensidige Pensjon'!B109+'Handelsbanken Liv'!B109+'If Skadeforsikring NUF'!B109+KLP!B109+'KLP Bedriftspensjon AS'!B109+'KLP Skadeforsikring AS'!B109+'Landbruksforsikring AS'!B109+'NEMI Forsikring'!B109+'Nordea Liv '!B109+'Oslo Pensjonsforsikring'!B109+'Protector Forsikring'!B109+'SHB Liv'!B109+'Sparebank 1'!B109+'Storebrand Livsforsikring'!B109+'Telenor Forsikring'!B109+'Tryg Forsikring'!B109</f>
        <v>769353.78685999999</v>
      </c>
      <c r="C109" s="235">
        <f>'ACE European Group'!C109+'Danica Pensjonsforsikring'!C109+'DNB Livsforsikring'!C109+'Eika Forsikring AS'!C109+'Frende Livsforsikring'!C109+'Frende Skadeforsikring'!C109+'Gjensidige Forsikring'!C109+'Gjensidige Pensjon'!C109+'Handelsbanken Liv'!C109+'If Skadeforsikring NUF'!C109+KLP!C109+'KLP Bedriftspensjon AS'!C109+'KLP Skadeforsikring AS'!C109+'Landbruksforsikring AS'!C109+'NEMI Forsikring'!C109+'Nordea Liv '!C109+'Oslo Pensjonsforsikring'!C109+'Protector Forsikring'!C109+'SHB Liv'!C109+'Sparebank 1'!C109+'Storebrand Livsforsikring'!C109+'Telenor Forsikring'!C109+'Tryg Forsikring'!C109</f>
        <v>920350.364717772</v>
      </c>
      <c r="D109" s="23">
        <f t="shared" si="24"/>
        <v>19.600000000000001</v>
      </c>
      <c r="E109" s="44">
        <f>'ACE European Group'!F109+'Danica Pensjonsforsikring'!F109+'DNB Livsforsikring'!F109+'Eika Forsikring AS'!F109+'Frende Livsforsikring'!F109+'Frende Skadeforsikring'!F109+'Gjensidige Forsikring'!F109+'Gjensidige Pensjon'!F109+'Handelsbanken Liv'!F109+'If Skadeforsikring NUF'!F109+KLP!F109+'KLP Bedriftspensjon AS'!F109+'KLP Skadeforsikring AS'!F109+'Landbruksforsikring AS'!F109+'NEMI Forsikring'!F109+'Nordea Liv '!F109+'Oslo Pensjonsforsikring'!F109+'Protector Forsikring'!F109+'SHB Liv'!F109+'Sparebank 1'!F109+'Storebrand Livsforsikring'!F109+'Telenor Forsikring'!F109+'Tryg Forsikring'!F109</f>
        <v>67080632.567581207</v>
      </c>
      <c r="F109" s="44">
        <f>'ACE European Group'!G109+'Danica Pensjonsforsikring'!G109+'DNB Livsforsikring'!G109+'Eika Forsikring AS'!G109+'Frende Livsforsikring'!G109+'Frende Skadeforsikring'!G109+'Gjensidige Forsikring'!G109+'Gjensidige Pensjon'!G109+'Handelsbanken Liv'!G109+'If Skadeforsikring NUF'!G109+KLP!G109+'KLP Bedriftspensjon AS'!G109+'KLP Skadeforsikring AS'!G109+'Landbruksforsikring AS'!G109+'NEMI Forsikring'!G109+'Nordea Liv '!G109+'Oslo Pensjonsforsikring'!G109+'Protector Forsikring'!G109+'SHB Liv'!G109+'Sparebank 1'!G109+'Storebrand Livsforsikring'!G109+'Telenor Forsikring'!G109+'Tryg Forsikring'!G109</f>
        <v>82253023.067784801</v>
      </c>
      <c r="G109" s="23">
        <f t="shared" si="42"/>
        <v>22.6</v>
      </c>
      <c r="H109" s="238">
        <f t="shared" si="35"/>
        <v>67849986.354441211</v>
      </c>
      <c r="I109" s="238">
        <f t="shared" si="36"/>
        <v>83173373.432502568</v>
      </c>
      <c r="J109" s="23">
        <f t="shared" si="28"/>
        <v>22.6</v>
      </c>
    </row>
    <row r="110" spans="1:10" ht="15.75" customHeight="1" x14ac:dyDescent="0.2">
      <c r="A110" s="21" t="s">
        <v>397</v>
      </c>
      <c r="B110" s="235">
        <f>'ACE European Group'!B110+'Danica Pensjonsforsikring'!B110+'DNB Livsforsikring'!B110+'Eika Forsikring AS'!B110+'Frende Livsforsikring'!B110+'Frende Skadeforsikring'!B110+'Gjensidige Forsikring'!B110+'Gjensidige Pensjon'!B110+'Handelsbanken Liv'!B110+'If Skadeforsikring NUF'!B110+KLP!B110+'KLP Bedriftspensjon AS'!B110+'KLP Skadeforsikring AS'!B110+'Landbruksforsikring AS'!B110+'NEMI Forsikring'!B110+'Nordea Liv '!B110+'Oslo Pensjonsforsikring'!B110+'Protector Forsikring'!B110+'SHB Liv'!B110+'Sparebank 1'!B110+'Storebrand Livsforsikring'!B110+'Telenor Forsikring'!B110+'Tryg Forsikring'!B110</f>
        <v>9775.8767399999997</v>
      </c>
      <c r="C110" s="235">
        <f>'ACE European Group'!C110+'Danica Pensjonsforsikring'!C110+'DNB Livsforsikring'!C110+'Eika Forsikring AS'!C110+'Frende Livsforsikring'!C110+'Frende Skadeforsikring'!C110+'Gjensidige Forsikring'!C110+'Gjensidige Pensjon'!C110+'Handelsbanken Liv'!C110+'If Skadeforsikring NUF'!C110+KLP!C110+'KLP Bedriftspensjon AS'!C110+'KLP Skadeforsikring AS'!C110+'Landbruksforsikring AS'!C110+'NEMI Forsikring'!C110+'Nordea Liv '!C110+'Oslo Pensjonsforsikring'!C110+'Protector Forsikring'!C110+'SHB Liv'!C110+'Sparebank 1'!C110+'Storebrand Livsforsikring'!C110+'Telenor Forsikring'!C110+'Tryg Forsikring'!C110</f>
        <v>105217.73650999999</v>
      </c>
      <c r="D110" s="23">
        <f t="shared" si="24"/>
        <v>976.3</v>
      </c>
      <c r="E110" s="44">
        <f>'ACE European Group'!F110+'Danica Pensjonsforsikring'!F110+'DNB Livsforsikring'!F110+'Eika Forsikring AS'!F110+'Frende Livsforsikring'!F110+'Frende Skadeforsikring'!F110+'Gjensidige Forsikring'!F110+'Gjensidige Pensjon'!F110+'Handelsbanken Liv'!F110+'If Skadeforsikring NUF'!F110+KLP!F110+'KLP Bedriftspensjon AS'!F110+'KLP Skadeforsikring AS'!F110+'Landbruksforsikring AS'!F110+'NEMI Forsikring'!F110+'Nordea Liv '!F110+'Oslo Pensjonsforsikring'!F110+'Protector Forsikring'!F110+'SHB Liv'!F110+'Sparebank 1'!F110+'Storebrand Livsforsikring'!F110+'Telenor Forsikring'!F110+'Tryg Forsikring'!F110</f>
        <v>0</v>
      </c>
      <c r="F110" s="44">
        <f>'ACE European Group'!G110+'Danica Pensjonsforsikring'!G110+'DNB Livsforsikring'!G110+'Eika Forsikring AS'!G110+'Frende Livsforsikring'!G110+'Frende Skadeforsikring'!G110+'Gjensidige Forsikring'!G110+'Gjensidige Pensjon'!G110+'Handelsbanken Liv'!G110+'If Skadeforsikring NUF'!G110+KLP!G110+'KLP Bedriftspensjon AS'!G110+'KLP Skadeforsikring AS'!G110+'Landbruksforsikring AS'!G110+'NEMI Forsikring'!G110+'Nordea Liv '!G110+'Oslo Pensjonsforsikring'!G110+'Protector Forsikring'!G110+'SHB Liv'!G110+'Sparebank 1'!G110+'Storebrand Livsforsikring'!G110+'Telenor Forsikring'!G110+'Tryg Forsikring'!G110</f>
        <v>0</v>
      </c>
      <c r="G110" s="23"/>
      <c r="H110" s="238">
        <f t="shared" si="35"/>
        <v>9775.8767399999997</v>
      </c>
      <c r="I110" s="238">
        <f t="shared" si="36"/>
        <v>105217.73650999999</v>
      </c>
      <c r="J110" s="23">
        <f t="shared" si="28"/>
        <v>976.3</v>
      </c>
    </row>
    <row r="111" spans="1:10" s="43" customFormat="1" ht="15.75" customHeight="1" x14ac:dyDescent="0.2">
      <c r="A111" s="13" t="s">
        <v>377</v>
      </c>
      <c r="B111" s="311">
        <f>'ACE European Group'!B111+'Danica Pensjonsforsikring'!B111+'DNB Livsforsikring'!B111+'Eika Forsikring AS'!B111+'Frende Livsforsikring'!B111+'Frende Skadeforsikring'!B111+'Gjensidige Forsikring'!B111+'Gjensidige Pensjon'!B111+'Handelsbanken Liv'!B111+'If Skadeforsikring NUF'!B111+KLP!B111+'KLP Bedriftspensjon AS'!B111+'KLP Skadeforsikring AS'!B111+'Landbruksforsikring AS'!B111+'NEMI Forsikring'!B111+'Nordea Liv '!B111+'Oslo Pensjonsforsikring'!B111+'Protector Forsikring'!B111+'SHB Liv'!B111+'Sparebank 1'!B111+'Storebrand Livsforsikring'!B111+'Telenor Forsikring'!B111+'Tryg Forsikring'!B111</f>
        <v>465455.61206000001</v>
      </c>
      <c r="C111" s="311">
        <f>'ACE European Group'!C111+'Danica Pensjonsforsikring'!C111+'DNB Livsforsikring'!C111+'Eika Forsikring AS'!C111+'Frende Livsforsikring'!C111+'Frende Skadeforsikring'!C111+'Gjensidige Forsikring'!C111+'Gjensidige Pensjon'!C111+'Handelsbanken Liv'!C111+'If Skadeforsikring NUF'!C111+KLP!C111+'KLP Bedriftspensjon AS'!C111+'KLP Skadeforsikring AS'!C111+'Landbruksforsikring AS'!C111+'NEMI Forsikring'!C111+'Nordea Liv '!C111+'Oslo Pensjonsforsikring'!C111+'Protector Forsikring'!C111+'SHB Liv'!C111+'Sparebank 1'!C111+'Storebrand Livsforsikring'!C111+'Telenor Forsikring'!C111+'Tryg Forsikring'!C111</f>
        <v>357377.45717999997</v>
      </c>
      <c r="D111" s="24">
        <f t="shared" si="24"/>
        <v>-23.2</v>
      </c>
      <c r="E111" s="237">
        <f>'ACE European Group'!F111+'Danica Pensjonsforsikring'!F111+'DNB Livsforsikring'!F111+'Eika Forsikring AS'!F111+'Frende Livsforsikring'!F111+'Frende Skadeforsikring'!F111+'Gjensidige Forsikring'!F111+'Gjensidige Pensjon'!F111+'Handelsbanken Liv'!F111+'If Skadeforsikring NUF'!F111+KLP!F111+'KLP Bedriftspensjon AS'!F111+'KLP Skadeforsikring AS'!F111+'Landbruksforsikring AS'!F111+'NEMI Forsikring'!F111+'Nordea Liv '!F111+'Oslo Pensjonsforsikring'!F111+'Protector Forsikring'!F111+'SHB Liv'!F111+'Sparebank 1'!F111+'Storebrand Livsforsikring'!F111+'Telenor Forsikring'!F111+'Tryg Forsikring'!F111</f>
        <v>8217634.9584799996</v>
      </c>
      <c r="F111" s="237">
        <f>'ACE European Group'!G111+'Danica Pensjonsforsikring'!G111+'DNB Livsforsikring'!G111+'Eika Forsikring AS'!G111+'Frende Livsforsikring'!G111+'Frende Skadeforsikring'!G111+'Gjensidige Forsikring'!G111+'Gjensidige Pensjon'!G111+'Handelsbanken Liv'!G111+'If Skadeforsikring NUF'!G111+KLP!G111+'KLP Bedriftspensjon AS'!G111+'KLP Skadeforsikring AS'!G111+'Landbruksforsikring AS'!G111+'NEMI Forsikring'!G111+'Nordea Liv '!G111+'Oslo Pensjonsforsikring'!G111+'Protector Forsikring'!G111+'SHB Liv'!G111+'Sparebank 1'!G111+'Storebrand Livsforsikring'!G111+'Telenor Forsikring'!G111+'Tryg Forsikring'!G111</f>
        <v>10813675.01701</v>
      </c>
      <c r="G111" s="24">
        <f t="shared" si="42"/>
        <v>31.6</v>
      </c>
      <c r="H111" s="333">
        <f t="shared" si="35"/>
        <v>8683090.5705399998</v>
      </c>
      <c r="I111" s="333">
        <f t="shared" si="36"/>
        <v>11171052.47419</v>
      </c>
      <c r="J111" s="24">
        <f t="shared" si="28"/>
        <v>28.7</v>
      </c>
    </row>
    <row r="112" spans="1:10" ht="15.75" customHeight="1" x14ac:dyDescent="0.2">
      <c r="A112" s="21" t="s">
        <v>9</v>
      </c>
      <c r="B112" s="235">
        <f>'ACE European Group'!B112+'Danica Pensjonsforsikring'!B112+'DNB Livsforsikring'!B112+'Eika Forsikring AS'!B112+'Frende Livsforsikring'!B112+'Frende Skadeforsikring'!B112+'Gjensidige Forsikring'!B112+'Gjensidige Pensjon'!B112+'Handelsbanken Liv'!B112+'If Skadeforsikring NUF'!B112+KLP!B112+'KLP Bedriftspensjon AS'!B112+'KLP Skadeforsikring AS'!B112+'Landbruksforsikring AS'!B112+'NEMI Forsikring'!B112+'Nordea Liv '!B112+'Oslo Pensjonsforsikring'!B112+'Protector Forsikring'!B112+'SHB Liv'!B112+'Sparebank 1'!B112+'Storebrand Livsforsikring'!B112+'Telenor Forsikring'!B112+'Tryg Forsikring'!B112</f>
        <v>440407.75779999996</v>
      </c>
      <c r="C112" s="235">
        <f>'ACE European Group'!C112+'Danica Pensjonsforsikring'!C112+'DNB Livsforsikring'!C112+'Eika Forsikring AS'!C112+'Frende Livsforsikring'!C112+'Frende Skadeforsikring'!C112+'Gjensidige Forsikring'!C112+'Gjensidige Pensjon'!C112+'Handelsbanken Liv'!C112+'If Skadeforsikring NUF'!C112+KLP!C112+'KLP Bedriftspensjon AS'!C112+'KLP Skadeforsikring AS'!C112+'Landbruksforsikring AS'!C112+'NEMI Forsikring'!C112+'Nordea Liv '!C112+'Oslo Pensjonsforsikring'!C112+'Protector Forsikring'!C112+'SHB Liv'!C112+'Sparebank 1'!C112+'Storebrand Livsforsikring'!C112+'Telenor Forsikring'!C112+'Tryg Forsikring'!C112</f>
        <v>306765.55401999998</v>
      </c>
      <c r="D112" s="23">
        <f t="shared" ref="D112:D125" si="43">IF(B112=0, "    ---- ", IF(ABS(ROUND(100/B112*C112-100,1))&lt;999,ROUND(100/B112*C112-100,1),IF(ROUND(100/B112*C112-100,1)&gt;999,999,-999)))</f>
        <v>-30.3</v>
      </c>
      <c r="E112" s="44">
        <f>'ACE European Group'!F112+'Danica Pensjonsforsikring'!F112+'DNB Livsforsikring'!F112+'Eika Forsikring AS'!F112+'Frende Livsforsikring'!F112+'Frende Skadeforsikring'!F112+'Gjensidige Forsikring'!F112+'Gjensidige Pensjon'!F112+'Handelsbanken Liv'!F112+'If Skadeforsikring NUF'!F112+KLP!F112+'KLP Bedriftspensjon AS'!F112+'KLP Skadeforsikring AS'!F112+'Landbruksforsikring AS'!F112+'NEMI Forsikring'!F112+'Nordea Liv '!F112+'Oslo Pensjonsforsikring'!F112+'Protector Forsikring'!F112+'SHB Liv'!F112+'Sparebank 1'!F112+'Storebrand Livsforsikring'!F112+'Telenor Forsikring'!F112+'Tryg Forsikring'!F112</f>
        <v>0</v>
      </c>
      <c r="F112" s="44">
        <f>'ACE European Group'!G112+'Danica Pensjonsforsikring'!G112+'DNB Livsforsikring'!G112+'Eika Forsikring AS'!G112+'Frende Livsforsikring'!G112+'Frende Skadeforsikring'!G112+'Gjensidige Forsikring'!G112+'Gjensidige Pensjon'!G112+'Handelsbanken Liv'!G112+'If Skadeforsikring NUF'!G112+KLP!G112+'KLP Bedriftspensjon AS'!G112+'KLP Skadeforsikring AS'!G112+'Landbruksforsikring AS'!G112+'NEMI Forsikring'!G112+'Nordea Liv '!G112+'Oslo Pensjonsforsikring'!G112+'Protector Forsikring'!G112+'SHB Liv'!G112+'Sparebank 1'!G112+'Storebrand Livsforsikring'!G112+'Telenor Forsikring'!G112+'Tryg Forsikring'!G112</f>
        <v>1442.1869999999999</v>
      </c>
      <c r="G112" s="23" t="str">
        <f t="shared" si="42"/>
        <v xml:space="preserve">    ---- </v>
      </c>
      <c r="H112" s="238">
        <f t="shared" ref="H112:H126" si="44">SUM(B112,E112)</f>
        <v>440407.75779999996</v>
      </c>
      <c r="I112" s="238">
        <f t="shared" ref="I112:I126" si="45">SUM(C112,F112)</f>
        <v>308207.74101999996</v>
      </c>
      <c r="J112" s="23">
        <f t="shared" ref="J112:J125" si="46">IF(H112=0, "    ---- ", IF(ABS(ROUND(100/H112*I112-100,1))&lt;999,ROUND(100/H112*I112-100,1),IF(ROUND(100/H112*I112-100,1)&gt;999,999,-999)))</f>
        <v>-30</v>
      </c>
    </row>
    <row r="113" spans="1:10" ht="15.75" customHeight="1" x14ac:dyDescent="0.2">
      <c r="A113" s="21" t="s">
        <v>10</v>
      </c>
      <c r="B113" s="235">
        <f>'ACE European Group'!B113+'Danica Pensjonsforsikring'!B113+'DNB Livsforsikring'!B113+'Eika Forsikring AS'!B113+'Frende Livsforsikring'!B113+'Frende Skadeforsikring'!B113+'Gjensidige Forsikring'!B113+'Gjensidige Pensjon'!B113+'Handelsbanken Liv'!B113+'If Skadeforsikring NUF'!B113+KLP!B113+'KLP Bedriftspensjon AS'!B113+'KLP Skadeforsikring AS'!B113+'Landbruksforsikring AS'!B113+'NEMI Forsikring'!B113+'Nordea Liv '!B113+'Oslo Pensjonsforsikring'!B113+'Protector Forsikring'!B113+'SHB Liv'!B113+'Sparebank 1'!B113+'Storebrand Livsforsikring'!B113+'Telenor Forsikring'!B113+'Tryg Forsikring'!B113</f>
        <v>2691.8090000000002</v>
      </c>
      <c r="C113" s="235">
        <f>'ACE European Group'!C113+'Danica Pensjonsforsikring'!C113+'DNB Livsforsikring'!C113+'Eika Forsikring AS'!C113+'Frende Livsforsikring'!C113+'Frende Skadeforsikring'!C113+'Gjensidige Forsikring'!C113+'Gjensidige Pensjon'!C113+'Handelsbanken Liv'!C113+'If Skadeforsikring NUF'!C113+KLP!C113+'KLP Bedriftspensjon AS'!C113+'KLP Skadeforsikring AS'!C113+'Landbruksforsikring AS'!C113+'NEMI Forsikring'!C113+'Nordea Liv '!C113+'Oslo Pensjonsforsikring'!C113+'Protector Forsikring'!C113+'SHB Liv'!C113+'Sparebank 1'!C113+'Storebrand Livsforsikring'!C113+'Telenor Forsikring'!C113+'Tryg Forsikring'!C113</f>
        <v>2035.66705</v>
      </c>
      <c r="D113" s="23">
        <f t="shared" si="43"/>
        <v>-24.4</v>
      </c>
      <c r="E113" s="44">
        <f>'ACE European Group'!F113+'Danica Pensjonsforsikring'!F113+'DNB Livsforsikring'!F113+'Eika Forsikring AS'!F113+'Frende Livsforsikring'!F113+'Frende Skadeforsikring'!F113+'Gjensidige Forsikring'!F113+'Gjensidige Pensjon'!F113+'Handelsbanken Liv'!F113+'If Skadeforsikring NUF'!F113+KLP!F113+'KLP Bedriftspensjon AS'!F113+'KLP Skadeforsikring AS'!F113+'Landbruksforsikring AS'!F113+'NEMI Forsikring'!F113+'Nordea Liv '!F113+'Oslo Pensjonsforsikring'!F113+'Protector Forsikring'!F113+'SHB Liv'!F113+'Sparebank 1'!F113+'Storebrand Livsforsikring'!F113+'Telenor Forsikring'!F113+'Tryg Forsikring'!F113</f>
        <v>8217634.9584799996</v>
      </c>
      <c r="F113" s="44">
        <f>'ACE European Group'!G113+'Danica Pensjonsforsikring'!G113+'DNB Livsforsikring'!G113+'Eika Forsikring AS'!G113+'Frende Livsforsikring'!G113+'Frende Skadeforsikring'!G113+'Gjensidige Forsikring'!G113+'Gjensidige Pensjon'!G113+'Handelsbanken Liv'!G113+'If Skadeforsikring NUF'!G113+KLP!G113+'KLP Bedriftspensjon AS'!G113+'KLP Skadeforsikring AS'!G113+'Landbruksforsikring AS'!G113+'NEMI Forsikring'!G113+'Nordea Liv '!G113+'Oslo Pensjonsforsikring'!G113+'Protector Forsikring'!G113+'SHB Liv'!G113+'Sparebank 1'!G113+'Storebrand Livsforsikring'!G113+'Telenor Forsikring'!G113+'Tryg Forsikring'!G113</f>
        <v>10773018.39501</v>
      </c>
      <c r="G113" s="23">
        <f t="shared" si="42"/>
        <v>31.1</v>
      </c>
      <c r="H113" s="238">
        <f t="shared" si="44"/>
        <v>8220326.7674799999</v>
      </c>
      <c r="I113" s="238">
        <f t="shared" si="45"/>
        <v>10775054.06206</v>
      </c>
      <c r="J113" s="24">
        <f t="shared" si="46"/>
        <v>31.1</v>
      </c>
    </row>
    <row r="114" spans="1:10" ht="15.75" customHeight="1" x14ac:dyDescent="0.2">
      <c r="A114" s="21" t="s">
        <v>26</v>
      </c>
      <c r="B114" s="235">
        <f>'ACE European Group'!B114+'Danica Pensjonsforsikring'!B114+'DNB Livsforsikring'!B114+'Eika Forsikring AS'!B114+'Frende Livsforsikring'!B114+'Frende Skadeforsikring'!B114+'Gjensidige Forsikring'!B114+'Gjensidige Pensjon'!B114+'Handelsbanken Liv'!B114+'If Skadeforsikring NUF'!B114+KLP!B114+'KLP Bedriftspensjon AS'!B114+'KLP Skadeforsikring AS'!B114+'Landbruksforsikring AS'!B114+'NEMI Forsikring'!B114+'Nordea Liv '!B114+'Oslo Pensjonsforsikring'!B114+'Protector Forsikring'!B114+'SHB Liv'!B114+'Sparebank 1'!B114+'Storebrand Livsforsikring'!B114+'Telenor Forsikring'!B114+'Tryg Forsikring'!B114</f>
        <v>22356.045259999999</v>
      </c>
      <c r="C114" s="235">
        <f>'ACE European Group'!C114+'Danica Pensjonsforsikring'!C114+'DNB Livsforsikring'!C114+'Eika Forsikring AS'!C114+'Frende Livsforsikring'!C114+'Frende Skadeforsikring'!C114+'Gjensidige Forsikring'!C114+'Gjensidige Pensjon'!C114+'Handelsbanken Liv'!C114+'If Skadeforsikring NUF'!C114+KLP!C114+'KLP Bedriftspensjon AS'!C114+'KLP Skadeforsikring AS'!C114+'Landbruksforsikring AS'!C114+'NEMI Forsikring'!C114+'Nordea Liv '!C114+'Oslo Pensjonsforsikring'!C114+'Protector Forsikring'!C114+'SHB Liv'!C114+'Sparebank 1'!C114+'Storebrand Livsforsikring'!C114+'Telenor Forsikring'!C114+'Tryg Forsikring'!C114</f>
        <v>48576.236109999998</v>
      </c>
      <c r="D114" s="23">
        <f t="shared" si="43"/>
        <v>117.3</v>
      </c>
      <c r="E114" s="44">
        <f>'ACE European Group'!F114+'Danica Pensjonsforsikring'!F114+'DNB Livsforsikring'!F114+'Eika Forsikring AS'!F114+'Frende Livsforsikring'!F114+'Frende Skadeforsikring'!F114+'Gjensidige Forsikring'!F114+'Gjensidige Pensjon'!F114+'Handelsbanken Liv'!F114+'If Skadeforsikring NUF'!F114+KLP!F114+'KLP Bedriftspensjon AS'!F114+'KLP Skadeforsikring AS'!F114+'Landbruksforsikring AS'!F114+'NEMI Forsikring'!F114+'Nordea Liv '!F114+'Oslo Pensjonsforsikring'!F114+'Protector Forsikring'!F114+'SHB Liv'!F114+'Sparebank 1'!F114+'Storebrand Livsforsikring'!F114+'Telenor Forsikring'!F114+'Tryg Forsikring'!F114</f>
        <v>0</v>
      </c>
      <c r="F114" s="44">
        <f>'ACE European Group'!G114+'Danica Pensjonsforsikring'!G114+'DNB Livsforsikring'!G114+'Eika Forsikring AS'!G114+'Frende Livsforsikring'!G114+'Frende Skadeforsikring'!G114+'Gjensidige Forsikring'!G114+'Gjensidige Pensjon'!G114+'Handelsbanken Liv'!G114+'If Skadeforsikring NUF'!G114+KLP!G114+'KLP Bedriftspensjon AS'!G114+'KLP Skadeforsikring AS'!G114+'Landbruksforsikring AS'!G114+'NEMI Forsikring'!G114+'Nordea Liv '!G114+'Oslo Pensjonsforsikring'!G114+'Protector Forsikring'!G114+'SHB Liv'!G114+'Sparebank 1'!G114+'Storebrand Livsforsikring'!G114+'Telenor Forsikring'!G114+'Tryg Forsikring'!G114</f>
        <v>39214.434999999998</v>
      </c>
      <c r="G114" s="23" t="str">
        <f t="shared" si="42"/>
        <v xml:space="preserve">    ---- </v>
      </c>
      <c r="H114" s="238">
        <f t="shared" si="44"/>
        <v>22356.045259999999</v>
      </c>
      <c r="I114" s="238">
        <f t="shared" si="45"/>
        <v>87790.671109999996</v>
      </c>
      <c r="J114" s="24">
        <f t="shared" si="46"/>
        <v>292.7</v>
      </c>
    </row>
    <row r="115" spans="1:10" ht="15.75" customHeight="1" x14ac:dyDescent="0.2">
      <c r="A115" s="299" t="s">
        <v>15</v>
      </c>
      <c r="B115" s="44"/>
      <c r="C115" s="44"/>
      <c r="D115" s="27"/>
      <c r="E115" s="44"/>
      <c r="F115" s="44"/>
      <c r="G115" s="166"/>
      <c r="H115" s="238"/>
      <c r="I115" s="238"/>
      <c r="J115" s="23"/>
    </row>
    <row r="116" spans="1:10" ht="15.75" customHeight="1" x14ac:dyDescent="0.2">
      <c r="A116" s="21" t="s">
        <v>398</v>
      </c>
      <c r="B116" s="235">
        <f>'ACE European Group'!B116+'Danica Pensjonsforsikring'!B116+'DNB Livsforsikring'!B116+'Eika Forsikring AS'!B116+'Frende Livsforsikring'!B116+'Frende Skadeforsikring'!B116+'Gjensidige Forsikring'!B116+'Gjensidige Pensjon'!B116+'Handelsbanken Liv'!B116+'If Skadeforsikring NUF'!B116+KLP!B116+'KLP Bedriftspensjon AS'!B116+'KLP Skadeforsikring AS'!B116+'Landbruksforsikring AS'!B116+'NEMI Forsikring'!B116+'Nordea Liv '!B116+'Oslo Pensjonsforsikring'!B116+'Protector Forsikring'!B116+'SHB Liv'!B116+'Sparebank 1'!B116+'Storebrand Livsforsikring'!B116+'Telenor Forsikring'!B116+'Tryg Forsikring'!B116</f>
        <v>144567.50049999999</v>
      </c>
      <c r="C116" s="235">
        <f>'ACE European Group'!C116+'Danica Pensjonsforsikring'!C116+'DNB Livsforsikring'!C116+'Eika Forsikring AS'!C116+'Frende Livsforsikring'!C116+'Frende Skadeforsikring'!C116+'Gjensidige Forsikring'!C116+'Gjensidige Pensjon'!C116+'Handelsbanken Liv'!C116+'If Skadeforsikring NUF'!C116+KLP!C116+'KLP Bedriftspensjon AS'!C116+'KLP Skadeforsikring AS'!C116+'Landbruksforsikring AS'!C116+'NEMI Forsikring'!C116+'Nordea Liv '!C116+'Oslo Pensjonsforsikring'!C116+'Protector Forsikring'!C116+'SHB Liv'!C116+'Sparebank 1'!C116+'Storebrand Livsforsikring'!C116+'Telenor Forsikring'!C116+'Tryg Forsikring'!C116</f>
        <v>153153.47065</v>
      </c>
      <c r="D116" s="23">
        <f t="shared" si="43"/>
        <v>5.9</v>
      </c>
      <c r="E116" s="44">
        <f>'ACE European Group'!F116+'Danica Pensjonsforsikring'!F116+'DNB Livsforsikring'!F116+'Eika Forsikring AS'!F116+'Frende Livsforsikring'!F116+'Frende Skadeforsikring'!F116+'Gjensidige Forsikring'!F116+'Gjensidige Pensjon'!F116+'Handelsbanken Liv'!F116+'If Skadeforsikring NUF'!F116+KLP!F116+'KLP Bedriftspensjon AS'!F116+'KLP Skadeforsikring AS'!F116+'Landbruksforsikring AS'!F116+'NEMI Forsikring'!F116+'Nordea Liv '!F116+'Oslo Pensjonsforsikring'!F116+'Protector Forsikring'!F116+'SHB Liv'!F116+'Sparebank 1'!F116+'Storebrand Livsforsikring'!F116+'Telenor Forsikring'!F116+'Tryg Forsikring'!F116</f>
        <v>15715.843999999999</v>
      </c>
      <c r="F116" s="44">
        <f>'ACE European Group'!G116+'Danica Pensjonsforsikring'!G116+'DNB Livsforsikring'!G116+'Eika Forsikring AS'!G116+'Frende Livsforsikring'!G116+'Frende Skadeforsikring'!G116+'Gjensidige Forsikring'!G116+'Gjensidige Pensjon'!G116+'Handelsbanken Liv'!G116+'If Skadeforsikring NUF'!G116+KLP!G116+'KLP Bedriftspensjon AS'!G116+'KLP Skadeforsikring AS'!G116+'Landbruksforsikring AS'!G116+'NEMI Forsikring'!G116+'Nordea Liv '!G116+'Oslo Pensjonsforsikring'!G116+'Protector Forsikring'!G116+'SHB Liv'!G116+'Sparebank 1'!G116+'Storebrand Livsforsikring'!G116+'Telenor Forsikring'!G116+'Tryg Forsikring'!G116</f>
        <v>2208.5889999999999</v>
      </c>
      <c r="G116" s="23">
        <f t="shared" ref="G116:G121" si="47">IF(E116=0, "    ---- ", IF(ABS(ROUND(100/E116*F116-100,1))&lt;999,ROUND(100/E116*F116-100,1),IF(ROUND(100/E116*F116-100,1)&gt;999,999,-999)))</f>
        <v>-85.9</v>
      </c>
      <c r="H116" s="238">
        <f t="shared" si="44"/>
        <v>160283.34450000001</v>
      </c>
      <c r="I116" s="238">
        <f t="shared" si="45"/>
        <v>155362.05965000001</v>
      </c>
      <c r="J116" s="23">
        <f t="shared" si="46"/>
        <v>-3.1</v>
      </c>
    </row>
    <row r="117" spans="1:10" ht="15.75" customHeight="1" x14ac:dyDescent="0.2">
      <c r="A117" s="21" t="s">
        <v>399</v>
      </c>
      <c r="B117" s="235">
        <f>'ACE European Group'!B117+'Danica Pensjonsforsikring'!B117+'DNB Livsforsikring'!B117+'Eika Forsikring AS'!B117+'Frende Livsforsikring'!B117+'Frende Skadeforsikring'!B117+'Gjensidige Forsikring'!B117+'Gjensidige Pensjon'!B117+'Handelsbanken Liv'!B117+'If Skadeforsikring NUF'!B117+KLP!B117+'KLP Bedriftspensjon AS'!B117+'KLP Skadeforsikring AS'!B117+'Landbruksforsikring AS'!B117+'NEMI Forsikring'!B117+'Nordea Liv '!B117+'Oslo Pensjonsforsikring'!B117+'Protector Forsikring'!B117+'SHB Liv'!B117+'Sparebank 1'!B117+'Storebrand Livsforsikring'!B117+'Telenor Forsikring'!B117+'Tryg Forsikring'!B117</f>
        <v>0</v>
      </c>
      <c r="C117" s="235">
        <f>'ACE European Group'!C117+'Danica Pensjonsforsikring'!C117+'DNB Livsforsikring'!C117+'Eika Forsikring AS'!C117+'Frende Livsforsikring'!C117+'Frende Skadeforsikring'!C117+'Gjensidige Forsikring'!C117+'Gjensidige Pensjon'!C117+'Handelsbanken Liv'!C117+'If Skadeforsikring NUF'!C117+KLP!C117+'KLP Bedriftspensjon AS'!C117+'KLP Skadeforsikring AS'!C117+'Landbruksforsikring AS'!C117+'NEMI Forsikring'!C117+'Nordea Liv '!C117+'Oslo Pensjonsforsikring'!C117+'Protector Forsikring'!C117+'SHB Liv'!C117+'Sparebank 1'!C117+'Storebrand Livsforsikring'!C117+'Telenor Forsikring'!C117+'Tryg Forsikring'!C117</f>
        <v>0</v>
      </c>
      <c r="D117" s="23"/>
      <c r="E117" s="44">
        <f>'ACE European Group'!F117+'Danica Pensjonsforsikring'!F117+'DNB Livsforsikring'!F117+'Eika Forsikring AS'!F117+'Frende Livsforsikring'!F117+'Frende Skadeforsikring'!F117+'Gjensidige Forsikring'!F117+'Gjensidige Pensjon'!F117+'Handelsbanken Liv'!F117+'If Skadeforsikring NUF'!F117+KLP!F117+'KLP Bedriftspensjon AS'!F117+'KLP Skadeforsikring AS'!F117+'Landbruksforsikring AS'!F117+'NEMI Forsikring'!F117+'Nordea Liv '!F117+'Oslo Pensjonsforsikring'!F117+'Protector Forsikring'!F117+'SHB Liv'!F117+'Sparebank 1'!F117+'Storebrand Livsforsikring'!F117+'Telenor Forsikring'!F117+'Tryg Forsikring'!F117</f>
        <v>1429797.3114</v>
      </c>
      <c r="F117" s="44">
        <f>'ACE European Group'!G117+'Danica Pensjonsforsikring'!G117+'DNB Livsforsikring'!G117+'Eika Forsikring AS'!G117+'Frende Livsforsikring'!G117+'Frende Skadeforsikring'!G117+'Gjensidige Forsikring'!G117+'Gjensidige Pensjon'!G117+'Handelsbanken Liv'!G117+'If Skadeforsikring NUF'!G117+KLP!G117+'KLP Bedriftspensjon AS'!G117+'KLP Skadeforsikring AS'!G117+'Landbruksforsikring AS'!G117+'NEMI Forsikring'!G117+'Nordea Liv '!G117+'Oslo Pensjonsforsikring'!G117+'Protector Forsikring'!G117+'SHB Liv'!G117+'Sparebank 1'!G117+'Storebrand Livsforsikring'!G117+'Telenor Forsikring'!G117+'Tryg Forsikring'!G117</f>
        <v>1645555.52226</v>
      </c>
      <c r="G117" s="23">
        <f t="shared" si="47"/>
        <v>15.1</v>
      </c>
      <c r="H117" s="238">
        <f t="shared" si="44"/>
        <v>1429797.3114</v>
      </c>
      <c r="I117" s="238">
        <f t="shared" si="45"/>
        <v>1645555.52226</v>
      </c>
      <c r="J117" s="23">
        <f t="shared" si="46"/>
        <v>15.1</v>
      </c>
    </row>
    <row r="118" spans="1:10" ht="15.75" customHeight="1" x14ac:dyDescent="0.2">
      <c r="A118" s="21" t="s">
        <v>397</v>
      </c>
      <c r="B118" s="235">
        <f>'ACE European Group'!B118+'Danica Pensjonsforsikring'!B118+'DNB Livsforsikring'!B118+'Eika Forsikring AS'!B118+'Frende Livsforsikring'!B118+'Frende Skadeforsikring'!B118+'Gjensidige Forsikring'!B118+'Gjensidige Pensjon'!B118+'Handelsbanken Liv'!B118+'If Skadeforsikring NUF'!B118+KLP!B118+'KLP Bedriftspensjon AS'!B118+'KLP Skadeforsikring AS'!B118+'Landbruksforsikring AS'!B118+'NEMI Forsikring'!B118+'Nordea Liv '!B118+'Oslo Pensjonsforsikring'!B118+'Protector Forsikring'!B118+'SHB Liv'!B118+'Sparebank 1'!B118+'Storebrand Livsforsikring'!B118+'Telenor Forsikring'!B118+'Tryg Forsikring'!B118</f>
        <v>0</v>
      </c>
      <c r="C118" s="235">
        <f>'ACE European Group'!C118+'Danica Pensjonsforsikring'!C118+'DNB Livsforsikring'!C118+'Eika Forsikring AS'!C118+'Frende Livsforsikring'!C118+'Frende Skadeforsikring'!C118+'Gjensidige Forsikring'!C118+'Gjensidige Pensjon'!C118+'Handelsbanken Liv'!C118+'If Skadeforsikring NUF'!C118+KLP!C118+'KLP Bedriftspensjon AS'!C118+'KLP Skadeforsikring AS'!C118+'Landbruksforsikring AS'!C118+'NEMI Forsikring'!C118+'Nordea Liv '!C118+'Oslo Pensjonsforsikring'!C118+'Protector Forsikring'!C118+'SHB Liv'!C118+'Sparebank 1'!C118+'Storebrand Livsforsikring'!C118+'Telenor Forsikring'!C118+'Tryg Forsikring'!C118</f>
        <v>0</v>
      </c>
      <c r="D118" s="23"/>
      <c r="E118" s="44">
        <f>'ACE European Group'!F118+'Danica Pensjonsforsikring'!F118+'DNB Livsforsikring'!F118+'Eika Forsikring AS'!F118+'Frende Livsforsikring'!F118+'Frende Skadeforsikring'!F118+'Gjensidige Forsikring'!F118+'Gjensidige Pensjon'!F118+'Handelsbanken Liv'!F118+'If Skadeforsikring NUF'!F118+KLP!F118+'KLP Bedriftspensjon AS'!F118+'KLP Skadeforsikring AS'!F118+'Landbruksforsikring AS'!F118+'NEMI Forsikring'!F118+'Nordea Liv '!F118+'Oslo Pensjonsforsikring'!F118+'Protector Forsikring'!F118+'SHB Liv'!F118+'Sparebank 1'!F118+'Storebrand Livsforsikring'!F118+'Telenor Forsikring'!F118+'Tryg Forsikring'!F118</f>
        <v>0</v>
      </c>
      <c r="F118" s="44">
        <f>'ACE European Group'!G118+'Danica Pensjonsforsikring'!G118+'DNB Livsforsikring'!G118+'Eika Forsikring AS'!G118+'Frende Livsforsikring'!G118+'Frende Skadeforsikring'!G118+'Gjensidige Forsikring'!G118+'Gjensidige Pensjon'!G118+'Handelsbanken Liv'!G118+'If Skadeforsikring NUF'!G118+KLP!G118+'KLP Bedriftspensjon AS'!G118+'KLP Skadeforsikring AS'!G118+'Landbruksforsikring AS'!G118+'NEMI Forsikring'!G118+'Nordea Liv '!G118+'Oslo Pensjonsforsikring'!G118+'Protector Forsikring'!G118+'SHB Liv'!G118+'Sparebank 1'!G118+'Storebrand Livsforsikring'!G118+'Telenor Forsikring'!G118+'Tryg Forsikring'!G118</f>
        <v>0</v>
      </c>
      <c r="G118" s="23"/>
      <c r="H118" s="238">
        <f t="shared" si="44"/>
        <v>0</v>
      </c>
      <c r="I118" s="238">
        <f t="shared" si="45"/>
        <v>0</v>
      </c>
      <c r="J118" s="23"/>
    </row>
    <row r="119" spans="1:10" s="43" customFormat="1" ht="15.75" customHeight="1" x14ac:dyDescent="0.2">
      <c r="A119" s="13" t="s">
        <v>378</v>
      </c>
      <c r="B119" s="333">
        <f>'ACE European Group'!B119+'Danica Pensjonsforsikring'!B119+'DNB Livsforsikring'!B119+'Eika Forsikring AS'!B119+'Frende Livsforsikring'!B119+'Frende Skadeforsikring'!B119+'Gjensidige Forsikring'!B119+'Gjensidige Pensjon'!B119+'Handelsbanken Liv'!B119+'If Skadeforsikring NUF'!B119+KLP!B119+'KLP Bedriftspensjon AS'!B119+'KLP Skadeforsikring AS'!B119+'Landbruksforsikring AS'!B119+'NEMI Forsikring'!B119+'Nordea Liv '!B119+'Oslo Pensjonsforsikring'!B119+'Protector Forsikring'!B119+'SHB Liv'!B119+'Sparebank 1'!B119+'Storebrand Livsforsikring'!B119+'Telenor Forsikring'!B119+'Tryg Forsikring'!B119</f>
        <v>377145.14794000011</v>
      </c>
      <c r="C119" s="333">
        <f>'ACE European Group'!C119+'Danica Pensjonsforsikring'!C119+'DNB Livsforsikring'!C119+'Eika Forsikring AS'!C119+'Frende Livsforsikring'!C119+'Frende Skadeforsikring'!C119+'Gjensidige Forsikring'!C119+'Gjensidige Pensjon'!C119+'Handelsbanken Liv'!C119+'If Skadeforsikring NUF'!C119+KLP!C119+'KLP Bedriftspensjon AS'!C119+'KLP Skadeforsikring AS'!C119+'Landbruksforsikring AS'!C119+'NEMI Forsikring'!C119+'Nordea Liv '!C119+'Oslo Pensjonsforsikring'!C119+'Protector Forsikring'!C119+'SHB Liv'!C119+'Sparebank 1'!C119+'Storebrand Livsforsikring'!C119+'Telenor Forsikring'!C119+'Tryg Forsikring'!C119</f>
        <v>794097.99107999995</v>
      </c>
      <c r="D119" s="24">
        <f t="shared" si="43"/>
        <v>110.6</v>
      </c>
      <c r="E119" s="237">
        <f>'ACE European Group'!F119+'Danica Pensjonsforsikring'!F119+'DNB Livsforsikring'!F119+'Eika Forsikring AS'!F119+'Frende Livsforsikring'!F119+'Frende Skadeforsikring'!F119+'Gjensidige Forsikring'!F119+'Gjensidige Pensjon'!F119+'Handelsbanken Liv'!F119+'If Skadeforsikring NUF'!F119+KLP!F119+'KLP Bedriftspensjon AS'!F119+'KLP Skadeforsikring AS'!F119+'Landbruksforsikring AS'!F119+'NEMI Forsikring'!F119+'Nordea Liv '!F119+'Oslo Pensjonsforsikring'!F119+'Protector Forsikring'!F119+'SHB Liv'!F119+'Sparebank 1'!F119+'Storebrand Livsforsikring'!F119+'Telenor Forsikring'!F119+'Tryg Forsikring'!F119</f>
        <v>8192791.2536800001</v>
      </c>
      <c r="F119" s="237">
        <f>'ACE European Group'!G119+'Danica Pensjonsforsikring'!G119+'DNB Livsforsikring'!G119+'Eika Forsikring AS'!G119+'Frende Livsforsikring'!G119+'Frende Skadeforsikring'!G119+'Gjensidige Forsikring'!G119+'Gjensidige Pensjon'!G119+'Handelsbanken Liv'!G119+'If Skadeforsikring NUF'!G119+KLP!G119+'KLP Bedriftspensjon AS'!G119+'KLP Skadeforsikring AS'!G119+'Landbruksforsikring AS'!G119+'NEMI Forsikring'!G119+'Nordea Liv '!G119+'Oslo Pensjonsforsikring'!G119+'Protector Forsikring'!G119+'SHB Liv'!G119+'Sparebank 1'!G119+'Storebrand Livsforsikring'!G119+'Telenor Forsikring'!G119+'Tryg Forsikring'!G119</f>
        <v>10893609.215970002</v>
      </c>
      <c r="G119" s="24">
        <f t="shared" si="47"/>
        <v>33</v>
      </c>
      <c r="H119" s="333">
        <f t="shared" si="44"/>
        <v>8569936.4016200006</v>
      </c>
      <c r="I119" s="333">
        <f t="shared" si="45"/>
        <v>11687707.207050001</v>
      </c>
      <c r="J119" s="24">
        <f t="shared" si="46"/>
        <v>36.4</v>
      </c>
    </row>
    <row r="120" spans="1:10" ht="15.75" customHeight="1" x14ac:dyDescent="0.2">
      <c r="A120" s="21" t="s">
        <v>9</v>
      </c>
      <c r="B120" s="238">
        <f>'ACE European Group'!B120+'Danica Pensjonsforsikring'!B120+'DNB Livsforsikring'!B120+'Eika Forsikring AS'!B120+'Frende Livsforsikring'!B120+'Frende Skadeforsikring'!B120+'Gjensidige Forsikring'!B120+'Gjensidige Pensjon'!B120+'Handelsbanken Liv'!B120+'If Skadeforsikring NUF'!B120+KLP!B120+'KLP Bedriftspensjon AS'!B120+'KLP Skadeforsikring AS'!B120+'Landbruksforsikring AS'!B120+'NEMI Forsikring'!B120+'Nordea Liv '!B120+'Oslo Pensjonsforsikring'!B120+'Protector Forsikring'!B120+'SHB Liv'!B120+'Sparebank 1'!B120+'Storebrand Livsforsikring'!B120+'Telenor Forsikring'!B120+'Tryg Forsikring'!B120</f>
        <v>346838.2801400001</v>
      </c>
      <c r="C120" s="238">
        <f>'ACE European Group'!C120+'Danica Pensjonsforsikring'!C120+'DNB Livsforsikring'!C120+'Eika Forsikring AS'!C120+'Frende Livsforsikring'!C120+'Frende Skadeforsikring'!C120+'Gjensidige Forsikring'!C120+'Gjensidige Pensjon'!C120+'Handelsbanken Liv'!C120+'If Skadeforsikring NUF'!C120+KLP!C120+'KLP Bedriftspensjon AS'!C120+'KLP Skadeforsikring AS'!C120+'Landbruksforsikring AS'!C120+'NEMI Forsikring'!C120+'Nordea Liv '!C120+'Oslo Pensjonsforsikring'!C120+'Protector Forsikring'!C120+'SHB Liv'!C120+'Sparebank 1'!C120+'Storebrand Livsforsikring'!C120+'Telenor Forsikring'!C120+'Tryg Forsikring'!C120</f>
        <v>377586.66015000001</v>
      </c>
      <c r="D120" s="23">
        <f t="shared" si="43"/>
        <v>8.9</v>
      </c>
      <c r="E120" s="44">
        <f>'ACE European Group'!F120+'Danica Pensjonsforsikring'!F120+'DNB Livsforsikring'!F120+'Eika Forsikring AS'!F120+'Frende Livsforsikring'!F120+'Frende Skadeforsikring'!F120+'Gjensidige Forsikring'!F120+'Gjensidige Pensjon'!F120+'Handelsbanken Liv'!F120+'If Skadeforsikring NUF'!F120+KLP!F120+'KLP Bedriftspensjon AS'!F120+'KLP Skadeforsikring AS'!F120+'Landbruksforsikring AS'!F120+'NEMI Forsikring'!F120+'Nordea Liv '!F120+'Oslo Pensjonsforsikring'!F120+'Protector Forsikring'!F120+'SHB Liv'!F120+'Sparebank 1'!F120+'Storebrand Livsforsikring'!F120+'Telenor Forsikring'!F120+'Tryg Forsikring'!F120</f>
        <v>0</v>
      </c>
      <c r="F120" s="44">
        <f>'ACE European Group'!G120+'Danica Pensjonsforsikring'!G120+'DNB Livsforsikring'!G120+'Eika Forsikring AS'!G120+'Frende Livsforsikring'!G120+'Frende Skadeforsikring'!G120+'Gjensidige Forsikring'!G120+'Gjensidige Pensjon'!G120+'Handelsbanken Liv'!G120+'If Skadeforsikring NUF'!G120+KLP!G120+'KLP Bedriftspensjon AS'!G120+'KLP Skadeforsikring AS'!G120+'Landbruksforsikring AS'!G120+'NEMI Forsikring'!G120+'Nordea Liv '!G120+'Oslo Pensjonsforsikring'!G120+'Protector Forsikring'!G120+'SHB Liv'!G120+'Sparebank 1'!G120+'Storebrand Livsforsikring'!G120+'Telenor Forsikring'!G120+'Tryg Forsikring'!G120</f>
        <v>0</v>
      </c>
      <c r="G120" s="23"/>
      <c r="H120" s="238">
        <f t="shared" si="44"/>
        <v>346838.2801400001</v>
      </c>
      <c r="I120" s="238">
        <f t="shared" si="45"/>
        <v>377586.66015000001</v>
      </c>
      <c r="J120" s="23">
        <f t="shared" si="46"/>
        <v>8.9</v>
      </c>
    </row>
    <row r="121" spans="1:10" ht="15.75" customHeight="1" x14ac:dyDescent="0.2">
      <c r="A121" s="21" t="s">
        <v>10</v>
      </c>
      <c r="B121" s="238">
        <f>'ACE European Group'!B121+'Danica Pensjonsforsikring'!B121+'DNB Livsforsikring'!B121+'Eika Forsikring AS'!B121+'Frende Livsforsikring'!B121+'Frende Skadeforsikring'!B121+'Gjensidige Forsikring'!B121+'Gjensidige Pensjon'!B121+'Handelsbanken Liv'!B121+'If Skadeforsikring NUF'!B121+KLP!B121+'KLP Bedriftspensjon AS'!B121+'KLP Skadeforsikring AS'!B121+'Landbruksforsikring AS'!B121+'NEMI Forsikring'!B121+'Nordea Liv '!B121+'Oslo Pensjonsforsikring'!B121+'Protector Forsikring'!B121+'SHB Liv'!B121+'Sparebank 1'!B121+'Storebrand Livsforsikring'!B121+'Telenor Forsikring'!B121+'Tryg Forsikring'!B121</f>
        <v>23206.622740000003</v>
      </c>
      <c r="C121" s="238">
        <f>'ACE European Group'!C121+'Danica Pensjonsforsikring'!C121+'DNB Livsforsikring'!C121+'Eika Forsikring AS'!C121+'Frende Livsforsikring'!C121+'Frende Skadeforsikring'!C121+'Gjensidige Forsikring'!C121+'Gjensidige Pensjon'!C121+'Handelsbanken Liv'!C121+'If Skadeforsikring NUF'!C121+KLP!C121+'KLP Bedriftspensjon AS'!C121+'KLP Skadeforsikring AS'!C121+'Landbruksforsikring AS'!C121+'NEMI Forsikring'!C121+'Nordea Liv '!C121+'Oslo Pensjonsforsikring'!C121+'Protector Forsikring'!C121+'SHB Liv'!C121+'Sparebank 1'!C121+'Storebrand Livsforsikring'!C121+'Telenor Forsikring'!C121+'Tryg Forsikring'!C121</f>
        <v>27225.563000000002</v>
      </c>
      <c r="D121" s="23">
        <f t="shared" si="43"/>
        <v>17.3</v>
      </c>
      <c r="E121" s="44">
        <f>'ACE European Group'!F121+'Danica Pensjonsforsikring'!F121+'DNB Livsforsikring'!F121+'Eika Forsikring AS'!F121+'Frende Livsforsikring'!F121+'Frende Skadeforsikring'!F121+'Gjensidige Forsikring'!F121+'Gjensidige Pensjon'!F121+'Handelsbanken Liv'!F121+'If Skadeforsikring NUF'!F121+KLP!F121+'KLP Bedriftspensjon AS'!F121+'KLP Skadeforsikring AS'!F121+'Landbruksforsikring AS'!F121+'NEMI Forsikring'!F121+'Nordea Liv '!F121+'Oslo Pensjonsforsikring'!F121+'Protector Forsikring'!F121+'SHB Liv'!F121+'Sparebank 1'!F121+'Storebrand Livsforsikring'!F121+'Telenor Forsikring'!F121+'Tryg Forsikring'!F121</f>
        <v>8192791.2536800001</v>
      </c>
      <c r="F121" s="44">
        <f>'ACE European Group'!G121+'Danica Pensjonsforsikring'!G121+'DNB Livsforsikring'!G121+'Eika Forsikring AS'!G121+'Frende Livsforsikring'!G121+'Frende Skadeforsikring'!G121+'Gjensidige Forsikring'!G121+'Gjensidige Pensjon'!G121+'Handelsbanken Liv'!G121+'If Skadeforsikring NUF'!G121+KLP!G121+'KLP Bedriftspensjon AS'!G121+'KLP Skadeforsikring AS'!G121+'Landbruksforsikring AS'!G121+'NEMI Forsikring'!G121+'Nordea Liv '!G121+'Oslo Pensjonsforsikring'!G121+'Protector Forsikring'!G121+'SHB Liv'!G121+'Sparebank 1'!G121+'Storebrand Livsforsikring'!G121+'Telenor Forsikring'!G121+'Tryg Forsikring'!G121</f>
        <v>10893609.215970002</v>
      </c>
      <c r="G121" s="23">
        <f t="shared" si="47"/>
        <v>33</v>
      </c>
      <c r="H121" s="238">
        <f t="shared" si="44"/>
        <v>8215997.8764199996</v>
      </c>
      <c r="I121" s="238">
        <f t="shared" si="45"/>
        <v>10920834.778970001</v>
      </c>
      <c r="J121" s="23">
        <f t="shared" si="46"/>
        <v>32.9</v>
      </c>
    </row>
    <row r="122" spans="1:10" ht="15.75" customHeight="1" x14ac:dyDescent="0.2">
      <c r="A122" s="21" t="s">
        <v>26</v>
      </c>
      <c r="B122" s="238">
        <f>'ACE European Group'!B122+'Danica Pensjonsforsikring'!B122+'DNB Livsforsikring'!B122+'Eika Forsikring AS'!B122+'Frende Livsforsikring'!B122+'Frende Skadeforsikring'!B122+'Gjensidige Forsikring'!B122+'Gjensidige Pensjon'!B122+'Handelsbanken Liv'!B122+'If Skadeforsikring NUF'!B122+KLP!B122+'KLP Bedriftspensjon AS'!B122+'KLP Skadeforsikring AS'!B122+'Landbruksforsikring AS'!B122+'NEMI Forsikring'!B122+'Nordea Liv '!B122+'Oslo Pensjonsforsikring'!B122+'Protector Forsikring'!B122+'SHB Liv'!B122+'Sparebank 1'!B122+'Storebrand Livsforsikring'!B122+'Telenor Forsikring'!B122+'Tryg Forsikring'!B122</f>
        <v>7100.2450600000002</v>
      </c>
      <c r="C122" s="238">
        <f>'ACE European Group'!C122+'Danica Pensjonsforsikring'!C122+'DNB Livsforsikring'!C122+'Eika Forsikring AS'!C122+'Frende Livsforsikring'!C122+'Frende Skadeforsikring'!C122+'Gjensidige Forsikring'!C122+'Gjensidige Pensjon'!C122+'Handelsbanken Liv'!C122+'If Skadeforsikring NUF'!C122+KLP!C122+'KLP Bedriftspensjon AS'!C122+'KLP Skadeforsikring AS'!C122+'Landbruksforsikring AS'!C122+'NEMI Forsikring'!C122+'Nordea Liv '!C122+'Oslo Pensjonsforsikring'!C122+'Protector Forsikring'!C122+'SHB Liv'!C122+'Sparebank 1'!C122+'Storebrand Livsforsikring'!C122+'Telenor Forsikring'!C122+'Tryg Forsikring'!C122</f>
        <v>389285.76792999997</v>
      </c>
      <c r="D122" s="23">
        <f t="shared" si="43"/>
        <v>999</v>
      </c>
      <c r="E122" s="44">
        <f>'ACE European Group'!F122+'Danica Pensjonsforsikring'!F122+'DNB Livsforsikring'!F122+'Eika Forsikring AS'!F122+'Frende Livsforsikring'!F122+'Frende Skadeforsikring'!F122+'Gjensidige Forsikring'!F122+'Gjensidige Pensjon'!F122+'Handelsbanken Liv'!F122+'If Skadeforsikring NUF'!F122+KLP!F122+'KLP Bedriftspensjon AS'!F122+'KLP Skadeforsikring AS'!F122+'Landbruksforsikring AS'!F122+'NEMI Forsikring'!F122+'Nordea Liv '!F122+'Oslo Pensjonsforsikring'!F122+'Protector Forsikring'!F122+'SHB Liv'!F122+'Sparebank 1'!F122+'Storebrand Livsforsikring'!F122+'Telenor Forsikring'!F122+'Tryg Forsikring'!F122</f>
        <v>0</v>
      </c>
      <c r="F122" s="44">
        <f>'ACE European Group'!G122+'Danica Pensjonsforsikring'!G122+'DNB Livsforsikring'!G122+'Eika Forsikring AS'!G122+'Frende Livsforsikring'!G122+'Frende Skadeforsikring'!G122+'Gjensidige Forsikring'!G122+'Gjensidige Pensjon'!G122+'Handelsbanken Liv'!G122+'If Skadeforsikring NUF'!G122+KLP!G122+'KLP Bedriftspensjon AS'!G122+'KLP Skadeforsikring AS'!G122+'Landbruksforsikring AS'!G122+'NEMI Forsikring'!G122+'Nordea Liv '!G122+'Oslo Pensjonsforsikring'!G122+'Protector Forsikring'!G122+'SHB Liv'!G122+'Sparebank 1'!G122+'Storebrand Livsforsikring'!G122+'Telenor Forsikring'!G122+'Tryg Forsikring'!G122</f>
        <v>0</v>
      </c>
      <c r="G122" s="23"/>
      <c r="H122" s="238">
        <f t="shared" si="44"/>
        <v>7100.2450600000002</v>
      </c>
      <c r="I122" s="238">
        <f t="shared" si="45"/>
        <v>389285.76792999997</v>
      </c>
      <c r="J122" s="23">
        <f t="shared" si="46"/>
        <v>999</v>
      </c>
    </row>
    <row r="123" spans="1:10" ht="15.75" customHeight="1" x14ac:dyDescent="0.2">
      <c r="A123" s="299" t="s">
        <v>14</v>
      </c>
      <c r="B123" s="44"/>
      <c r="C123" s="44"/>
      <c r="D123" s="27"/>
      <c r="E123" s="44"/>
      <c r="F123" s="44"/>
      <c r="G123" s="166"/>
      <c r="H123" s="238"/>
      <c r="I123" s="238"/>
      <c r="J123" s="23"/>
    </row>
    <row r="124" spans="1:10" ht="15.75" customHeight="1" x14ac:dyDescent="0.2">
      <c r="A124" s="21" t="s">
        <v>395</v>
      </c>
      <c r="B124" s="238">
        <f>'ACE European Group'!B124+'Danica Pensjonsforsikring'!B124+'DNB Livsforsikring'!B124+'Eika Forsikring AS'!B124+'Frende Livsforsikring'!B124+'Frende Skadeforsikring'!B124+'Gjensidige Forsikring'!B124+'Gjensidige Pensjon'!B124+'Handelsbanken Liv'!B124+'If Skadeforsikring NUF'!B124+KLP!B124+'KLP Bedriftspensjon AS'!B124+'KLP Skadeforsikring AS'!B124+'Landbruksforsikring AS'!B124+'NEMI Forsikring'!B124+'Nordea Liv '!B124+'Oslo Pensjonsforsikring'!B124+'Protector Forsikring'!B124+'SHB Liv'!B124+'Sparebank 1'!B124+'Storebrand Livsforsikring'!B124+'Telenor Forsikring'!B124+'Tryg Forsikring'!B124</f>
        <v>47481.87066</v>
      </c>
      <c r="C124" s="238">
        <f>'ACE European Group'!C124+'Danica Pensjonsforsikring'!C124+'DNB Livsforsikring'!C124+'Eika Forsikring AS'!C124+'Frende Livsforsikring'!C124+'Frende Skadeforsikring'!C124+'Gjensidige Forsikring'!C124+'Gjensidige Pensjon'!C124+'Handelsbanken Liv'!C124+'If Skadeforsikring NUF'!C124+KLP!C124+'KLP Bedriftspensjon AS'!C124+'KLP Skadeforsikring AS'!C124+'Landbruksforsikring AS'!C124+'NEMI Forsikring'!C124+'Nordea Liv '!C124+'Oslo Pensjonsforsikring'!C124+'Protector Forsikring'!C124+'SHB Liv'!C124+'Sparebank 1'!C124+'Storebrand Livsforsikring'!C124+'Telenor Forsikring'!C124+'Tryg Forsikring'!C124</f>
        <v>110714.31599999999</v>
      </c>
      <c r="D124" s="23">
        <f t="shared" si="43"/>
        <v>133.19999999999999</v>
      </c>
      <c r="E124" s="44">
        <f>'ACE European Group'!F124+'Danica Pensjonsforsikring'!F124+'DNB Livsforsikring'!F124+'Eika Forsikring AS'!F124+'Frende Livsforsikring'!F124+'Frende Skadeforsikring'!F124+'Gjensidige Forsikring'!F124+'Gjensidige Pensjon'!F124+'Handelsbanken Liv'!F124+'If Skadeforsikring NUF'!F124+KLP!F124+'KLP Bedriftspensjon AS'!F124+'KLP Skadeforsikring AS'!F124+'Landbruksforsikring AS'!F124+'NEMI Forsikring'!F124+'Nordea Liv '!F124+'Oslo Pensjonsforsikring'!F124+'Protector Forsikring'!F124+'SHB Liv'!F124+'Sparebank 1'!F124+'Storebrand Livsforsikring'!F124+'Telenor Forsikring'!F124+'Tryg Forsikring'!F124</f>
        <v>12925.173000000001</v>
      </c>
      <c r="F124" s="44">
        <f>'ACE European Group'!G124+'Danica Pensjonsforsikring'!G124+'DNB Livsforsikring'!G124+'Eika Forsikring AS'!G124+'Frende Livsforsikring'!G124+'Frende Skadeforsikring'!G124+'Gjensidige Forsikring'!G124+'Gjensidige Pensjon'!G124+'Handelsbanken Liv'!G124+'If Skadeforsikring NUF'!G124+KLP!G124+'KLP Bedriftspensjon AS'!G124+'KLP Skadeforsikring AS'!G124+'Landbruksforsikring AS'!G124+'NEMI Forsikring'!G124+'Nordea Liv '!G124+'Oslo Pensjonsforsikring'!G124+'Protector Forsikring'!G124+'SHB Liv'!G124+'Sparebank 1'!G124+'Storebrand Livsforsikring'!G124+'Telenor Forsikring'!G124+'Tryg Forsikring'!G124</f>
        <v>25940.243000000002</v>
      </c>
      <c r="G124" s="23">
        <f t="shared" ref="G124:G125" si="48">IF(E124=0, "    ---- ", IF(ABS(ROUND(100/E124*F124-100,1))&lt;999,ROUND(100/E124*F124-100,1),IF(ROUND(100/E124*F124-100,1)&gt;999,999,-999)))</f>
        <v>100.7</v>
      </c>
      <c r="H124" s="238">
        <f t="shared" si="44"/>
        <v>60407.043660000003</v>
      </c>
      <c r="I124" s="238">
        <f t="shared" si="45"/>
        <v>136654.55900000001</v>
      </c>
      <c r="J124" s="23">
        <f t="shared" si="46"/>
        <v>126.2</v>
      </c>
    </row>
    <row r="125" spans="1:10" ht="15.75" customHeight="1" x14ac:dyDescent="0.2">
      <c r="A125" s="21" t="s">
        <v>396</v>
      </c>
      <c r="B125" s="238">
        <f>'ACE European Group'!B125+'Danica Pensjonsforsikring'!B125+'DNB Livsforsikring'!B125+'Eika Forsikring AS'!B125+'Frende Livsforsikring'!B125+'Frende Skadeforsikring'!B125+'Gjensidige Forsikring'!B125+'Gjensidige Pensjon'!B125+'Handelsbanken Liv'!B125+'If Skadeforsikring NUF'!B125+KLP!B125+'KLP Bedriftspensjon AS'!B125+'KLP Skadeforsikring AS'!B125+'Landbruksforsikring AS'!B125+'NEMI Forsikring'!B125+'Nordea Liv '!B125+'Oslo Pensjonsforsikring'!B125+'Protector Forsikring'!B125+'SHB Liv'!B125+'Sparebank 1'!B125+'Storebrand Livsforsikring'!B125+'Telenor Forsikring'!B125+'Tryg Forsikring'!B125</f>
        <v>3809.8150499999997</v>
      </c>
      <c r="C125" s="238">
        <f>'ACE European Group'!C125+'Danica Pensjonsforsikring'!C125+'DNB Livsforsikring'!C125+'Eika Forsikring AS'!C125+'Frende Livsforsikring'!C125+'Frende Skadeforsikring'!C125+'Gjensidige Forsikring'!C125+'Gjensidige Pensjon'!C125+'Handelsbanken Liv'!C125+'If Skadeforsikring NUF'!C125+KLP!C125+'KLP Bedriftspensjon AS'!C125+'KLP Skadeforsikring AS'!C125+'Landbruksforsikring AS'!C125+'NEMI Forsikring'!C125+'Nordea Liv '!C125+'Oslo Pensjonsforsikring'!C125+'Protector Forsikring'!C125+'SHB Liv'!C125+'Sparebank 1'!C125+'Storebrand Livsforsikring'!C125+'Telenor Forsikring'!C125+'Tryg Forsikring'!C125</f>
        <v>2576.0078199999998</v>
      </c>
      <c r="D125" s="23">
        <f t="shared" si="43"/>
        <v>-32.4</v>
      </c>
      <c r="E125" s="44">
        <f>'ACE European Group'!F125+'Danica Pensjonsforsikring'!F125+'DNB Livsforsikring'!F125+'Eika Forsikring AS'!F125+'Frende Livsforsikring'!F125+'Frende Skadeforsikring'!F125+'Gjensidige Forsikring'!F125+'Gjensidige Pensjon'!F125+'Handelsbanken Liv'!F125+'If Skadeforsikring NUF'!F125+KLP!F125+'KLP Bedriftspensjon AS'!F125+'KLP Skadeforsikring AS'!F125+'Landbruksforsikring AS'!F125+'NEMI Forsikring'!F125+'Nordea Liv '!F125+'Oslo Pensjonsforsikring'!F125+'Protector Forsikring'!F125+'SHB Liv'!F125+'Sparebank 1'!F125+'Storebrand Livsforsikring'!F125+'Telenor Forsikring'!F125+'Tryg Forsikring'!F125</f>
        <v>1483623.5681999999</v>
      </c>
      <c r="F125" s="44">
        <f>'ACE European Group'!G125+'Danica Pensjonsforsikring'!G125+'DNB Livsforsikring'!G125+'Eika Forsikring AS'!G125+'Frende Livsforsikring'!G125+'Frende Skadeforsikring'!G125+'Gjensidige Forsikring'!G125+'Gjensidige Pensjon'!G125+'Handelsbanken Liv'!G125+'If Skadeforsikring NUF'!G125+KLP!G125+'KLP Bedriftspensjon AS'!G125+'KLP Skadeforsikring AS'!G125+'Landbruksforsikring AS'!G125+'NEMI Forsikring'!G125+'Nordea Liv '!G125+'Oslo Pensjonsforsikring'!G125+'Protector Forsikring'!G125+'SHB Liv'!G125+'Sparebank 1'!G125+'Storebrand Livsforsikring'!G125+'Telenor Forsikring'!G125+'Tryg Forsikring'!G125</f>
        <v>1555259.1051400001</v>
      </c>
      <c r="G125" s="23">
        <f t="shared" si="48"/>
        <v>4.8</v>
      </c>
      <c r="H125" s="238">
        <f t="shared" si="44"/>
        <v>1487433.38325</v>
      </c>
      <c r="I125" s="238">
        <f t="shared" si="45"/>
        <v>1557835.1129600001</v>
      </c>
      <c r="J125" s="23">
        <f t="shared" si="46"/>
        <v>4.7</v>
      </c>
    </row>
    <row r="126" spans="1:10" ht="15.75" customHeight="1" x14ac:dyDescent="0.2">
      <c r="A126" s="10" t="s">
        <v>397</v>
      </c>
      <c r="B126" s="239">
        <f>'ACE European Group'!B126+'Danica Pensjonsforsikring'!B126+'DNB Livsforsikring'!B126+'Eika Forsikring AS'!B126+'Frende Livsforsikring'!B126+'Frende Skadeforsikring'!B126+'Gjensidige Forsikring'!B126+'Gjensidige Pensjon'!B126+'Handelsbanken Liv'!B126+'If Skadeforsikring NUF'!B126+KLP!B126+'KLP Bedriftspensjon AS'!B126+'KLP Skadeforsikring AS'!B126+'Landbruksforsikring AS'!B126+'NEMI Forsikring'!B126+'Nordea Liv '!B126+'Oslo Pensjonsforsikring'!B126+'Protector Forsikring'!B126+'SHB Liv'!B126+'Sparebank 1'!B126+'Storebrand Livsforsikring'!B126+'Telenor Forsikring'!B126+'Tryg Forsikring'!B126</f>
        <v>0</v>
      </c>
      <c r="C126" s="240">
        <f>'ACE European Group'!C126+'Danica Pensjonsforsikring'!C126+'DNB Livsforsikring'!C126+'Eika Forsikring AS'!C126+'Frende Livsforsikring'!C126+'Frende Skadeforsikring'!C126+'Gjensidige Forsikring'!C126+'Gjensidige Pensjon'!C126+'Handelsbanken Liv'!C126+'If Skadeforsikring NUF'!C126+KLP!C126+'KLP Bedriftspensjon AS'!C126+'KLP Skadeforsikring AS'!C126+'Landbruksforsikring AS'!C126+'NEMI Forsikring'!C126+'Nordea Liv '!C126+'Oslo Pensjonsforsikring'!C126+'Protector Forsikring'!C126+'SHB Liv'!C126+'Sparebank 1'!C126+'Storebrand Livsforsikring'!C126+'Telenor Forsikring'!C126+'Tryg Forsikring'!C126</f>
        <v>0</v>
      </c>
      <c r="D126" s="22"/>
      <c r="E126" s="45">
        <f>'ACE European Group'!F126+'Danica Pensjonsforsikring'!F126+'DNB Livsforsikring'!F126+'Eika Forsikring AS'!F126+'Frende Livsforsikring'!F126+'Frende Skadeforsikring'!F126+'Gjensidige Forsikring'!F126+'Gjensidige Pensjon'!F126+'Handelsbanken Liv'!F126+'If Skadeforsikring NUF'!F126+KLP!F126+'KLP Bedriftspensjon AS'!F126+'KLP Skadeforsikring AS'!F126+'Landbruksforsikring AS'!F126+'NEMI Forsikring'!F126+'Nordea Liv '!F126+'Oslo Pensjonsforsikring'!F126+'Protector Forsikring'!F126+'SHB Liv'!F126+'Sparebank 1'!F126+'Storebrand Livsforsikring'!F126+'Telenor Forsikring'!F126+'Tryg Forsikring'!F126</f>
        <v>0</v>
      </c>
      <c r="F126" s="45">
        <f>'ACE European Group'!G126+'Danica Pensjonsforsikring'!G126+'DNB Livsforsikring'!G126+'Eika Forsikring AS'!G126+'Frende Livsforsikring'!G126+'Frende Skadeforsikring'!G126+'Gjensidige Forsikring'!G126+'Gjensidige Pensjon'!G126+'Handelsbanken Liv'!G126+'If Skadeforsikring NUF'!G126+KLP!G126+'KLP Bedriftspensjon AS'!G126+'KLP Skadeforsikring AS'!G126+'Landbruksforsikring AS'!G126+'NEMI Forsikring'!G126+'Nordea Liv '!G126+'Oslo Pensjonsforsikring'!G126+'Protector Forsikring'!G126+'SHB Liv'!G126+'Sparebank 1'!G126+'Storebrand Livsforsikring'!G126+'Telenor Forsikring'!G126+'Tryg Forsikring'!G126</f>
        <v>0</v>
      </c>
      <c r="G126" s="22"/>
      <c r="H126" s="239">
        <f t="shared" si="44"/>
        <v>0</v>
      </c>
      <c r="I126" s="240">
        <f t="shared" si="45"/>
        <v>0</v>
      </c>
      <c r="J126" s="22"/>
    </row>
    <row r="127" spans="1:10" ht="15.75" customHeight="1" x14ac:dyDescent="0.2">
      <c r="A127" s="155"/>
    </row>
    <row r="128" spans="1:10" ht="15.75" customHeight="1" x14ac:dyDescent="0.2">
      <c r="A128" s="149"/>
    </row>
    <row r="129" spans="1:10" ht="15.75" customHeight="1" x14ac:dyDescent="0.25">
      <c r="A129" s="165" t="s">
        <v>27</v>
      </c>
    </row>
    <row r="130" spans="1:10" ht="15.75" customHeight="1" x14ac:dyDescent="0.25">
      <c r="A130" s="149"/>
      <c r="B130" s="721"/>
      <c r="C130" s="721"/>
      <c r="D130" s="721"/>
      <c r="E130" s="721"/>
      <c r="F130" s="721"/>
      <c r="G130" s="721"/>
      <c r="H130" s="721"/>
      <c r="I130" s="721"/>
      <c r="J130" s="721"/>
    </row>
    <row r="131" spans="1:10" s="3" customFormat="1" ht="20.100000000000001" customHeight="1" x14ac:dyDescent="0.2">
      <c r="A131" s="144"/>
      <c r="B131" s="722" t="s">
        <v>0</v>
      </c>
      <c r="C131" s="723"/>
      <c r="D131" s="724"/>
      <c r="E131" s="723" t="s">
        <v>1</v>
      </c>
      <c r="F131" s="723"/>
      <c r="G131" s="723"/>
      <c r="H131" s="722" t="s">
        <v>2</v>
      </c>
      <c r="I131" s="723"/>
      <c r="J131" s="724"/>
    </row>
    <row r="132" spans="1:10" s="3" customFormat="1" ht="15.75" customHeight="1" x14ac:dyDescent="0.2">
      <c r="A132" s="140"/>
      <c r="B132" s="20" t="s">
        <v>413</v>
      </c>
      <c r="C132" s="20" t="s">
        <v>414</v>
      </c>
      <c r="D132" s="19" t="s">
        <v>3</v>
      </c>
      <c r="E132" s="20" t="s">
        <v>413</v>
      </c>
      <c r="F132" s="20" t="s">
        <v>414</v>
      </c>
      <c r="G132" s="19" t="s">
        <v>3</v>
      </c>
      <c r="H132" s="20" t="s">
        <v>413</v>
      </c>
      <c r="I132" s="20" t="s">
        <v>414</v>
      </c>
      <c r="J132" s="19" t="s">
        <v>3</v>
      </c>
    </row>
    <row r="133" spans="1:10" s="3" customFormat="1" ht="15.75" customHeight="1" x14ac:dyDescent="0.2">
      <c r="A133" s="643"/>
      <c r="B133" s="15"/>
      <c r="C133" s="15"/>
      <c r="D133" s="17" t="s">
        <v>4</v>
      </c>
      <c r="E133" s="16"/>
      <c r="F133" s="16"/>
      <c r="G133" s="15" t="s">
        <v>4</v>
      </c>
      <c r="H133" s="16"/>
      <c r="I133" s="16"/>
      <c r="J133" s="15" t="s">
        <v>4</v>
      </c>
    </row>
    <row r="134" spans="1:10" s="424" customFormat="1" ht="15.75" customHeight="1" x14ac:dyDescent="0.2">
      <c r="A134" s="14" t="s">
        <v>400</v>
      </c>
      <c r="B134" s="237">
        <f>'ACE European Group'!B134+'Danica Pensjonsforsikring'!B134+'DNB Livsforsikring'!B134+'Eika Forsikring AS'!B134+'Frende Livsforsikring'!B134+'Frende Skadeforsikring'!B134+'Gjensidige Forsikring'!B134+'Gjensidige Pensjon'!B134+'Handelsbanken Liv'!B134+'If Skadeforsikring NUF'!B134+KLP!B134+'KLP Bedriftspensjon AS'!B134+'KLP Skadeforsikring AS'!B134+'Landbruksforsikring AS'!B134+'NEMI Forsikring'!B134+'Nordea Liv '!B134+'Oslo Pensjonsforsikring'!B134+'Protector Forsikring'!B134+'SHB Liv'!B134+'Sparebank 1'!B134+'Storebrand Livsforsikring'!B134+'Telenor Forsikring'!B134+'Tryg Forsikring'!B134</f>
        <v>26968745.670390002</v>
      </c>
      <c r="C134" s="237">
        <f>'ACE European Group'!C134+'Danica Pensjonsforsikring'!C134+'DNB Livsforsikring'!C134+'Eika Forsikring AS'!C134+'Frende Livsforsikring'!C134+'Frende Skadeforsikring'!C134+'Gjensidige Forsikring'!C134+'Gjensidige Pensjon'!C134+'Handelsbanken Liv'!C134+'If Skadeforsikring NUF'!C134+KLP!C134+'KLP Bedriftspensjon AS'!C134+'KLP Skadeforsikring AS'!C134+'Landbruksforsikring AS'!C134+'NEMI Forsikring'!C134+'Nordea Liv '!C134+'Oslo Pensjonsforsikring'!C134+'Protector Forsikring'!C134+'SHB Liv'!C134+'Sparebank 1'!C134+'Storebrand Livsforsikring'!C134+'Telenor Forsikring'!C134+'Tryg Forsikring'!C134</f>
        <v>35322559.840970002</v>
      </c>
      <c r="D134" s="11">
        <f t="shared" ref="D134:D137" si="49">IF(B134=0, "    ---- ", IF(ABS(ROUND(100/B134*C134-100,1))&lt;999,ROUND(100/B134*C134-100,1),IF(ROUND(100/B134*C134-100,1)&gt;999,999,-999)))</f>
        <v>31</v>
      </c>
      <c r="E134" s="237">
        <f>'ACE European Group'!F134+'Danica Pensjonsforsikring'!F134+'DNB Livsforsikring'!F134+'Eika Forsikring AS'!F134+'Frende Livsforsikring'!F134+'Frende Skadeforsikring'!F134+'Gjensidige Forsikring'!F134+'Gjensidige Pensjon'!F134+'Handelsbanken Liv'!F134+'If Skadeforsikring NUF'!F134+KLP!F134+'KLP Bedriftspensjon AS'!F134+'KLP Skadeforsikring AS'!F134+'Landbruksforsikring AS'!F134+'NEMI Forsikring'!F134+'Nordea Liv '!F134+'Oslo Pensjonsforsikring'!F134+'Protector Forsikring'!F134+'SHB Liv'!F134+'Sparebank 1'!F134+'Storebrand Livsforsikring'!F134+'Telenor Forsikring'!F134+'Tryg Forsikring'!F134</f>
        <v>84881.887000000002</v>
      </c>
      <c r="F134" s="237">
        <f>'ACE European Group'!G134+'Danica Pensjonsforsikring'!G134+'DNB Livsforsikring'!G134+'Eika Forsikring AS'!G134+'Frende Livsforsikring'!G134+'Frende Skadeforsikring'!G134+'Gjensidige Forsikring'!G134+'Gjensidige Pensjon'!G134+'Handelsbanken Liv'!G134+'If Skadeforsikring NUF'!G134+KLP!G134+'KLP Bedriftspensjon AS'!G134+'KLP Skadeforsikring AS'!G134+'Landbruksforsikring AS'!G134+'NEMI Forsikring'!G134+'Nordea Liv '!G134+'Oslo Pensjonsforsikring'!G134+'Protector Forsikring'!G134+'SHB Liv'!G134+'Sparebank 1'!G134+'Storebrand Livsforsikring'!G134+'Telenor Forsikring'!G134+'Tryg Forsikring'!G134</f>
        <v>116827.63</v>
      </c>
      <c r="G134" s="11">
        <f t="shared" ref="G134:G136" si="50">IF(E134=0, "    ---- ", IF(ABS(ROUND(100/E134*F134-100,1))&lt;999,ROUND(100/E134*F134-100,1),IF(ROUND(100/E134*F134-100,1)&gt;999,999,-999)))</f>
        <v>37.6</v>
      </c>
      <c r="H134" s="237">
        <f t="shared" ref="H134:I137" si="51">SUM(B134,E134)</f>
        <v>27053627.557390001</v>
      </c>
      <c r="I134" s="237">
        <f t="shared" si="51"/>
        <v>35439387.470970005</v>
      </c>
      <c r="J134" s="11">
        <f t="shared" ref="J134:J137" si="52">IF(H134=0, "    ---- ", IF(ABS(ROUND(100/H134*I134-100,1))&lt;999,ROUND(100/H134*I134-100,1),IF(ROUND(100/H134*I134-100,1)&gt;999,999,-999)))</f>
        <v>31</v>
      </c>
    </row>
    <row r="135" spans="1:10" s="424" customFormat="1" ht="15.75" customHeight="1" x14ac:dyDescent="0.2">
      <c r="A135" s="13" t="s">
        <v>401</v>
      </c>
      <c r="B135" s="237">
        <f>'ACE European Group'!B135+'Danica Pensjonsforsikring'!B135+'DNB Livsforsikring'!B135+'Eika Forsikring AS'!B135+'Frende Livsforsikring'!B135+'Frende Skadeforsikring'!B135+'Gjensidige Forsikring'!B135+'Gjensidige Pensjon'!B135+'Handelsbanken Liv'!B135+'If Skadeforsikring NUF'!B135+KLP!B135+'KLP Bedriftspensjon AS'!B135+'KLP Skadeforsikring AS'!B135+'Landbruksforsikring AS'!B135+'NEMI Forsikring'!B135+'Nordea Liv '!B135+'Oslo Pensjonsforsikring'!B135+'Protector Forsikring'!B135+'SHB Liv'!B135+'Sparebank 1'!B135+'Storebrand Livsforsikring'!B135+'Telenor Forsikring'!B135+'Tryg Forsikring'!B135</f>
        <v>511066919.56677002</v>
      </c>
      <c r="C135" s="237">
        <f>'ACE European Group'!C135+'Danica Pensjonsforsikring'!C135+'DNB Livsforsikring'!C135+'Eika Forsikring AS'!C135+'Frende Livsforsikring'!C135+'Frende Skadeforsikring'!C135+'Gjensidige Forsikring'!C135+'Gjensidige Pensjon'!C135+'Handelsbanken Liv'!C135+'If Skadeforsikring NUF'!C135+KLP!C135+'KLP Bedriftspensjon AS'!C135+'KLP Skadeforsikring AS'!C135+'Landbruksforsikring AS'!C135+'NEMI Forsikring'!C135+'Nordea Liv '!C135+'Oslo Pensjonsforsikring'!C135+'Protector Forsikring'!C135+'SHB Liv'!C135+'Sparebank 1'!C135+'Storebrand Livsforsikring'!C135+'Telenor Forsikring'!C135+'Tryg Forsikring'!C135</f>
        <v>546877923.79205</v>
      </c>
      <c r="D135" s="11">
        <f t="shared" si="49"/>
        <v>7</v>
      </c>
      <c r="E135" s="237">
        <f>'ACE European Group'!F135+'Danica Pensjonsforsikring'!F135+'DNB Livsforsikring'!F135+'Eika Forsikring AS'!F135+'Frende Livsforsikring'!F135+'Frende Skadeforsikring'!F135+'Gjensidige Forsikring'!F135+'Gjensidige Pensjon'!F135+'Handelsbanken Liv'!F135+'If Skadeforsikring NUF'!F135+KLP!F135+'KLP Bedriftspensjon AS'!F135+'KLP Skadeforsikring AS'!F135+'Landbruksforsikring AS'!F135+'NEMI Forsikring'!F135+'Nordea Liv '!F135+'Oslo Pensjonsforsikring'!F135+'Protector Forsikring'!F135+'SHB Liv'!F135+'Sparebank 1'!F135+'Storebrand Livsforsikring'!F135+'Telenor Forsikring'!F135+'Tryg Forsikring'!F135</f>
        <v>2330198.9161499999</v>
      </c>
      <c r="F135" s="237">
        <f>'ACE European Group'!G135+'Danica Pensjonsforsikring'!G135+'DNB Livsforsikring'!G135+'Eika Forsikring AS'!G135+'Frende Livsforsikring'!G135+'Frende Skadeforsikring'!G135+'Gjensidige Forsikring'!G135+'Gjensidige Pensjon'!G135+'Handelsbanken Liv'!G135+'If Skadeforsikring NUF'!G135+KLP!G135+'KLP Bedriftspensjon AS'!G135+'KLP Skadeforsikring AS'!G135+'Landbruksforsikring AS'!G135+'NEMI Forsikring'!G135+'Nordea Liv '!G135+'Oslo Pensjonsforsikring'!G135+'Protector Forsikring'!G135+'SHB Liv'!G135+'Sparebank 1'!G135+'Storebrand Livsforsikring'!G135+'Telenor Forsikring'!G135+'Tryg Forsikring'!G135</f>
        <v>2478827.29715</v>
      </c>
      <c r="G135" s="11">
        <f t="shared" si="50"/>
        <v>6.4</v>
      </c>
      <c r="H135" s="237">
        <f t="shared" si="51"/>
        <v>513397118.48291999</v>
      </c>
      <c r="I135" s="237">
        <f t="shared" si="51"/>
        <v>549356751.08920002</v>
      </c>
      <c r="J135" s="11">
        <f t="shared" si="52"/>
        <v>7</v>
      </c>
    </row>
    <row r="136" spans="1:10" s="424" customFormat="1" ht="15.75" customHeight="1" x14ac:dyDescent="0.2">
      <c r="A136" s="13" t="s">
        <v>402</v>
      </c>
      <c r="B136" s="237">
        <f>'ACE European Group'!B136+'Danica Pensjonsforsikring'!B136+'DNB Livsforsikring'!B136+'Eika Forsikring AS'!B136+'Frende Livsforsikring'!B136+'Frende Skadeforsikring'!B136+'Gjensidige Forsikring'!B136+'Gjensidige Pensjon'!B136+'Handelsbanken Liv'!B136+'If Skadeforsikring NUF'!B136+KLP!B136+'KLP Bedriftspensjon AS'!B136+'KLP Skadeforsikring AS'!B136+'Landbruksforsikring AS'!B136+'NEMI Forsikring'!B136+'Nordea Liv '!B136+'Oslo Pensjonsforsikring'!B136+'Protector Forsikring'!B136+'SHB Liv'!B136+'Sparebank 1'!B136+'Storebrand Livsforsikring'!B136+'Telenor Forsikring'!B136+'Tryg Forsikring'!B136</f>
        <v>183490.30300000001</v>
      </c>
      <c r="C136" s="237">
        <f>'ACE European Group'!C136+'Danica Pensjonsforsikring'!C136+'DNB Livsforsikring'!C136+'Eika Forsikring AS'!C136+'Frende Livsforsikring'!C136+'Frende Skadeforsikring'!C136+'Gjensidige Forsikring'!C136+'Gjensidige Pensjon'!C136+'Handelsbanken Liv'!C136+'If Skadeforsikring NUF'!C136+KLP!C136+'KLP Bedriftspensjon AS'!C136+'KLP Skadeforsikring AS'!C136+'Landbruksforsikring AS'!C136+'NEMI Forsikring'!C136+'Nordea Liv '!C136+'Oslo Pensjonsforsikring'!C136+'Protector Forsikring'!C136+'SHB Liv'!C136+'Sparebank 1'!C136+'Storebrand Livsforsikring'!C136+'Telenor Forsikring'!C136+'Tryg Forsikring'!C136</f>
        <v>315551.48612999998</v>
      </c>
      <c r="D136" s="11">
        <f t="shared" si="49"/>
        <v>72</v>
      </c>
      <c r="E136" s="237">
        <f>'ACE European Group'!F136+'Danica Pensjonsforsikring'!F136+'DNB Livsforsikring'!F136+'Eika Forsikring AS'!F136+'Frende Livsforsikring'!F136+'Frende Skadeforsikring'!F136+'Gjensidige Forsikring'!F136+'Gjensidige Pensjon'!F136+'Handelsbanken Liv'!F136+'If Skadeforsikring NUF'!F136+KLP!F136+'KLP Bedriftspensjon AS'!F136+'KLP Skadeforsikring AS'!F136+'Landbruksforsikring AS'!F136+'NEMI Forsikring'!F136+'Nordea Liv '!F136+'Oslo Pensjonsforsikring'!F136+'Protector Forsikring'!F136+'SHB Liv'!F136+'Sparebank 1'!F136+'Storebrand Livsforsikring'!F136+'Telenor Forsikring'!F136+'Tryg Forsikring'!F136</f>
        <v>24988.125</v>
      </c>
      <c r="F136" s="237">
        <f>'ACE European Group'!G136+'Danica Pensjonsforsikring'!G136+'DNB Livsforsikring'!G136+'Eika Forsikring AS'!G136+'Frende Livsforsikring'!G136+'Frende Skadeforsikring'!G136+'Gjensidige Forsikring'!G136+'Gjensidige Pensjon'!G136+'Handelsbanken Liv'!G136+'If Skadeforsikring NUF'!G136+KLP!G136+'KLP Bedriftspensjon AS'!G136+'KLP Skadeforsikring AS'!G136+'Landbruksforsikring AS'!G136+'NEMI Forsikring'!G136+'Nordea Liv '!G136+'Oslo Pensjonsforsikring'!G136+'Protector Forsikring'!G136+'SHB Liv'!G136+'Sparebank 1'!G136+'Storebrand Livsforsikring'!G136+'Telenor Forsikring'!G136+'Tryg Forsikring'!G136</f>
        <v>-10.804</v>
      </c>
      <c r="G136" s="11">
        <f t="shared" si="50"/>
        <v>-100</v>
      </c>
      <c r="H136" s="237">
        <f t="shared" si="51"/>
        <v>208478.42800000001</v>
      </c>
      <c r="I136" s="237">
        <f t="shared" si="51"/>
        <v>315540.68212999997</v>
      </c>
      <c r="J136" s="11">
        <f t="shared" si="52"/>
        <v>51.4</v>
      </c>
    </row>
    <row r="137" spans="1:10" s="424" customFormat="1" ht="15.75" customHeight="1" x14ac:dyDescent="0.2">
      <c r="A137" s="41" t="s">
        <v>403</v>
      </c>
      <c r="B137" s="279">
        <f>'ACE European Group'!B137+'Danica Pensjonsforsikring'!B137+'DNB Livsforsikring'!B137+'Eika Forsikring AS'!B137+'Frende Livsforsikring'!B137+'Frende Skadeforsikring'!B137+'Gjensidige Forsikring'!B137+'Gjensidige Pensjon'!B137+'Handelsbanken Liv'!B137+'If Skadeforsikring NUF'!B137+KLP!B137+'KLP Bedriftspensjon AS'!B137+'KLP Skadeforsikring AS'!B137+'Landbruksforsikring AS'!B137+'NEMI Forsikring'!B137+'Nordea Liv '!B137+'Oslo Pensjonsforsikring'!B137+'Protector Forsikring'!B137+'SHB Liv'!B137+'Sparebank 1'!B137+'Storebrand Livsforsikring'!B137+'Telenor Forsikring'!B137+'Tryg Forsikring'!B137</f>
        <v>358485.45999999996</v>
      </c>
      <c r="C137" s="279">
        <f>'ACE European Group'!C137+'Danica Pensjonsforsikring'!C137+'DNB Livsforsikring'!C137+'Eika Forsikring AS'!C137+'Frende Livsforsikring'!C137+'Frende Skadeforsikring'!C137+'Gjensidige Forsikring'!C137+'Gjensidige Pensjon'!C137+'Handelsbanken Liv'!C137+'If Skadeforsikring NUF'!C137+KLP!C137+'KLP Bedriftspensjon AS'!C137+'KLP Skadeforsikring AS'!C137+'Landbruksforsikring AS'!C137+'NEMI Forsikring'!C137+'Nordea Liv '!C137+'Oslo Pensjonsforsikring'!C137+'Protector Forsikring'!C137+'SHB Liv'!C137+'Sparebank 1'!C137+'Storebrand Livsforsikring'!C137+'Telenor Forsikring'!C137+'Tryg Forsikring'!C137</f>
        <v>496739.50099999999</v>
      </c>
      <c r="D137" s="9">
        <f t="shared" si="49"/>
        <v>38.6</v>
      </c>
      <c r="E137" s="279">
        <f>'ACE European Group'!F137+'Danica Pensjonsforsikring'!F137+'DNB Livsforsikring'!F137+'Eika Forsikring AS'!F137+'Frende Livsforsikring'!F137+'Frende Skadeforsikring'!F137+'Gjensidige Forsikring'!F137+'Gjensidige Pensjon'!F137+'Handelsbanken Liv'!F137+'If Skadeforsikring NUF'!F137+KLP!F137+'KLP Bedriftspensjon AS'!F137+'KLP Skadeforsikring AS'!F137+'Landbruksforsikring AS'!F137+'NEMI Forsikring'!F137+'Nordea Liv '!F137+'Oslo Pensjonsforsikring'!F137+'Protector Forsikring'!F137+'SHB Liv'!F137+'Sparebank 1'!F137+'Storebrand Livsforsikring'!F137+'Telenor Forsikring'!F137+'Tryg Forsikring'!F137</f>
        <v>0</v>
      </c>
      <c r="F137" s="279">
        <f>'ACE European Group'!G137+'Danica Pensjonsforsikring'!G137+'DNB Livsforsikring'!G137+'Eika Forsikring AS'!G137+'Frende Livsforsikring'!G137+'Frende Skadeforsikring'!G137+'Gjensidige Forsikring'!G137+'Gjensidige Pensjon'!G137+'Handelsbanken Liv'!G137+'If Skadeforsikring NUF'!G137+KLP!G137+'KLP Bedriftspensjon AS'!G137+'KLP Skadeforsikring AS'!G137+'Landbruksforsikring AS'!G137+'NEMI Forsikring'!G137+'Nordea Liv '!G137+'Oslo Pensjonsforsikring'!G137+'Protector Forsikring'!G137+'SHB Liv'!G137+'Sparebank 1'!G137+'Storebrand Livsforsikring'!G137+'Telenor Forsikring'!G137+'Tryg Forsikring'!G137</f>
        <v>0</v>
      </c>
      <c r="G137" s="9"/>
      <c r="H137" s="279">
        <f t="shared" si="51"/>
        <v>358485.45999999996</v>
      </c>
      <c r="I137" s="279">
        <f t="shared" si="51"/>
        <v>496739.50099999999</v>
      </c>
      <c r="J137" s="9">
        <f t="shared" si="52"/>
        <v>38.6</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31:D131"/>
    <mergeCell ref="E131:G131"/>
    <mergeCell ref="H131:J131"/>
    <mergeCell ref="B130:D130"/>
    <mergeCell ref="E130:G130"/>
    <mergeCell ref="H130:J130"/>
    <mergeCell ref="B63:D63"/>
    <mergeCell ref="E63:G63"/>
    <mergeCell ref="H63:J63"/>
    <mergeCell ref="B19:D19"/>
    <mergeCell ref="E19:G19"/>
    <mergeCell ref="H19:J19"/>
    <mergeCell ref="B62:D62"/>
    <mergeCell ref="E62:G62"/>
    <mergeCell ref="H62:J62"/>
    <mergeCell ref="B42:D42"/>
    <mergeCell ref="E42:G42"/>
    <mergeCell ref="H42:J42"/>
    <mergeCell ref="B18:D18"/>
    <mergeCell ref="E18:G18"/>
    <mergeCell ref="H18:J18"/>
    <mergeCell ref="B2:D2"/>
    <mergeCell ref="E2:G2"/>
    <mergeCell ref="H2:J2"/>
    <mergeCell ref="B4:D4"/>
    <mergeCell ref="E4:G4"/>
    <mergeCell ref="H4:J4"/>
  </mergeCells>
  <conditionalFormatting sqref="H101:I106">
    <cfRule type="expression" dxfId="1608" priority="46">
      <formula>kvartal&lt;4</formula>
    </cfRule>
  </conditionalFormatting>
  <conditionalFormatting sqref="H69:I74">
    <cfRule type="expression" dxfId="1607" priority="54">
      <formula>kvartal&lt;4</formula>
    </cfRule>
  </conditionalFormatting>
  <conditionalFormatting sqref="H80:I85">
    <cfRule type="expression" dxfId="1606" priority="51">
      <formula>kvartal&lt;4</formula>
    </cfRule>
  </conditionalFormatting>
  <conditionalFormatting sqref="H90:I95">
    <cfRule type="expression" dxfId="1605" priority="47">
      <formula>kvartal&lt;4</formula>
    </cfRule>
  </conditionalFormatting>
  <conditionalFormatting sqref="H115:I115">
    <cfRule type="expression" dxfId="1604" priority="45">
      <formula>kvartal&lt;4</formula>
    </cfRule>
  </conditionalFormatting>
  <conditionalFormatting sqref="H123:I123">
    <cfRule type="expression" dxfId="1603" priority="44">
      <formula>kvartal&lt;4</formula>
    </cfRule>
  </conditionalFormatting>
  <conditionalFormatting sqref="A50:A52">
    <cfRule type="expression" dxfId="1602" priority="40">
      <formula>kvartal &lt; 4</formula>
    </cfRule>
  </conditionalFormatting>
  <conditionalFormatting sqref="A69:A74">
    <cfRule type="expression" dxfId="1601" priority="38">
      <formula>kvartal &lt; 4</formula>
    </cfRule>
  </conditionalFormatting>
  <conditionalFormatting sqref="A80:A85">
    <cfRule type="expression" dxfId="1600" priority="37">
      <formula>kvartal &lt; 4</formula>
    </cfRule>
  </conditionalFormatting>
  <conditionalFormatting sqref="A90:A95">
    <cfRule type="expression" dxfId="1599" priority="34">
      <formula>kvartal &lt; 4</formula>
    </cfRule>
  </conditionalFormatting>
  <conditionalFormatting sqref="A101:A106">
    <cfRule type="expression" dxfId="1598" priority="33">
      <formula>kvartal &lt; 4</formula>
    </cfRule>
  </conditionalFormatting>
  <conditionalFormatting sqref="A115">
    <cfRule type="expression" dxfId="1597" priority="32">
      <formula>kvartal &lt; 4</formula>
    </cfRule>
  </conditionalFormatting>
  <conditionalFormatting sqref="A123">
    <cfRule type="expression" dxfId="1596" priority="31">
      <formula>kvartal &lt; 4</formula>
    </cfRule>
  </conditionalFormatting>
  <conditionalFormatting sqref="B50:C52">
    <cfRule type="expression" dxfId="1595" priority="24">
      <formula>kvartal&lt;4</formula>
    </cfRule>
  </conditionalFormatting>
  <conditionalFormatting sqref="B69:C69">
    <cfRule type="expression" dxfId="1594" priority="22">
      <formula>kvartal&lt;4</formula>
    </cfRule>
  </conditionalFormatting>
  <conditionalFormatting sqref="B72:C72">
    <cfRule type="expression" dxfId="1593" priority="21">
      <formula>kvartal&lt;4</formula>
    </cfRule>
  </conditionalFormatting>
  <conditionalFormatting sqref="B80:C80">
    <cfRule type="expression" dxfId="1592" priority="20">
      <formula>kvartal&lt;4</formula>
    </cfRule>
  </conditionalFormatting>
  <conditionalFormatting sqref="B83:C83">
    <cfRule type="expression" dxfId="1591" priority="19">
      <formula>kvartal&lt;4</formula>
    </cfRule>
  </conditionalFormatting>
  <conditionalFormatting sqref="B90:C90">
    <cfRule type="expression" dxfId="1590" priority="14">
      <formula>kvartal&lt;4</formula>
    </cfRule>
  </conditionalFormatting>
  <conditionalFormatting sqref="B93:C93">
    <cfRule type="expression" dxfId="1589" priority="13">
      <formula>kvartal&lt;4</formula>
    </cfRule>
  </conditionalFormatting>
  <conditionalFormatting sqref="B101:C101">
    <cfRule type="expression" dxfId="1588" priority="12">
      <formula>kvartal&lt;4</formula>
    </cfRule>
  </conditionalFormatting>
  <conditionalFormatting sqref="B104:C104">
    <cfRule type="expression" dxfId="1587" priority="11">
      <formula>kvartal&lt;4</formula>
    </cfRule>
  </conditionalFormatting>
  <conditionalFormatting sqref="B115:C115">
    <cfRule type="expression" dxfId="1586" priority="10">
      <formula>kvartal&lt;4</formula>
    </cfRule>
  </conditionalFormatting>
  <conditionalFormatting sqref="B123:C123">
    <cfRule type="expression" dxfId="1585" priority="9">
      <formula>kvartal&lt;4</formula>
    </cfRule>
  </conditionalFormatting>
  <conditionalFormatting sqref="E69:F74">
    <cfRule type="expression" dxfId="1584" priority="8">
      <formula>kvartal&lt;4</formula>
    </cfRule>
  </conditionalFormatting>
  <conditionalFormatting sqref="E80:F85">
    <cfRule type="expression" dxfId="1583" priority="7">
      <formula>kvartal&lt;4</formula>
    </cfRule>
  </conditionalFormatting>
  <conditionalFormatting sqref="E90:F95">
    <cfRule type="expression" dxfId="1582" priority="4">
      <formula>kvartal&lt;4</formula>
    </cfRule>
  </conditionalFormatting>
  <conditionalFormatting sqref="E101:F106">
    <cfRule type="expression" dxfId="1581" priority="3">
      <formula>kvartal&lt;4</formula>
    </cfRule>
  </conditionalFormatting>
  <conditionalFormatting sqref="E115:F115">
    <cfRule type="expression" dxfId="1580" priority="2">
      <formula>kvartal&lt;4</formula>
    </cfRule>
  </conditionalFormatting>
  <conditionalFormatting sqref="E123:F123">
    <cfRule type="expression" dxfId="1579" priority="1">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O144"/>
  <sheetViews>
    <sheetView showGridLines="0" zoomScale="90" zoomScaleNormal="90" workbookViewId="0">
      <pane xSplit="1" topLeftCell="B1" activePane="topRight" state="frozen"/>
      <selection activeCell="J132" sqref="J132:K132"/>
      <selection pane="topRight"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131</v>
      </c>
      <c r="D1" s="26"/>
      <c r="E1" s="26"/>
      <c r="F1" s="26"/>
      <c r="G1" s="26"/>
      <c r="H1" s="26"/>
      <c r="I1" s="26"/>
      <c r="J1" s="26"/>
      <c r="K1" s="26"/>
      <c r="L1" s="26"/>
      <c r="M1" s="26"/>
      <c r="O1" s="430"/>
    </row>
    <row r="2" spans="1:15" ht="15.75" x14ac:dyDescent="0.25">
      <c r="A2" s="165" t="s">
        <v>28</v>
      </c>
      <c r="B2" s="363"/>
      <c r="C2" s="363"/>
      <c r="D2" s="363"/>
      <c r="E2" s="363"/>
      <c r="F2" s="363"/>
      <c r="G2" s="363"/>
      <c r="H2" s="363"/>
      <c r="I2" s="363"/>
      <c r="J2" s="363"/>
      <c r="K2" s="363"/>
      <c r="L2" s="363"/>
      <c r="M2" s="363"/>
      <c r="O2" s="148"/>
    </row>
    <row r="3" spans="1:15" ht="15.75" x14ac:dyDescent="0.25">
      <c r="A3" s="163"/>
      <c r="B3" s="363"/>
      <c r="C3" s="363"/>
      <c r="D3" s="363"/>
      <c r="E3" s="363"/>
      <c r="F3" s="363"/>
      <c r="G3" s="363"/>
      <c r="H3" s="363"/>
      <c r="I3" s="363"/>
      <c r="J3" s="363"/>
      <c r="K3" s="363"/>
      <c r="L3" s="363"/>
      <c r="M3" s="363"/>
      <c r="O3" s="148"/>
    </row>
    <row r="4" spans="1:15" x14ac:dyDescent="0.2">
      <c r="A4" s="144"/>
      <c r="B4" s="726" t="s">
        <v>0</v>
      </c>
      <c r="C4" s="727"/>
      <c r="D4" s="727"/>
      <c r="E4" s="360"/>
      <c r="F4" s="726" t="s">
        <v>1</v>
      </c>
      <c r="G4" s="727"/>
      <c r="H4" s="727"/>
      <c r="I4" s="361"/>
      <c r="J4" s="726" t="s">
        <v>2</v>
      </c>
      <c r="K4" s="727"/>
      <c r="L4" s="727"/>
      <c r="M4" s="361"/>
      <c r="O4" s="148"/>
    </row>
    <row r="5" spans="1:15" x14ac:dyDescent="0.2">
      <c r="A5" s="158"/>
      <c r="B5" s="152" t="s">
        <v>413</v>
      </c>
      <c r="C5" s="152" t="s">
        <v>414</v>
      </c>
      <c r="D5" s="247" t="s">
        <v>3</v>
      </c>
      <c r="E5" s="308" t="s">
        <v>29</v>
      </c>
      <c r="F5" s="152" t="s">
        <v>413</v>
      </c>
      <c r="G5" s="152" t="s">
        <v>414</v>
      </c>
      <c r="H5" s="247" t="s">
        <v>3</v>
      </c>
      <c r="I5" s="308"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66"/>
      <c r="C7" s="367"/>
      <c r="D7" s="375"/>
      <c r="E7" s="376"/>
      <c r="F7" s="366"/>
      <c r="G7" s="367"/>
      <c r="H7" s="375"/>
      <c r="I7" s="376"/>
      <c r="J7" s="377"/>
      <c r="K7" s="372"/>
      <c r="L7" s="375"/>
      <c r="M7" s="376"/>
      <c r="O7" s="148"/>
    </row>
    <row r="8" spans="1:15" ht="15.75" x14ac:dyDescent="0.2">
      <c r="A8" s="21" t="s">
        <v>25</v>
      </c>
      <c r="B8" s="369"/>
      <c r="C8" s="370"/>
      <c r="D8" s="378"/>
      <c r="E8" s="376"/>
      <c r="F8" s="379"/>
      <c r="G8" s="380"/>
      <c r="H8" s="378"/>
      <c r="I8" s="376"/>
      <c r="J8" s="381"/>
      <c r="K8" s="370"/>
      <c r="L8" s="378"/>
      <c r="M8" s="376"/>
      <c r="O8" s="148"/>
    </row>
    <row r="9" spans="1:15" ht="15.75" x14ac:dyDescent="0.2">
      <c r="A9" s="21" t="s">
        <v>24</v>
      </c>
      <c r="B9" s="369"/>
      <c r="C9" s="370"/>
      <c r="D9" s="378"/>
      <c r="E9" s="376"/>
      <c r="F9" s="379"/>
      <c r="G9" s="380"/>
      <c r="H9" s="378"/>
      <c r="I9" s="376"/>
      <c r="J9" s="381"/>
      <c r="K9" s="370"/>
      <c r="L9" s="378"/>
      <c r="M9" s="376"/>
      <c r="O9" s="148"/>
    </row>
    <row r="10" spans="1:15" ht="15.75" x14ac:dyDescent="0.2">
      <c r="A10" s="13" t="s">
        <v>376</v>
      </c>
      <c r="B10" s="371"/>
      <c r="C10" s="372"/>
      <c r="D10" s="378"/>
      <c r="E10" s="376"/>
      <c r="F10" s="371"/>
      <c r="G10" s="372"/>
      <c r="H10" s="378"/>
      <c r="I10" s="376"/>
      <c r="J10" s="377"/>
      <c r="K10" s="372"/>
      <c r="L10" s="378"/>
      <c r="M10" s="376"/>
      <c r="O10" s="148"/>
    </row>
    <row r="11" spans="1:15" s="43" customFormat="1" ht="15.75" x14ac:dyDescent="0.2">
      <c r="A11" s="13" t="s">
        <v>377</v>
      </c>
      <c r="B11" s="371"/>
      <c r="C11" s="372"/>
      <c r="D11" s="378"/>
      <c r="E11" s="376"/>
      <c r="F11" s="371"/>
      <c r="G11" s="372"/>
      <c r="H11" s="378"/>
      <c r="I11" s="376"/>
      <c r="J11" s="377"/>
      <c r="K11" s="372"/>
      <c r="L11" s="378"/>
      <c r="M11" s="376"/>
      <c r="N11" s="143"/>
      <c r="O11" s="148"/>
    </row>
    <row r="12" spans="1:15" s="43" customFormat="1" ht="15.75" x14ac:dyDescent="0.2">
      <c r="A12" s="41" t="s">
        <v>378</v>
      </c>
      <c r="B12" s="373"/>
      <c r="C12" s="374"/>
      <c r="D12" s="382"/>
      <c r="E12" s="382"/>
      <c r="F12" s="373"/>
      <c r="G12" s="374"/>
      <c r="H12" s="382"/>
      <c r="I12" s="382"/>
      <c r="J12" s="383"/>
      <c r="K12" s="374"/>
      <c r="L12" s="382"/>
      <c r="M12" s="382"/>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362"/>
      <c r="C18" s="362"/>
      <c r="D18" s="362"/>
      <c r="E18" s="363"/>
      <c r="F18" s="362"/>
      <c r="G18" s="362"/>
      <c r="H18" s="362"/>
      <c r="I18" s="363"/>
      <c r="J18" s="362"/>
      <c r="K18" s="362"/>
      <c r="L18" s="362"/>
      <c r="M18" s="363"/>
      <c r="O18" s="148"/>
    </row>
    <row r="19" spans="1:15" x14ac:dyDescent="0.2">
      <c r="A19" s="144"/>
      <c r="B19" s="726" t="s">
        <v>0</v>
      </c>
      <c r="C19" s="727"/>
      <c r="D19" s="727"/>
      <c r="E19" s="360"/>
      <c r="F19" s="726" t="s">
        <v>1</v>
      </c>
      <c r="G19" s="727"/>
      <c r="H19" s="727"/>
      <c r="I19" s="361"/>
      <c r="J19" s="726" t="s">
        <v>2</v>
      </c>
      <c r="K19" s="727"/>
      <c r="L19" s="727"/>
      <c r="M19" s="361"/>
      <c r="O19" s="148"/>
    </row>
    <row r="20" spans="1:15" x14ac:dyDescent="0.2">
      <c r="A20" s="140" t="s">
        <v>5</v>
      </c>
      <c r="B20" s="244" t="s">
        <v>413</v>
      </c>
      <c r="C20" s="244" t="s">
        <v>414</v>
      </c>
      <c r="D20" s="162" t="s">
        <v>3</v>
      </c>
      <c r="E20" s="308" t="s">
        <v>29</v>
      </c>
      <c r="F20" s="244" t="s">
        <v>413</v>
      </c>
      <c r="G20" s="244" t="s">
        <v>414</v>
      </c>
      <c r="H20" s="162" t="s">
        <v>3</v>
      </c>
      <c r="I20" s="308" t="s">
        <v>29</v>
      </c>
      <c r="J20" s="244" t="s">
        <v>413</v>
      </c>
      <c r="K20" s="244" t="s">
        <v>414</v>
      </c>
      <c r="L20" s="162" t="s">
        <v>3</v>
      </c>
      <c r="M20" s="162" t="s">
        <v>29</v>
      </c>
      <c r="O20" s="148"/>
    </row>
    <row r="21" spans="1:15" x14ac:dyDescent="0.2">
      <c r="A21" s="643"/>
      <c r="B21" s="156"/>
      <c r="C21" s="156"/>
      <c r="D21" s="249" t="s">
        <v>4</v>
      </c>
      <c r="E21" s="156" t="s">
        <v>30</v>
      </c>
      <c r="F21" s="161"/>
      <c r="G21" s="161"/>
      <c r="H21" s="247" t="s">
        <v>4</v>
      </c>
      <c r="I21" s="156" t="s">
        <v>30</v>
      </c>
      <c r="J21" s="161"/>
      <c r="K21" s="161"/>
      <c r="L21" s="156" t="s">
        <v>4</v>
      </c>
      <c r="M21" s="156" t="s">
        <v>30</v>
      </c>
      <c r="O21" s="148"/>
    </row>
    <row r="22" spans="1:15" ht="15.75" x14ac:dyDescent="0.2">
      <c r="A22" s="14" t="s">
        <v>23</v>
      </c>
      <c r="B22" s="366"/>
      <c r="C22" s="366"/>
      <c r="D22" s="375"/>
      <c r="E22" s="376"/>
      <c r="F22" s="384"/>
      <c r="G22" s="384"/>
      <c r="H22" s="375"/>
      <c r="I22" s="376"/>
      <c r="J22" s="366"/>
      <c r="K22" s="366"/>
      <c r="L22" s="375"/>
      <c r="M22" s="376"/>
      <c r="O22" s="148"/>
    </row>
    <row r="23" spans="1:15" ht="15.75" x14ac:dyDescent="0.2">
      <c r="A23" s="619" t="s">
        <v>379</v>
      </c>
      <c r="B23" s="368"/>
      <c r="C23" s="368"/>
      <c r="D23" s="378"/>
      <c r="E23" s="376"/>
      <c r="F23" s="368"/>
      <c r="G23" s="368"/>
      <c r="H23" s="378"/>
      <c r="I23" s="376"/>
      <c r="J23" s="368"/>
      <c r="K23" s="368"/>
      <c r="L23" s="378"/>
      <c r="M23" s="376"/>
      <c r="O23" s="148"/>
    </row>
    <row r="24" spans="1:15" ht="15.75" x14ac:dyDescent="0.2">
      <c r="A24" s="619" t="s">
        <v>380</v>
      </c>
      <c r="B24" s="368"/>
      <c r="C24" s="368"/>
      <c r="D24" s="378"/>
      <c r="E24" s="376"/>
      <c r="F24" s="368"/>
      <c r="G24" s="368"/>
      <c r="H24" s="378"/>
      <c r="I24" s="376"/>
      <c r="J24" s="368"/>
      <c r="K24" s="368"/>
      <c r="L24" s="378"/>
      <c r="M24" s="376"/>
      <c r="O24" s="148"/>
    </row>
    <row r="25" spans="1:15" ht="15.75" x14ac:dyDescent="0.2">
      <c r="A25" s="619" t="s">
        <v>381</v>
      </c>
      <c r="B25" s="368"/>
      <c r="C25" s="368"/>
      <c r="D25" s="378"/>
      <c r="E25" s="376"/>
      <c r="F25" s="368"/>
      <c r="G25" s="368"/>
      <c r="H25" s="378"/>
      <c r="I25" s="376"/>
      <c r="J25" s="368"/>
      <c r="K25" s="368"/>
      <c r="L25" s="378"/>
      <c r="M25" s="376"/>
      <c r="O25" s="148"/>
    </row>
    <row r="26" spans="1:15" ht="15.75" x14ac:dyDescent="0.2">
      <c r="A26" s="619" t="s">
        <v>382</v>
      </c>
      <c r="B26" s="368"/>
      <c r="C26" s="368"/>
      <c r="D26" s="378"/>
      <c r="E26" s="376"/>
      <c r="F26" s="368"/>
      <c r="G26" s="368"/>
      <c r="H26" s="378"/>
      <c r="I26" s="376"/>
      <c r="J26" s="368"/>
      <c r="K26" s="368"/>
      <c r="L26" s="378"/>
      <c r="M26" s="376"/>
      <c r="O26" s="148"/>
    </row>
    <row r="27" spans="1:15" x14ac:dyDescent="0.2">
      <c r="A27" s="619" t="s">
        <v>11</v>
      </c>
      <c r="B27" s="368"/>
      <c r="C27" s="368"/>
      <c r="D27" s="378"/>
      <c r="E27" s="376"/>
      <c r="F27" s="368"/>
      <c r="G27" s="368"/>
      <c r="H27" s="378"/>
      <c r="I27" s="376"/>
      <c r="J27" s="368"/>
      <c r="K27" s="368"/>
      <c r="L27" s="378"/>
      <c r="M27" s="376"/>
      <c r="O27" s="148"/>
    </row>
    <row r="28" spans="1:15" ht="15.75" x14ac:dyDescent="0.2">
      <c r="A28" s="49" t="s">
        <v>287</v>
      </c>
      <c r="B28" s="368"/>
      <c r="C28" s="368"/>
      <c r="D28" s="378"/>
      <c r="E28" s="376"/>
      <c r="F28" s="381"/>
      <c r="G28" s="370"/>
      <c r="H28" s="378"/>
      <c r="I28" s="376"/>
      <c r="J28" s="369"/>
      <c r="K28" s="369"/>
      <c r="L28" s="378"/>
      <c r="M28" s="376"/>
      <c r="O28" s="148"/>
    </row>
    <row r="29" spans="1:15" s="3" customFormat="1" ht="15.75" x14ac:dyDescent="0.2">
      <c r="A29" s="13" t="s">
        <v>376</v>
      </c>
      <c r="B29" s="371"/>
      <c r="C29" s="371"/>
      <c r="D29" s="378"/>
      <c r="E29" s="376"/>
      <c r="F29" s="377"/>
      <c r="G29" s="377"/>
      <c r="H29" s="378"/>
      <c r="I29" s="376"/>
      <c r="J29" s="371"/>
      <c r="K29" s="371"/>
      <c r="L29" s="378"/>
      <c r="M29" s="376"/>
      <c r="N29" s="148"/>
      <c r="O29" s="148"/>
    </row>
    <row r="30" spans="1:15" s="3" customFormat="1" ht="15.75" x14ac:dyDescent="0.2">
      <c r="A30" s="619" t="s">
        <v>379</v>
      </c>
      <c r="B30" s="368"/>
      <c r="C30" s="368"/>
      <c r="D30" s="378"/>
      <c r="E30" s="376"/>
      <c r="F30" s="368"/>
      <c r="G30" s="368"/>
      <c r="H30" s="378"/>
      <c r="I30" s="376"/>
      <c r="J30" s="368"/>
      <c r="K30" s="368"/>
      <c r="L30" s="378"/>
      <c r="M30" s="376"/>
      <c r="N30" s="148"/>
      <c r="O30" s="148"/>
    </row>
    <row r="31" spans="1:15" s="3" customFormat="1" ht="15.75" x14ac:dyDescent="0.2">
      <c r="A31" s="619" t="s">
        <v>380</v>
      </c>
      <c r="B31" s="368"/>
      <c r="C31" s="368"/>
      <c r="D31" s="378"/>
      <c r="E31" s="376"/>
      <c r="F31" s="368"/>
      <c r="G31" s="368"/>
      <c r="H31" s="378"/>
      <c r="I31" s="376"/>
      <c r="J31" s="368"/>
      <c r="K31" s="368"/>
      <c r="L31" s="378"/>
      <c r="M31" s="376"/>
      <c r="N31" s="148"/>
      <c r="O31" s="148"/>
    </row>
    <row r="32" spans="1:15" ht="15.75" x14ac:dyDescent="0.2">
      <c r="A32" s="619" t="s">
        <v>381</v>
      </c>
      <c r="B32" s="368"/>
      <c r="C32" s="368"/>
      <c r="D32" s="378"/>
      <c r="E32" s="376"/>
      <c r="F32" s="368"/>
      <c r="G32" s="368"/>
      <c r="H32" s="378"/>
      <c r="I32" s="376"/>
      <c r="J32" s="368"/>
      <c r="K32" s="368"/>
      <c r="L32" s="378"/>
      <c r="M32" s="376"/>
      <c r="O32" s="148"/>
    </row>
    <row r="33" spans="1:15" ht="15.75" x14ac:dyDescent="0.2">
      <c r="A33" s="619" t="s">
        <v>382</v>
      </c>
      <c r="B33" s="368"/>
      <c r="C33" s="368"/>
      <c r="D33" s="378"/>
      <c r="E33" s="376"/>
      <c r="F33" s="368"/>
      <c r="G33" s="368"/>
      <c r="H33" s="378"/>
      <c r="I33" s="376"/>
      <c r="J33" s="368"/>
      <c r="K33" s="368"/>
      <c r="L33" s="378"/>
      <c r="M33" s="376"/>
      <c r="O33" s="148"/>
    </row>
    <row r="34" spans="1:15" ht="15.75" x14ac:dyDescent="0.2">
      <c r="A34" s="13" t="s">
        <v>377</v>
      </c>
      <c r="B34" s="371"/>
      <c r="C34" s="372"/>
      <c r="D34" s="378"/>
      <c r="E34" s="376"/>
      <c r="F34" s="377"/>
      <c r="G34" s="372"/>
      <c r="H34" s="378"/>
      <c r="I34" s="376"/>
      <c r="J34" s="371"/>
      <c r="K34" s="371"/>
      <c r="L34" s="378"/>
      <c r="M34" s="376"/>
      <c r="O34" s="148"/>
    </row>
    <row r="35" spans="1:15" ht="15.75" x14ac:dyDescent="0.2">
      <c r="A35" s="13" t="s">
        <v>378</v>
      </c>
      <c r="B35" s="371"/>
      <c r="C35" s="372"/>
      <c r="D35" s="378"/>
      <c r="E35" s="376"/>
      <c r="F35" s="377"/>
      <c r="G35" s="372"/>
      <c r="H35" s="378"/>
      <c r="I35" s="376"/>
      <c r="J35" s="371"/>
      <c r="K35" s="371"/>
      <c r="L35" s="378"/>
      <c r="M35" s="376"/>
      <c r="O35" s="148"/>
    </row>
    <row r="36" spans="1:15" ht="15.75" x14ac:dyDescent="0.2">
      <c r="A36" s="12" t="s">
        <v>295</v>
      </c>
      <c r="B36" s="371"/>
      <c r="C36" s="372"/>
      <c r="D36" s="378"/>
      <c r="E36" s="376"/>
      <c r="F36" s="385"/>
      <c r="G36" s="386"/>
      <c r="H36" s="378"/>
      <c r="I36" s="376"/>
      <c r="J36" s="371"/>
      <c r="K36" s="371"/>
      <c r="L36" s="378"/>
      <c r="M36" s="376"/>
      <c r="O36" s="148"/>
    </row>
    <row r="37" spans="1:15" ht="15.75" x14ac:dyDescent="0.2">
      <c r="A37" s="12" t="s">
        <v>384</v>
      </c>
      <c r="B37" s="371"/>
      <c r="C37" s="372"/>
      <c r="D37" s="378"/>
      <c r="E37" s="376"/>
      <c r="F37" s="385"/>
      <c r="G37" s="387"/>
      <c r="H37" s="378"/>
      <c r="I37" s="376"/>
      <c r="J37" s="371"/>
      <c r="K37" s="371"/>
      <c r="L37" s="378"/>
      <c r="M37" s="376"/>
      <c r="O37" s="148"/>
    </row>
    <row r="38" spans="1:15" ht="15.75" x14ac:dyDescent="0.2">
      <c r="A38" s="12" t="s">
        <v>385</v>
      </c>
      <c r="B38" s="371"/>
      <c r="C38" s="372"/>
      <c r="D38" s="378"/>
      <c r="E38" s="166"/>
      <c r="F38" s="385"/>
      <c r="G38" s="386"/>
      <c r="H38" s="378"/>
      <c r="I38" s="376"/>
      <c r="J38" s="371"/>
      <c r="K38" s="371"/>
      <c r="L38" s="378"/>
      <c r="M38" s="376"/>
      <c r="O38" s="148"/>
    </row>
    <row r="39" spans="1:15" ht="15.75" x14ac:dyDescent="0.2">
      <c r="A39" s="18" t="s">
        <v>386</v>
      </c>
      <c r="B39" s="373"/>
      <c r="C39" s="374"/>
      <c r="D39" s="382"/>
      <c r="E39" s="167"/>
      <c r="F39" s="388"/>
      <c r="G39" s="389"/>
      <c r="H39" s="382"/>
      <c r="I39" s="376"/>
      <c r="J39" s="371"/>
      <c r="K39" s="371"/>
      <c r="L39" s="382"/>
      <c r="M39" s="382"/>
      <c r="O39" s="148"/>
    </row>
    <row r="40" spans="1:15" ht="15.75" x14ac:dyDescent="0.25">
      <c r="A40" s="47"/>
      <c r="B40" s="256"/>
      <c r="C40" s="256"/>
      <c r="D40" s="365"/>
      <c r="E40" s="365"/>
      <c r="F40" s="365"/>
      <c r="G40" s="365"/>
      <c r="H40" s="365"/>
      <c r="I40" s="365"/>
      <c r="J40" s="365"/>
      <c r="K40" s="365"/>
      <c r="L40" s="365"/>
      <c r="M40" s="364"/>
      <c r="O40" s="148"/>
    </row>
    <row r="41" spans="1:15" x14ac:dyDescent="0.2">
      <c r="A41" s="155"/>
      <c r="O41" s="148"/>
    </row>
    <row r="42" spans="1:15" ht="15.75" x14ac:dyDescent="0.25">
      <c r="A42" s="147" t="s">
        <v>284</v>
      </c>
      <c r="B42" s="363"/>
      <c r="C42" s="363"/>
      <c r="D42" s="363"/>
      <c r="E42" s="363"/>
      <c r="F42" s="364"/>
      <c r="G42" s="364"/>
      <c r="H42" s="364"/>
      <c r="I42" s="364"/>
      <c r="J42" s="364"/>
      <c r="K42" s="364"/>
      <c r="L42" s="364"/>
      <c r="M42" s="364"/>
      <c r="O42" s="148"/>
    </row>
    <row r="43" spans="1:15" ht="15.75" x14ac:dyDescent="0.25">
      <c r="A43" s="163"/>
      <c r="B43" s="362"/>
      <c r="C43" s="362"/>
      <c r="D43" s="362"/>
      <c r="E43" s="362"/>
      <c r="F43" s="364"/>
      <c r="G43" s="364"/>
      <c r="H43" s="364"/>
      <c r="I43" s="364"/>
      <c r="J43" s="364"/>
      <c r="K43" s="364"/>
      <c r="L43" s="364"/>
      <c r="M43" s="364"/>
      <c r="O43" s="148"/>
    </row>
    <row r="44" spans="1:15" ht="15.75" x14ac:dyDescent="0.25">
      <c r="A44" s="250"/>
      <c r="B44" s="726" t="s">
        <v>0</v>
      </c>
      <c r="C44" s="727"/>
      <c r="D44" s="727"/>
      <c r="E44" s="245"/>
      <c r="F44" s="364"/>
      <c r="G44" s="364"/>
      <c r="H44" s="364"/>
      <c r="I44" s="364"/>
      <c r="J44" s="364"/>
      <c r="K44" s="364"/>
      <c r="L44" s="364"/>
      <c r="M44" s="364"/>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424" customFormat="1" ht="15.75" x14ac:dyDescent="0.2">
      <c r="A47" s="14" t="s">
        <v>23</v>
      </c>
      <c r="B47" s="371"/>
      <c r="C47" s="372"/>
      <c r="D47" s="428"/>
      <c r="E47" s="429"/>
      <c r="F47" s="159"/>
      <c r="G47" s="174"/>
      <c r="H47" s="159"/>
      <c r="I47" s="159"/>
      <c r="J47" s="427"/>
      <c r="K47" s="427"/>
      <c r="L47" s="159"/>
      <c r="M47" s="159"/>
      <c r="N47" s="430"/>
      <c r="O47" s="430"/>
    </row>
    <row r="48" spans="1:15" s="3" customFormat="1" ht="15.75" x14ac:dyDescent="0.2">
      <c r="A48" s="38" t="s">
        <v>387</v>
      </c>
      <c r="B48" s="369"/>
      <c r="C48" s="370"/>
      <c r="D48" s="378"/>
      <c r="E48" s="417"/>
      <c r="F48" s="145"/>
      <c r="G48" s="33"/>
      <c r="H48" s="145"/>
      <c r="I48" s="145"/>
      <c r="J48" s="33"/>
      <c r="K48" s="33"/>
      <c r="L48" s="159"/>
      <c r="M48" s="159"/>
      <c r="N48" s="148"/>
      <c r="O48" s="148"/>
    </row>
    <row r="49" spans="1:15" s="3" customFormat="1" ht="15.75" x14ac:dyDescent="0.2">
      <c r="A49" s="38" t="s">
        <v>388</v>
      </c>
      <c r="B49" s="369"/>
      <c r="C49" s="370"/>
      <c r="D49" s="378"/>
      <c r="E49" s="417"/>
      <c r="F49" s="145"/>
      <c r="G49" s="33"/>
      <c r="H49" s="145"/>
      <c r="I49" s="145"/>
      <c r="J49" s="37"/>
      <c r="K49" s="37"/>
      <c r="L49" s="159"/>
      <c r="M49" s="159"/>
      <c r="N49" s="148"/>
      <c r="O49" s="148"/>
    </row>
    <row r="50" spans="1:15" s="3" customFormat="1" x14ac:dyDescent="0.2">
      <c r="A50" s="299" t="s">
        <v>6</v>
      </c>
      <c r="B50" s="368"/>
      <c r="C50" s="390"/>
      <c r="D50" s="378"/>
      <c r="E50" s="418"/>
      <c r="F50" s="145"/>
      <c r="G50" s="33"/>
      <c r="H50" s="145"/>
      <c r="I50" s="145"/>
      <c r="J50" s="33"/>
      <c r="K50" s="33"/>
      <c r="L50" s="159"/>
      <c r="M50" s="159"/>
      <c r="N50" s="148"/>
      <c r="O50" s="148"/>
    </row>
    <row r="51" spans="1:15" s="3" customFormat="1" x14ac:dyDescent="0.2">
      <c r="A51" s="299" t="s">
        <v>7</v>
      </c>
      <c r="B51" s="368"/>
      <c r="C51" s="390"/>
      <c r="D51" s="378"/>
      <c r="E51" s="418"/>
      <c r="F51" s="145"/>
      <c r="G51" s="33"/>
      <c r="H51" s="145"/>
      <c r="I51" s="145"/>
      <c r="J51" s="33"/>
      <c r="K51" s="33"/>
      <c r="L51" s="159"/>
      <c r="M51" s="159"/>
      <c r="N51" s="148"/>
      <c r="O51" s="148"/>
    </row>
    <row r="52" spans="1:15" s="3" customFormat="1" x14ac:dyDescent="0.2">
      <c r="A52" s="299" t="s">
        <v>8</v>
      </c>
      <c r="B52" s="368"/>
      <c r="C52" s="390"/>
      <c r="D52" s="378"/>
      <c r="E52" s="418"/>
      <c r="F52" s="145"/>
      <c r="G52" s="33"/>
      <c r="H52" s="145"/>
      <c r="I52" s="145"/>
      <c r="J52" s="33"/>
      <c r="K52" s="33"/>
      <c r="L52" s="159"/>
      <c r="M52" s="159"/>
      <c r="N52" s="148"/>
      <c r="O52" s="148"/>
    </row>
    <row r="53" spans="1:15" s="3" customFormat="1" ht="15.75" x14ac:dyDescent="0.2">
      <c r="A53" s="39" t="s">
        <v>389</v>
      </c>
      <c r="B53" s="371"/>
      <c r="C53" s="372"/>
      <c r="D53" s="378"/>
      <c r="E53" s="417"/>
      <c r="F53" s="145"/>
      <c r="G53" s="33"/>
      <c r="H53" s="145"/>
      <c r="I53" s="145"/>
      <c r="J53" s="33"/>
      <c r="K53" s="33"/>
      <c r="L53" s="159"/>
      <c r="M53" s="159"/>
      <c r="N53" s="148"/>
      <c r="O53" s="148"/>
    </row>
    <row r="54" spans="1:15" s="3" customFormat="1" ht="15.75" x14ac:dyDescent="0.2">
      <c r="A54" s="38" t="s">
        <v>387</v>
      </c>
      <c r="B54" s="369"/>
      <c r="C54" s="370"/>
      <c r="D54" s="378"/>
      <c r="E54" s="417"/>
      <c r="F54" s="145"/>
      <c r="G54" s="33"/>
      <c r="H54" s="145"/>
      <c r="I54" s="145"/>
      <c r="J54" s="33"/>
      <c r="K54" s="33"/>
      <c r="L54" s="159"/>
      <c r="M54" s="159"/>
      <c r="N54" s="148"/>
      <c r="O54" s="148"/>
    </row>
    <row r="55" spans="1:15" s="3" customFormat="1" ht="15.75" x14ac:dyDescent="0.2">
      <c r="A55" s="38" t="s">
        <v>388</v>
      </c>
      <c r="B55" s="369"/>
      <c r="C55" s="370"/>
      <c r="D55" s="378"/>
      <c r="E55" s="417"/>
      <c r="F55" s="145"/>
      <c r="G55" s="33"/>
      <c r="H55" s="145"/>
      <c r="I55" s="145"/>
      <c r="J55" s="33"/>
      <c r="K55" s="33"/>
      <c r="L55" s="159"/>
      <c r="M55" s="159"/>
      <c r="N55" s="148"/>
      <c r="O55" s="148"/>
    </row>
    <row r="56" spans="1:15" s="3" customFormat="1" ht="15.75" x14ac:dyDescent="0.2">
      <c r="A56" s="39" t="s">
        <v>390</v>
      </c>
      <c r="B56" s="371"/>
      <c r="C56" s="372"/>
      <c r="D56" s="378"/>
      <c r="E56" s="417"/>
      <c r="F56" s="145"/>
      <c r="G56" s="33"/>
      <c r="H56" s="145"/>
      <c r="I56" s="145"/>
      <c r="J56" s="33"/>
      <c r="K56" s="33"/>
      <c r="L56" s="159"/>
      <c r="M56" s="159"/>
      <c r="N56" s="148"/>
      <c r="O56" s="148"/>
    </row>
    <row r="57" spans="1:15" s="3" customFormat="1" ht="15.75" x14ac:dyDescent="0.2">
      <c r="A57" s="38" t="s">
        <v>387</v>
      </c>
      <c r="B57" s="369"/>
      <c r="C57" s="370"/>
      <c r="D57" s="378"/>
      <c r="E57" s="417"/>
      <c r="F57" s="145"/>
      <c r="G57" s="33"/>
      <c r="H57" s="145"/>
      <c r="I57" s="145"/>
      <c r="J57" s="33"/>
      <c r="K57" s="33"/>
      <c r="L57" s="159"/>
      <c r="M57" s="159"/>
      <c r="N57" s="148"/>
      <c r="O57" s="148"/>
    </row>
    <row r="58" spans="1:15" s="3" customFormat="1" ht="15.75" x14ac:dyDescent="0.2">
      <c r="A58" s="46" t="s">
        <v>388</v>
      </c>
      <c r="B58" s="391"/>
      <c r="C58" s="392"/>
      <c r="D58" s="382"/>
      <c r="E58" s="419"/>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362"/>
      <c r="C62" s="362"/>
      <c r="D62" s="362"/>
      <c r="E62" s="363"/>
      <c r="F62" s="362"/>
      <c r="G62" s="362"/>
      <c r="H62" s="362"/>
      <c r="I62" s="363"/>
      <c r="J62" s="362"/>
      <c r="K62" s="362"/>
      <c r="L62" s="362"/>
      <c r="M62" s="363"/>
      <c r="O62" s="148"/>
    </row>
    <row r="63" spans="1:15" x14ac:dyDescent="0.2">
      <c r="A63" s="144"/>
      <c r="B63" s="726" t="s">
        <v>0</v>
      </c>
      <c r="C63" s="727"/>
      <c r="D63" s="728"/>
      <c r="E63" s="359"/>
      <c r="F63" s="727" t="s">
        <v>1</v>
      </c>
      <c r="G63" s="727"/>
      <c r="H63" s="727"/>
      <c r="I63" s="361"/>
      <c r="J63" s="726" t="s">
        <v>2</v>
      </c>
      <c r="K63" s="727"/>
      <c r="L63" s="727"/>
      <c r="M63" s="361"/>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93"/>
      <c r="C66" s="393"/>
      <c r="D66" s="375"/>
      <c r="E66" s="376"/>
      <c r="F66" s="393"/>
      <c r="G66" s="393"/>
      <c r="H66" s="375"/>
      <c r="I66" s="376"/>
      <c r="J66" s="372"/>
      <c r="K66" s="366"/>
      <c r="L66" s="378"/>
      <c r="M66" s="376"/>
      <c r="O66" s="148"/>
    </row>
    <row r="67" spans="1:15" x14ac:dyDescent="0.2">
      <c r="A67" s="21" t="s">
        <v>9</v>
      </c>
      <c r="B67" s="369"/>
      <c r="C67" s="394"/>
      <c r="D67" s="378"/>
      <c r="E67" s="376"/>
      <c r="F67" s="381"/>
      <c r="G67" s="394"/>
      <c r="H67" s="378"/>
      <c r="I67" s="376"/>
      <c r="J67" s="370"/>
      <c r="K67" s="369"/>
      <c r="L67" s="378"/>
      <c r="M67" s="376"/>
      <c r="O67" s="148"/>
    </row>
    <row r="68" spans="1:15" x14ac:dyDescent="0.2">
      <c r="A68" s="21" t="s">
        <v>10</v>
      </c>
      <c r="B68" s="395"/>
      <c r="C68" s="396"/>
      <c r="D68" s="378"/>
      <c r="E68" s="376"/>
      <c r="F68" s="395"/>
      <c r="G68" s="396"/>
      <c r="H68" s="378"/>
      <c r="I68" s="376"/>
      <c r="J68" s="370"/>
      <c r="K68" s="369"/>
      <c r="L68" s="378"/>
      <c r="M68" s="376"/>
      <c r="O68" s="148"/>
    </row>
    <row r="69" spans="1:15" ht="15.75" x14ac:dyDescent="0.2">
      <c r="A69" s="299" t="s">
        <v>391</v>
      </c>
      <c r="B69" s="369"/>
      <c r="C69" s="369"/>
      <c r="D69" s="378"/>
      <c r="E69" s="403"/>
      <c r="F69" s="369"/>
      <c r="G69" s="369"/>
      <c r="H69" s="378"/>
      <c r="I69" s="376"/>
      <c r="J69" s="368"/>
      <c r="K69" s="368"/>
      <c r="L69" s="378"/>
      <c r="M69" s="376"/>
      <c r="O69" s="148"/>
    </row>
    <row r="70" spans="1:15" x14ac:dyDescent="0.2">
      <c r="A70" s="299" t="s">
        <v>12</v>
      </c>
      <c r="B70" s="397"/>
      <c r="C70" s="398"/>
      <c r="D70" s="378"/>
      <c r="E70" s="403"/>
      <c r="F70" s="369"/>
      <c r="G70" s="369"/>
      <c r="H70" s="378"/>
      <c r="I70" s="376"/>
      <c r="J70" s="368"/>
      <c r="K70" s="368"/>
      <c r="L70" s="378"/>
      <c r="M70" s="376"/>
      <c r="O70" s="148"/>
    </row>
    <row r="71" spans="1:15" x14ac:dyDescent="0.2">
      <c r="A71" s="299" t="s">
        <v>13</v>
      </c>
      <c r="B71" s="399"/>
      <c r="C71" s="400"/>
      <c r="D71" s="378"/>
      <c r="E71" s="403"/>
      <c r="F71" s="369"/>
      <c r="G71" s="369"/>
      <c r="H71" s="378"/>
      <c r="I71" s="376"/>
      <c r="J71" s="368"/>
      <c r="K71" s="368"/>
      <c r="L71" s="378"/>
      <c r="M71" s="376"/>
      <c r="O71" s="148"/>
    </row>
    <row r="72" spans="1:15" ht="15.75" x14ac:dyDescent="0.2">
      <c r="A72" s="299" t="s">
        <v>392</v>
      </c>
      <c r="B72" s="369"/>
      <c r="C72" s="369"/>
      <c r="D72" s="378"/>
      <c r="E72" s="403"/>
      <c r="F72" s="369"/>
      <c r="G72" s="369"/>
      <c r="H72" s="378"/>
      <c r="I72" s="376"/>
      <c r="J72" s="368"/>
      <c r="K72" s="368"/>
      <c r="L72" s="378"/>
      <c r="M72" s="376"/>
      <c r="O72" s="148"/>
    </row>
    <row r="73" spans="1:15" x14ac:dyDescent="0.2">
      <c r="A73" s="299" t="s">
        <v>12</v>
      </c>
      <c r="B73" s="399"/>
      <c r="C73" s="400"/>
      <c r="D73" s="378"/>
      <c r="E73" s="403"/>
      <c r="F73" s="369"/>
      <c r="G73" s="369"/>
      <c r="H73" s="378"/>
      <c r="I73" s="376"/>
      <c r="J73" s="368"/>
      <c r="K73" s="368"/>
      <c r="L73" s="378"/>
      <c r="M73" s="376"/>
      <c r="O73" s="148"/>
    </row>
    <row r="74" spans="1:15" s="3" customFormat="1" x14ac:dyDescent="0.2">
      <c r="A74" s="299" t="s">
        <v>13</v>
      </c>
      <c r="B74" s="399"/>
      <c r="C74" s="400"/>
      <c r="D74" s="378"/>
      <c r="E74" s="403"/>
      <c r="F74" s="369"/>
      <c r="G74" s="369"/>
      <c r="H74" s="378"/>
      <c r="I74" s="376"/>
      <c r="J74" s="368"/>
      <c r="K74" s="368"/>
      <c r="L74" s="378"/>
      <c r="M74" s="376"/>
      <c r="N74" s="148"/>
      <c r="O74" s="148"/>
    </row>
    <row r="75" spans="1:15" s="3" customFormat="1" x14ac:dyDescent="0.2">
      <c r="A75" s="21" t="s">
        <v>361</v>
      </c>
      <c r="B75" s="381"/>
      <c r="C75" s="394"/>
      <c r="D75" s="378"/>
      <c r="E75" s="376"/>
      <c r="F75" s="381"/>
      <c r="G75" s="394"/>
      <c r="H75" s="378"/>
      <c r="I75" s="376"/>
      <c r="J75" s="370"/>
      <c r="K75" s="369"/>
      <c r="L75" s="378"/>
      <c r="M75" s="376"/>
      <c r="N75" s="148"/>
      <c r="O75" s="148"/>
    </row>
    <row r="76" spans="1:15" s="3" customFormat="1" x14ac:dyDescent="0.2">
      <c r="A76" s="21" t="s">
        <v>360</v>
      </c>
      <c r="B76" s="381"/>
      <c r="C76" s="394"/>
      <c r="D76" s="378"/>
      <c r="E76" s="376"/>
      <c r="F76" s="381"/>
      <c r="G76" s="394"/>
      <c r="H76" s="378"/>
      <c r="I76" s="376"/>
      <c r="J76" s="370"/>
      <c r="K76" s="369"/>
      <c r="L76" s="378"/>
      <c r="M76" s="376"/>
      <c r="N76" s="148"/>
      <c r="O76" s="148"/>
    </row>
    <row r="77" spans="1:15" ht="15.75" x14ac:dyDescent="0.2">
      <c r="A77" s="21" t="s">
        <v>393</v>
      </c>
      <c r="B77" s="381"/>
      <c r="C77" s="381"/>
      <c r="D77" s="378"/>
      <c r="E77" s="376"/>
      <c r="F77" s="381"/>
      <c r="G77" s="394"/>
      <c r="H77" s="378"/>
      <c r="I77" s="376"/>
      <c r="J77" s="370"/>
      <c r="K77" s="369"/>
      <c r="L77" s="378"/>
      <c r="M77" s="376"/>
      <c r="O77" s="148"/>
    </row>
    <row r="78" spans="1:15" x14ac:dyDescent="0.2">
      <c r="A78" s="21" t="s">
        <v>9</v>
      </c>
      <c r="B78" s="381"/>
      <c r="C78" s="394"/>
      <c r="D78" s="378"/>
      <c r="E78" s="376"/>
      <c r="F78" s="381"/>
      <c r="G78" s="394"/>
      <c r="H78" s="378"/>
      <c r="I78" s="376"/>
      <c r="J78" s="370"/>
      <c r="K78" s="369"/>
      <c r="L78" s="378"/>
      <c r="M78" s="376"/>
      <c r="O78" s="148"/>
    </row>
    <row r="79" spans="1:15" x14ac:dyDescent="0.2">
      <c r="A79" s="21" t="s">
        <v>10</v>
      </c>
      <c r="B79" s="395"/>
      <c r="C79" s="396"/>
      <c r="D79" s="378"/>
      <c r="E79" s="376"/>
      <c r="F79" s="395"/>
      <c r="G79" s="396"/>
      <c r="H79" s="378"/>
      <c r="I79" s="376"/>
      <c r="J79" s="370"/>
      <c r="K79" s="369"/>
      <c r="L79" s="378"/>
      <c r="M79" s="376"/>
      <c r="O79" s="148"/>
    </row>
    <row r="80" spans="1:15" ht="15.75" x14ac:dyDescent="0.2">
      <c r="A80" s="299" t="s">
        <v>391</v>
      </c>
      <c r="B80" s="369"/>
      <c r="C80" s="369"/>
      <c r="D80" s="378"/>
      <c r="E80" s="403"/>
      <c r="F80" s="369"/>
      <c r="G80" s="369"/>
      <c r="H80" s="378"/>
      <c r="I80" s="376"/>
      <c r="J80" s="368"/>
      <c r="K80" s="368"/>
      <c r="L80" s="378"/>
      <c r="M80" s="376"/>
      <c r="O80" s="148"/>
    </row>
    <row r="81" spans="1:15" x14ac:dyDescent="0.2">
      <c r="A81" s="299" t="s">
        <v>12</v>
      </c>
      <c r="B81" s="399"/>
      <c r="C81" s="400"/>
      <c r="D81" s="378"/>
      <c r="E81" s="403"/>
      <c r="F81" s="369"/>
      <c r="G81" s="369"/>
      <c r="H81" s="378"/>
      <c r="I81" s="376"/>
      <c r="J81" s="368"/>
      <c r="K81" s="368"/>
      <c r="L81" s="378"/>
      <c r="M81" s="376"/>
      <c r="O81" s="148"/>
    </row>
    <row r="82" spans="1:15" x14ac:dyDescent="0.2">
      <c r="A82" s="299" t="s">
        <v>13</v>
      </c>
      <c r="B82" s="399"/>
      <c r="C82" s="400"/>
      <c r="D82" s="378"/>
      <c r="E82" s="403"/>
      <c r="F82" s="369"/>
      <c r="G82" s="369"/>
      <c r="H82" s="378"/>
      <c r="I82" s="376"/>
      <c r="J82" s="368"/>
      <c r="K82" s="368"/>
      <c r="L82" s="378"/>
      <c r="M82" s="376"/>
      <c r="O82" s="148"/>
    </row>
    <row r="83" spans="1:15" ht="15.75" x14ac:dyDescent="0.2">
      <c r="A83" s="299" t="s">
        <v>392</v>
      </c>
      <c r="B83" s="369"/>
      <c r="C83" s="369"/>
      <c r="D83" s="378"/>
      <c r="E83" s="403"/>
      <c r="F83" s="369"/>
      <c r="G83" s="369"/>
      <c r="H83" s="378"/>
      <c r="I83" s="376"/>
      <c r="J83" s="368"/>
      <c r="K83" s="368"/>
      <c r="L83" s="378"/>
      <c r="M83" s="376"/>
      <c r="O83" s="148"/>
    </row>
    <row r="84" spans="1:15" x14ac:dyDescent="0.2">
      <c r="A84" s="299" t="s">
        <v>12</v>
      </c>
      <c r="B84" s="399"/>
      <c r="C84" s="400"/>
      <c r="D84" s="378"/>
      <c r="E84" s="403"/>
      <c r="F84" s="369"/>
      <c r="G84" s="369"/>
      <c r="H84" s="378"/>
      <c r="I84" s="376"/>
      <c r="J84" s="368"/>
      <c r="K84" s="368"/>
      <c r="L84" s="378"/>
      <c r="M84" s="376"/>
      <c r="O84" s="148"/>
    </row>
    <row r="85" spans="1:15" x14ac:dyDescent="0.2">
      <c r="A85" s="299" t="s">
        <v>13</v>
      </c>
      <c r="B85" s="399"/>
      <c r="C85" s="400"/>
      <c r="D85" s="378"/>
      <c r="E85" s="403"/>
      <c r="F85" s="369"/>
      <c r="G85" s="369"/>
      <c r="H85" s="378"/>
      <c r="I85" s="376"/>
      <c r="J85" s="368"/>
      <c r="K85" s="368"/>
      <c r="L85" s="378"/>
      <c r="M85" s="376"/>
      <c r="O85" s="148"/>
    </row>
    <row r="86" spans="1:15" ht="15.75" x14ac:dyDescent="0.2">
      <c r="A86" s="21" t="s">
        <v>394</v>
      </c>
      <c r="B86" s="381"/>
      <c r="C86" s="394"/>
      <c r="D86" s="378"/>
      <c r="E86" s="376"/>
      <c r="F86" s="381"/>
      <c r="G86" s="394"/>
      <c r="H86" s="378"/>
      <c r="I86" s="376"/>
      <c r="J86" s="370"/>
      <c r="K86" s="369"/>
      <c r="L86" s="378"/>
      <c r="M86" s="376"/>
      <c r="O86" s="148"/>
    </row>
    <row r="87" spans="1:15" ht="15.75" x14ac:dyDescent="0.2">
      <c r="A87" s="13" t="s">
        <v>376</v>
      </c>
      <c r="B87" s="393"/>
      <c r="C87" s="393"/>
      <c r="D87" s="378"/>
      <c r="E87" s="376"/>
      <c r="F87" s="393"/>
      <c r="G87" s="393"/>
      <c r="H87" s="378"/>
      <c r="I87" s="376"/>
      <c r="J87" s="372"/>
      <c r="K87" s="371"/>
      <c r="L87" s="378"/>
      <c r="M87" s="376"/>
      <c r="O87" s="148"/>
    </row>
    <row r="88" spans="1:15" x14ac:dyDescent="0.2">
      <c r="A88" s="21" t="s">
        <v>9</v>
      </c>
      <c r="B88" s="381"/>
      <c r="C88" s="394"/>
      <c r="D88" s="378"/>
      <c r="E88" s="376"/>
      <c r="F88" s="381"/>
      <c r="G88" s="394"/>
      <c r="H88" s="378"/>
      <c r="I88" s="376"/>
      <c r="J88" s="370"/>
      <c r="K88" s="369"/>
      <c r="L88" s="378"/>
      <c r="M88" s="376"/>
      <c r="O88" s="148"/>
    </row>
    <row r="89" spans="1:15" x14ac:dyDescent="0.2">
      <c r="A89" s="21" t="s">
        <v>10</v>
      </c>
      <c r="B89" s="381"/>
      <c r="C89" s="394"/>
      <c r="D89" s="378"/>
      <c r="E89" s="376"/>
      <c r="F89" s="381"/>
      <c r="G89" s="394"/>
      <c r="H89" s="378"/>
      <c r="I89" s="376"/>
      <c r="J89" s="370"/>
      <c r="K89" s="369"/>
      <c r="L89" s="378"/>
      <c r="M89" s="376"/>
      <c r="O89" s="148"/>
    </row>
    <row r="90" spans="1:15" ht="15.75" x14ac:dyDescent="0.2">
      <c r="A90" s="299" t="s">
        <v>391</v>
      </c>
      <c r="B90" s="369"/>
      <c r="C90" s="369"/>
      <c r="D90" s="378"/>
      <c r="E90" s="403"/>
      <c r="F90" s="369"/>
      <c r="G90" s="369"/>
      <c r="H90" s="378"/>
      <c r="I90" s="376"/>
      <c r="J90" s="368"/>
      <c r="K90" s="368"/>
      <c r="L90" s="378"/>
      <c r="M90" s="376"/>
      <c r="O90" s="148"/>
    </row>
    <row r="91" spans="1:15" x14ac:dyDescent="0.2">
      <c r="A91" s="299" t="s">
        <v>12</v>
      </c>
      <c r="B91" s="399"/>
      <c r="C91" s="400"/>
      <c r="D91" s="378"/>
      <c r="E91" s="403"/>
      <c r="F91" s="369"/>
      <c r="G91" s="369"/>
      <c r="H91" s="378"/>
      <c r="I91" s="376"/>
      <c r="J91" s="368"/>
      <c r="K91" s="368"/>
      <c r="L91" s="378"/>
      <c r="M91" s="376"/>
      <c r="O91" s="148"/>
    </row>
    <row r="92" spans="1:15" x14ac:dyDescent="0.2">
      <c r="A92" s="299" t="s">
        <v>13</v>
      </c>
      <c r="B92" s="399"/>
      <c r="C92" s="400"/>
      <c r="D92" s="378"/>
      <c r="E92" s="403"/>
      <c r="F92" s="369"/>
      <c r="G92" s="369"/>
      <c r="H92" s="378"/>
      <c r="I92" s="376"/>
      <c r="J92" s="368"/>
      <c r="K92" s="368"/>
      <c r="L92" s="378"/>
      <c r="M92" s="376"/>
      <c r="O92" s="148"/>
    </row>
    <row r="93" spans="1:15" ht="15.75" x14ac:dyDescent="0.2">
      <c r="A93" s="299" t="s">
        <v>392</v>
      </c>
      <c r="B93" s="369"/>
      <c r="C93" s="369"/>
      <c r="D93" s="378"/>
      <c r="E93" s="403"/>
      <c r="F93" s="369"/>
      <c r="G93" s="369"/>
      <c r="H93" s="378"/>
      <c r="I93" s="376"/>
      <c r="J93" s="368"/>
      <c r="K93" s="368"/>
      <c r="L93" s="378"/>
      <c r="M93" s="376"/>
      <c r="O93" s="148"/>
    </row>
    <row r="94" spans="1:15" x14ac:dyDescent="0.2">
      <c r="A94" s="299" t="s">
        <v>12</v>
      </c>
      <c r="B94" s="399"/>
      <c r="C94" s="400"/>
      <c r="D94" s="378"/>
      <c r="E94" s="403"/>
      <c r="F94" s="369"/>
      <c r="G94" s="369"/>
      <c r="H94" s="378"/>
      <c r="I94" s="376"/>
      <c r="J94" s="368"/>
      <c r="K94" s="368"/>
      <c r="L94" s="378"/>
      <c r="M94" s="376"/>
      <c r="O94" s="148"/>
    </row>
    <row r="95" spans="1:15" x14ac:dyDescent="0.2">
      <c r="A95" s="299" t="s">
        <v>13</v>
      </c>
      <c r="B95" s="399"/>
      <c r="C95" s="400"/>
      <c r="D95" s="378"/>
      <c r="E95" s="403"/>
      <c r="F95" s="369"/>
      <c r="G95" s="369"/>
      <c r="H95" s="378"/>
      <c r="I95" s="376"/>
      <c r="J95" s="368"/>
      <c r="K95" s="368"/>
      <c r="L95" s="378"/>
      <c r="M95" s="376"/>
      <c r="O95" s="148"/>
    </row>
    <row r="96" spans="1:15" x14ac:dyDescent="0.2">
      <c r="A96" s="21" t="s">
        <v>359</v>
      </c>
      <c r="B96" s="381"/>
      <c r="C96" s="394"/>
      <c r="D96" s="378"/>
      <c r="E96" s="376"/>
      <c r="F96" s="381"/>
      <c r="G96" s="394"/>
      <c r="H96" s="378"/>
      <c r="I96" s="376"/>
      <c r="J96" s="370"/>
      <c r="K96" s="369"/>
      <c r="L96" s="378"/>
      <c r="M96" s="376"/>
      <c r="O96" s="148"/>
    </row>
    <row r="97" spans="1:15" x14ac:dyDescent="0.2">
      <c r="A97" s="21" t="s">
        <v>358</v>
      </c>
      <c r="B97" s="381"/>
      <c r="C97" s="394"/>
      <c r="D97" s="378"/>
      <c r="E97" s="376"/>
      <c r="F97" s="381"/>
      <c r="G97" s="394"/>
      <c r="H97" s="378"/>
      <c r="I97" s="376"/>
      <c r="J97" s="370"/>
      <c r="K97" s="369"/>
      <c r="L97" s="378"/>
      <c r="M97" s="376"/>
      <c r="O97" s="148"/>
    </row>
    <row r="98" spans="1:15" ht="15.75" x14ac:dyDescent="0.2">
      <c r="A98" s="21" t="s">
        <v>393</v>
      </c>
      <c r="B98" s="381"/>
      <c r="C98" s="381"/>
      <c r="D98" s="378"/>
      <c r="E98" s="376"/>
      <c r="F98" s="395"/>
      <c r="G98" s="395"/>
      <c r="H98" s="378"/>
      <c r="I98" s="376"/>
      <c r="J98" s="370"/>
      <c r="K98" s="369"/>
      <c r="L98" s="378"/>
      <c r="M98" s="376"/>
      <c r="O98" s="148"/>
    </row>
    <row r="99" spans="1:15" x14ac:dyDescent="0.2">
      <c r="A99" s="21" t="s">
        <v>9</v>
      </c>
      <c r="B99" s="395"/>
      <c r="C99" s="396"/>
      <c r="D99" s="378"/>
      <c r="E99" s="376"/>
      <c r="F99" s="381"/>
      <c r="G99" s="394"/>
      <c r="H99" s="378"/>
      <c r="I99" s="376"/>
      <c r="J99" s="370"/>
      <c r="K99" s="369"/>
      <c r="L99" s="378"/>
      <c r="M99" s="376"/>
      <c r="O99" s="148"/>
    </row>
    <row r="100" spans="1:15" x14ac:dyDescent="0.2">
      <c r="A100" s="21" t="s">
        <v>10</v>
      </c>
      <c r="B100" s="395"/>
      <c r="C100" s="396"/>
      <c r="D100" s="378"/>
      <c r="E100" s="376"/>
      <c r="F100" s="381"/>
      <c r="G100" s="381"/>
      <c r="H100" s="378"/>
      <c r="I100" s="376"/>
      <c r="J100" s="370"/>
      <c r="K100" s="369"/>
      <c r="L100" s="378"/>
      <c r="M100" s="376"/>
      <c r="O100" s="148"/>
    </row>
    <row r="101" spans="1:15" ht="15.75" x14ac:dyDescent="0.2">
      <c r="A101" s="299" t="s">
        <v>391</v>
      </c>
      <c r="B101" s="369"/>
      <c r="C101" s="369"/>
      <c r="D101" s="378"/>
      <c r="E101" s="403"/>
      <c r="F101" s="369"/>
      <c r="G101" s="369"/>
      <c r="H101" s="378"/>
      <c r="I101" s="376"/>
      <c r="J101" s="368"/>
      <c r="K101" s="368"/>
      <c r="L101" s="378"/>
      <c r="M101" s="376"/>
      <c r="O101" s="148"/>
    </row>
    <row r="102" spans="1:15" x14ac:dyDescent="0.2">
      <c r="A102" s="299" t="s">
        <v>12</v>
      </c>
      <c r="B102" s="399"/>
      <c r="C102" s="400"/>
      <c r="D102" s="378"/>
      <c r="E102" s="403"/>
      <c r="F102" s="369"/>
      <c r="G102" s="369"/>
      <c r="H102" s="378"/>
      <c r="I102" s="376"/>
      <c r="J102" s="368"/>
      <c r="K102" s="368"/>
      <c r="L102" s="378"/>
      <c r="M102" s="376"/>
      <c r="O102" s="148"/>
    </row>
    <row r="103" spans="1:15" x14ac:dyDescent="0.2">
      <c r="A103" s="299" t="s">
        <v>13</v>
      </c>
      <c r="B103" s="399"/>
      <c r="C103" s="400"/>
      <c r="D103" s="378"/>
      <c r="E103" s="403"/>
      <c r="F103" s="369"/>
      <c r="G103" s="369"/>
      <c r="H103" s="378"/>
      <c r="I103" s="376"/>
      <c r="J103" s="368"/>
      <c r="K103" s="368"/>
      <c r="L103" s="378"/>
      <c r="M103" s="376"/>
      <c r="O103" s="148"/>
    </row>
    <row r="104" spans="1:15" ht="15.75" x14ac:dyDescent="0.2">
      <c r="A104" s="299" t="s">
        <v>392</v>
      </c>
      <c r="B104" s="369"/>
      <c r="C104" s="369"/>
      <c r="D104" s="378"/>
      <c r="E104" s="403"/>
      <c r="F104" s="369"/>
      <c r="G104" s="369"/>
      <c r="H104" s="378"/>
      <c r="I104" s="376"/>
      <c r="J104" s="368"/>
      <c r="K104" s="368"/>
      <c r="L104" s="378"/>
      <c r="M104" s="376"/>
      <c r="O104" s="148"/>
    </row>
    <row r="105" spans="1:15" x14ac:dyDescent="0.2">
      <c r="A105" s="299" t="s">
        <v>12</v>
      </c>
      <c r="B105" s="399"/>
      <c r="C105" s="400"/>
      <c r="D105" s="378"/>
      <c r="E105" s="403"/>
      <c r="F105" s="369"/>
      <c r="G105" s="369"/>
      <c r="H105" s="378"/>
      <c r="I105" s="376"/>
      <c r="J105" s="368"/>
      <c r="K105" s="368"/>
      <c r="L105" s="378"/>
      <c r="M105" s="376"/>
      <c r="O105" s="148"/>
    </row>
    <row r="106" spans="1:15" x14ac:dyDescent="0.2">
      <c r="A106" s="299" t="s">
        <v>13</v>
      </c>
      <c r="B106" s="399"/>
      <c r="C106" s="400"/>
      <c r="D106" s="378"/>
      <c r="E106" s="403"/>
      <c r="F106" s="369"/>
      <c r="G106" s="369"/>
      <c r="H106" s="378"/>
      <c r="I106" s="376"/>
      <c r="J106" s="368"/>
      <c r="K106" s="368"/>
      <c r="L106" s="378"/>
      <c r="M106" s="376"/>
      <c r="O106" s="148"/>
    </row>
    <row r="107" spans="1:15" ht="15.75" x14ac:dyDescent="0.2">
      <c r="A107" s="21" t="s">
        <v>394</v>
      </c>
      <c r="B107" s="381"/>
      <c r="C107" s="394"/>
      <c r="D107" s="378"/>
      <c r="E107" s="376"/>
      <c r="F107" s="381"/>
      <c r="G107" s="394"/>
      <c r="H107" s="378"/>
      <c r="I107" s="376"/>
      <c r="J107" s="370"/>
      <c r="K107" s="369"/>
      <c r="L107" s="378"/>
      <c r="M107" s="376"/>
      <c r="O107" s="148"/>
    </row>
    <row r="108" spans="1:15" ht="15.75" x14ac:dyDescent="0.2">
      <c r="A108" s="21" t="s">
        <v>395</v>
      </c>
      <c r="B108" s="381"/>
      <c r="C108" s="381"/>
      <c r="D108" s="378"/>
      <c r="E108" s="376"/>
      <c r="F108" s="381"/>
      <c r="G108" s="381"/>
      <c r="H108" s="378"/>
      <c r="I108" s="376"/>
      <c r="J108" s="370"/>
      <c r="K108" s="369"/>
      <c r="L108" s="378"/>
      <c r="M108" s="376"/>
      <c r="O108" s="148"/>
    </row>
    <row r="109" spans="1:15" ht="15.75" x14ac:dyDescent="0.2">
      <c r="A109" s="21" t="s">
        <v>396</v>
      </c>
      <c r="B109" s="381"/>
      <c r="C109" s="381"/>
      <c r="D109" s="378"/>
      <c r="E109" s="376"/>
      <c r="F109" s="381"/>
      <c r="G109" s="381"/>
      <c r="H109" s="378"/>
      <c r="I109" s="376"/>
      <c r="J109" s="370"/>
      <c r="K109" s="369"/>
      <c r="L109" s="378"/>
      <c r="M109" s="376"/>
      <c r="O109" s="148"/>
    </row>
    <row r="110" spans="1:15" ht="15.75" x14ac:dyDescent="0.2">
      <c r="A110" s="21" t="s">
        <v>397</v>
      </c>
      <c r="B110" s="381"/>
      <c r="C110" s="381"/>
      <c r="D110" s="378"/>
      <c r="E110" s="376"/>
      <c r="F110" s="381"/>
      <c r="G110" s="381"/>
      <c r="H110" s="378"/>
      <c r="I110" s="376"/>
      <c r="J110" s="370"/>
      <c r="K110" s="369"/>
      <c r="L110" s="378"/>
      <c r="M110" s="376"/>
      <c r="O110" s="148"/>
    </row>
    <row r="111" spans="1:15" ht="15.75" x14ac:dyDescent="0.2">
      <c r="A111" s="13" t="s">
        <v>377</v>
      </c>
      <c r="B111" s="377"/>
      <c r="C111" s="401"/>
      <c r="D111" s="378"/>
      <c r="E111" s="376"/>
      <c r="F111" s="377"/>
      <c r="G111" s="401"/>
      <c r="H111" s="378"/>
      <c r="I111" s="376"/>
      <c r="J111" s="372"/>
      <c r="K111" s="371"/>
      <c r="L111" s="378"/>
      <c r="M111" s="376"/>
      <c r="O111" s="148"/>
    </row>
    <row r="112" spans="1:15" x14ac:dyDescent="0.2">
      <c r="A112" s="21" t="s">
        <v>9</v>
      </c>
      <c r="B112" s="381"/>
      <c r="C112" s="394"/>
      <c r="D112" s="378"/>
      <c r="E112" s="376"/>
      <c r="F112" s="381"/>
      <c r="G112" s="394"/>
      <c r="H112" s="378"/>
      <c r="I112" s="376"/>
      <c r="J112" s="370"/>
      <c r="K112" s="369"/>
      <c r="L112" s="378"/>
      <c r="M112" s="376"/>
      <c r="O112" s="148"/>
    </row>
    <row r="113" spans="1:15" x14ac:dyDescent="0.2">
      <c r="A113" s="21" t="s">
        <v>10</v>
      </c>
      <c r="B113" s="381"/>
      <c r="C113" s="394"/>
      <c r="D113" s="378"/>
      <c r="E113" s="376"/>
      <c r="F113" s="381"/>
      <c r="G113" s="394"/>
      <c r="H113" s="378"/>
      <c r="I113" s="376"/>
      <c r="J113" s="370"/>
      <c r="K113" s="369"/>
      <c r="L113" s="378"/>
      <c r="M113" s="376"/>
      <c r="O113" s="148"/>
    </row>
    <row r="114" spans="1:15" x14ac:dyDescent="0.2">
      <c r="A114" s="21" t="s">
        <v>26</v>
      </c>
      <c r="B114" s="381"/>
      <c r="C114" s="394"/>
      <c r="D114" s="378"/>
      <c r="E114" s="376"/>
      <c r="F114" s="381"/>
      <c r="G114" s="394"/>
      <c r="H114" s="378"/>
      <c r="I114" s="376"/>
      <c r="J114" s="370"/>
      <c r="K114" s="369"/>
      <c r="L114" s="378"/>
      <c r="M114" s="376"/>
      <c r="O114" s="148"/>
    </row>
    <row r="115" spans="1:15" x14ac:dyDescent="0.2">
      <c r="A115" s="299" t="s">
        <v>15</v>
      </c>
      <c r="B115" s="369"/>
      <c r="C115" s="369"/>
      <c r="D115" s="378"/>
      <c r="E115" s="403"/>
      <c r="F115" s="369"/>
      <c r="G115" s="369"/>
      <c r="H115" s="378"/>
      <c r="I115" s="376"/>
      <c r="J115" s="368"/>
      <c r="K115" s="368"/>
      <c r="L115" s="378"/>
      <c r="M115" s="376"/>
      <c r="O115" s="148"/>
    </row>
    <row r="116" spans="1:15" ht="15.75" x14ac:dyDescent="0.2">
      <c r="A116" s="21" t="s">
        <v>398</v>
      </c>
      <c r="B116" s="381"/>
      <c r="C116" s="381"/>
      <c r="D116" s="378"/>
      <c r="E116" s="376"/>
      <c r="F116" s="381"/>
      <c r="G116" s="381"/>
      <c r="H116" s="378"/>
      <c r="I116" s="376"/>
      <c r="J116" s="370"/>
      <c r="K116" s="369"/>
      <c r="L116" s="378"/>
      <c r="M116" s="376"/>
      <c r="O116" s="148"/>
    </row>
    <row r="117" spans="1:15" ht="15.75" x14ac:dyDescent="0.2">
      <c r="A117" s="21" t="s">
        <v>399</v>
      </c>
      <c r="B117" s="381"/>
      <c r="C117" s="381"/>
      <c r="D117" s="378"/>
      <c r="E117" s="376"/>
      <c r="F117" s="381"/>
      <c r="G117" s="381"/>
      <c r="H117" s="378"/>
      <c r="I117" s="376"/>
      <c r="J117" s="370"/>
      <c r="K117" s="369"/>
      <c r="L117" s="378"/>
      <c r="M117" s="376"/>
      <c r="O117" s="148"/>
    </row>
    <row r="118" spans="1:15" ht="15.75" x14ac:dyDescent="0.2">
      <c r="A118" s="21" t="s">
        <v>397</v>
      </c>
      <c r="B118" s="381"/>
      <c r="C118" s="381"/>
      <c r="D118" s="378"/>
      <c r="E118" s="376"/>
      <c r="F118" s="381"/>
      <c r="G118" s="381"/>
      <c r="H118" s="378"/>
      <c r="I118" s="376"/>
      <c r="J118" s="370"/>
      <c r="K118" s="369"/>
      <c r="L118" s="378"/>
      <c r="M118" s="376"/>
      <c r="O118" s="148"/>
    </row>
    <row r="119" spans="1:15" ht="15.75" x14ac:dyDescent="0.2">
      <c r="A119" s="13" t="s">
        <v>378</v>
      </c>
      <c r="B119" s="377"/>
      <c r="C119" s="401"/>
      <c r="D119" s="378"/>
      <c r="E119" s="376"/>
      <c r="F119" s="377"/>
      <c r="G119" s="401"/>
      <c r="H119" s="378"/>
      <c r="I119" s="376"/>
      <c r="J119" s="372"/>
      <c r="K119" s="371"/>
      <c r="L119" s="378"/>
      <c r="M119" s="376"/>
      <c r="O119" s="148"/>
    </row>
    <row r="120" spans="1:15" x14ac:dyDescent="0.2">
      <c r="A120" s="21" t="s">
        <v>9</v>
      </c>
      <c r="B120" s="381"/>
      <c r="C120" s="394"/>
      <c r="D120" s="378"/>
      <c r="E120" s="376"/>
      <c r="F120" s="381"/>
      <c r="G120" s="394"/>
      <c r="H120" s="378"/>
      <c r="I120" s="376"/>
      <c r="J120" s="370"/>
      <c r="K120" s="369"/>
      <c r="L120" s="378"/>
      <c r="M120" s="376"/>
      <c r="O120" s="148"/>
    </row>
    <row r="121" spans="1:15" x14ac:dyDescent="0.2">
      <c r="A121" s="21" t="s">
        <v>10</v>
      </c>
      <c r="B121" s="381"/>
      <c r="C121" s="394"/>
      <c r="D121" s="378"/>
      <c r="E121" s="376"/>
      <c r="F121" s="381"/>
      <c r="G121" s="394"/>
      <c r="H121" s="378"/>
      <c r="I121" s="376"/>
      <c r="J121" s="370"/>
      <c r="K121" s="369"/>
      <c r="L121" s="378"/>
      <c r="M121" s="376"/>
      <c r="O121" s="148"/>
    </row>
    <row r="122" spans="1:15" x14ac:dyDescent="0.2">
      <c r="A122" s="21" t="s">
        <v>26</v>
      </c>
      <c r="B122" s="381"/>
      <c r="C122" s="394"/>
      <c r="D122" s="378"/>
      <c r="E122" s="376"/>
      <c r="F122" s="381"/>
      <c r="G122" s="394"/>
      <c r="H122" s="378"/>
      <c r="I122" s="376"/>
      <c r="J122" s="370"/>
      <c r="K122" s="369"/>
      <c r="L122" s="378"/>
      <c r="M122" s="376"/>
      <c r="O122" s="148"/>
    </row>
    <row r="123" spans="1:15" x14ac:dyDescent="0.2">
      <c r="A123" s="299" t="s">
        <v>14</v>
      </c>
      <c r="B123" s="369"/>
      <c r="C123" s="369"/>
      <c r="D123" s="378"/>
      <c r="E123" s="403"/>
      <c r="F123" s="369"/>
      <c r="G123" s="369"/>
      <c r="H123" s="378"/>
      <c r="I123" s="376"/>
      <c r="J123" s="368"/>
      <c r="K123" s="368"/>
      <c r="L123" s="378"/>
      <c r="M123" s="376"/>
      <c r="O123" s="148"/>
    </row>
    <row r="124" spans="1:15" ht="15.75" x14ac:dyDescent="0.2">
      <c r="A124" s="21" t="s">
        <v>404</v>
      </c>
      <c r="B124" s="381"/>
      <c r="C124" s="381"/>
      <c r="D124" s="378"/>
      <c r="E124" s="376"/>
      <c r="F124" s="381"/>
      <c r="G124" s="381"/>
      <c r="H124" s="378"/>
      <c r="I124" s="376"/>
      <c r="J124" s="370"/>
      <c r="K124" s="369"/>
      <c r="L124" s="378"/>
      <c r="M124" s="376"/>
      <c r="O124" s="148"/>
    </row>
    <row r="125" spans="1:15" ht="15.75" x14ac:dyDescent="0.2">
      <c r="A125" s="21" t="s">
        <v>396</v>
      </c>
      <c r="B125" s="381"/>
      <c r="C125" s="381"/>
      <c r="D125" s="378"/>
      <c r="E125" s="376"/>
      <c r="F125" s="381"/>
      <c r="G125" s="381"/>
      <c r="H125" s="378"/>
      <c r="I125" s="376"/>
      <c r="J125" s="370"/>
      <c r="K125" s="369"/>
      <c r="L125" s="378"/>
      <c r="M125" s="376"/>
      <c r="O125" s="148"/>
    </row>
    <row r="126" spans="1:15" ht="15.75" x14ac:dyDescent="0.2">
      <c r="A126" s="10" t="s">
        <v>397</v>
      </c>
      <c r="B126" s="391"/>
      <c r="C126" s="391"/>
      <c r="D126" s="382"/>
      <c r="E126" s="402"/>
      <c r="F126" s="391"/>
      <c r="G126" s="391"/>
      <c r="H126" s="382"/>
      <c r="I126" s="382"/>
      <c r="J126" s="392"/>
      <c r="K126" s="391"/>
      <c r="L126" s="382"/>
      <c r="M126" s="38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362"/>
      <c r="C130" s="362"/>
      <c r="D130" s="362"/>
      <c r="E130" s="363"/>
      <c r="F130" s="362"/>
      <c r="G130" s="362"/>
      <c r="H130" s="362"/>
      <c r="I130" s="363"/>
      <c r="J130" s="362"/>
      <c r="K130" s="362"/>
      <c r="L130" s="362"/>
      <c r="M130" s="363"/>
      <c r="O130" s="148"/>
    </row>
    <row r="131" spans="1:15" s="3" customFormat="1" x14ac:dyDescent="0.2">
      <c r="A131" s="144"/>
      <c r="B131" s="726" t="s">
        <v>0</v>
      </c>
      <c r="C131" s="727"/>
      <c r="D131" s="727"/>
      <c r="E131" s="360"/>
      <c r="F131" s="726" t="s">
        <v>1</v>
      </c>
      <c r="G131" s="727"/>
      <c r="H131" s="727"/>
      <c r="I131" s="361"/>
      <c r="J131" s="726" t="s">
        <v>2</v>
      </c>
      <c r="K131" s="727"/>
      <c r="L131" s="727"/>
      <c r="M131" s="361"/>
      <c r="N131" s="148"/>
      <c r="O131" s="148"/>
    </row>
    <row r="132" spans="1:15" s="3" customFormat="1" x14ac:dyDescent="0.2">
      <c r="A132" s="140"/>
      <c r="B132" s="152" t="s">
        <v>413</v>
      </c>
      <c r="C132" s="152" t="s">
        <v>414</v>
      </c>
      <c r="D132" s="247" t="s">
        <v>3</v>
      </c>
      <c r="E132" s="308" t="s">
        <v>29</v>
      </c>
      <c r="F132" s="152" t="s">
        <v>413</v>
      </c>
      <c r="G132" s="152" t="s">
        <v>414</v>
      </c>
      <c r="H132" s="207" t="s">
        <v>3</v>
      </c>
      <c r="I132" s="308"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371"/>
      <c r="C134" s="372"/>
      <c r="D134" s="375"/>
      <c r="E134" s="376"/>
      <c r="F134" s="366"/>
      <c r="G134" s="367"/>
      <c r="H134" s="404"/>
      <c r="I134" s="376"/>
      <c r="J134" s="384"/>
      <c r="K134" s="384"/>
      <c r="L134" s="375"/>
      <c r="M134" s="376"/>
      <c r="N134" s="148"/>
      <c r="O134" s="148"/>
    </row>
    <row r="135" spans="1:15" s="3" customFormat="1" ht="15.75" x14ac:dyDescent="0.2">
      <c r="A135" s="13" t="s">
        <v>405</v>
      </c>
      <c r="B135" s="371"/>
      <c r="C135" s="372"/>
      <c r="D135" s="378"/>
      <c r="E135" s="376"/>
      <c r="F135" s="371"/>
      <c r="G135" s="372"/>
      <c r="H135" s="405"/>
      <c r="I135" s="376"/>
      <c r="J135" s="377"/>
      <c r="K135" s="377"/>
      <c r="L135" s="378"/>
      <c r="M135" s="376"/>
      <c r="N135" s="148"/>
      <c r="O135" s="148"/>
    </row>
    <row r="136" spans="1:15" s="3" customFormat="1" ht="15.75" x14ac:dyDescent="0.2">
      <c r="A136" s="13" t="s">
        <v>402</v>
      </c>
      <c r="B136" s="371"/>
      <c r="C136" s="372"/>
      <c r="D136" s="378"/>
      <c r="E136" s="376"/>
      <c r="F136" s="371"/>
      <c r="G136" s="372"/>
      <c r="H136" s="405"/>
      <c r="I136" s="376"/>
      <c r="J136" s="377"/>
      <c r="K136" s="377"/>
      <c r="L136" s="378"/>
      <c r="M136" s="376"/>
      <c r="N136" s="148"/>
      <c r="O136" s="148"/>
    </row>
    <row r="137" spans="1:15" s="3" customFormat="1" ht="15.75" x14ac:dyDescent="0.2">
      <c r="A137" s="41" t="s">
        <v>403</v>
      </c>
      <c r="B137" s="373"/>
      <c r="C137" s="374"/>
      <c r="D137" s="382"/>
      <c r="E137" s="402"/>
      <c r="F137" s="373"/>
      <c r="G137" s="374"/>
      <c r="H137" s="406"/>
      <c r="I137" s="402"/>
      <c r="J137" s="383"/>
      <c r="K137" s="383"/>
      <c r="L137" s="382"/>
      <c r="M137" s="382"/>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13">
    <mergeCell ref="B44:D44"/>
    <mergeCell ref="J19:L19"/>
    <mergeCell ref="F19:H19"/>
    <mergeCell ref="B19:D19"/>
    <mergeCell ref="J4:L4"/>
    <mergeCell ref="F4:H4"/>
    <mergeCell ref="B4:D4"/>
    <mergeCell ref="J131:L131"/>
    <mergeCell ref="F131:H131"/>
    <mergeCell ref="B131:D131"/>
    <mergeCell ref="J63:L63"/>
    <mergeCell ref="F63:H63"/>
    <mergeCell ref="B63:D63"/>
  </mergeCells>
  <conditionalFormatting sqref="B50:C52">
    <cfRule type="expression" dxfId="1578" priority="132">
      <formula>kvartal &lt; 4</formula>
    </cfRule>
  </conditionalFormatting>
  <conditionalFormatting sqref="B69">
    <cfRule type="expression" dxfId="1577" priority="100">
      <formula>kvartal &lt; 4</formula>
    </cfRule>
  </conditionalFormatting>
  <conditionalFormatting sqref="C69">
    <cfRule type="expression" dxfId="1576" priority="99">
      <formula>kvartal &lt; 4</formula>
    </cfRule>
  </conditionalFormatting>
  <conditionalFormatting sqref="B72">
    <cfRule type="expression" dxfId="1575" priority="98">
      <formula>kvartal &lt; 4</formula>
    </cfRule>
  </conditionalFormatting>
  <conditionalFormatting sqref="C72">
    <cfRule type="expression" dxfId="1574" priority="97">
      <formula>kvartal &lt; 4</formula>
    </cfRule>
  </conditionalFormatting>
  <conditionalFormatting sqref="B80">
    <cfRule type="expression" dxfId="1573" priority="96">
      <formula>kvartal &lt; 4</formula>
    </cfRule>
  </conditionalFormatting>
  <conditionalFormatting sqref="C80">
    <cfRule type="expression" dxfId="1572" priority="95">
      <formula>kvartal &lt; 4</formula>
    </cfRule>
  </conditionalFormatting>
  <conditionalFormatting sqref="B83">
    <cfRule type="expression" dxfId="1571" priority="94">
      <formula>kvartal &lt; 4</formula>
    </cfRule>
  </conditionalFormatting>
  <conditionalFormatting sqref="C83">
    <cfRule type="expression" dxfId="1570" priority="93">
      <formula>kvartal &lt; 4</formula>
    </cfRule>
  </conditionalFormatting>
  <conditionalFormatting sqref="B90">
    <cfRule type="expression" dxfId="1569" priority="84">
      <formula>kvartal &lt; 4</formula>
    </cfRule>
  </conditionalFormatting>
  <conditionalFormatting sqref="C90">
    <cfRule type="expression" dxfId="1568" priority="83">
      <formula>kvartal &lt; 4</formula>
    </cfRule>
  </conditionalFormatting>
  <conditionalFormatting sqref="B93">
    <cfRule type="expression" dxfId="1567" priority="82">
      <formula>kvartal &lt; 4</formula>
    </cfRule>
  </conditionalFormatting>
  <conditionalFormatting sqref="C93">
    <cfRule type="expression" dxfId="1566" priority="81">
      <formula>kvartal &lt; 4</formula>
    </cfRule>
  </conditionalFormatting>
  <conditionalFormatting sqref="B101">
    <cfRule type="expression" dxfId="1565" priority="80">
      <formula>kvartal &lt; 4</formula>
    </cfRule>
  </conditionalFormatting>
  <conditionalFormatting sqref="C101">
    <cfRule type="expression" dxfId="1564" priority="79">
      <formula>kvartal &lt; 4</formula>
    </cfRule>
  </conditionalFormatting>
  <conditionalFormatting sqref="B104">
    <cfRule type="expression" dxfId="1563" priority="78">
      <formula>kvartal &lt; 4</formula>
    </cfRule>
  </conditionalFormatting>
  <conditionalFormatting sqref="C104">
    <cfRule type="expression" dxfId="1562" priority="77">
      <formula>kvartal &lt; 4</formula>
    </cfRule>
  </conditionalFormatting>
  <conditionalFormatting sqref="B115">
    <cfRule type="expression" dxfId="1561" priority="76">
      <formula>kvartal &lt; 4</formula>
    </cfRule>
  </conditionalFormatting>
  <conditionalFormatting sqref="C115">
    <cfRule type="expression" dxfId="1560" priority="75">
      <formula>kvartal &lt; 4</formula>
    </cfRule>
  </conditionalFormatting>
  <conditionalFormatting sqref="B123">
    <cfRule type="expression" dxfId="1559" priority="74">
      <formula>kvartal &lt; 4</formula>
    </cfRule>
  </conditionalFormatting>
  <conditionalFormatting sqref="C123">
    <cfRule type="expression" dxfId="1558" priority="73">
      <formula>kvartal &lt; 4</formula>
    </cfRule>
  </conditionalFormatting>
  <conditionalFormatting sqref="F70">
    <cfRule type="expression" dxfId="1557" priority="72">
      <formula>kvartal &lt; 4</formula>
    </cfRule>
  </conditionalFormatting>
  <conditionalFormatting sqref="G70">
    <cfRule type="expression" dxfId="1556" priority="71">
      <formula>kvartal &lt; 4</formula>
    </cfRule>
  </conditionalFormatting>
  <conditionalFormatting sqref="F71:G71">
    <cfRule type="expression" dxfId="1555" priority="70">
      <formula>kvartal &lt; 4</formula>
    </cfRule>
  </conditionalFormatting>
  <conditionalFormatting sqref="F73:G74">
    <cfRule type="expression" dxfId="1554" priority="69">
      <formula>kvartal &lt; 4</formula>
    </cfRule>
  </conditionalFormatting>
  <conditionalFormatting sqref="F81:G82">
    <cfRule type="expression" dxfId="1553" priority="68">
      <formula>kvartal &lt; 4</formula>
    </cfRule>
  </conditionalFormatting>
  <conditionalFormatting sqref="F84:G85">
    <cfRule type="expression" dxfId="1552" priority="67">
      <formula>kvartal &lt; 4</formula>
    </cfRule>
  </conditionalFormatting>
  <conditionalFormatting sqref="F91:G92">
    <cfRule type="expression" dxfId="1551" priority="62">
      <formula>kvartal &lt; 4</formula>
    </cfRule>
  </conditionalFormatting>
  <conditionalFormatting sqref="F94:G95">
    <cfRule type="expression" dxfId="1550" priority="61">
      <formula>kvartal &lt; 4</formula>
    </cfRule>
  </conditionalFormatting>
  <conditionalFormatting sqref="F102:G103">
    <cfRule type="expression" dxfId="1549" priority="60">
      <formula>kvartal &lt; 4</formula>
    </cfRule>
  </conditionalFormatting>
  <conditionalFormatting sqref="F105:G106">
    <cfRule type="expression" dxfId="1548" priority="59">
      <formula>kvartal &lt; 4</formula>
    </cfRule>
  </conditionalFormatting>
  <conditionalFormatting sqref="F115">
    <cfRule type="expression" dxfId="1547" priority="58">
      <formula>kvartal &lt; 4</formula>
    </cfRule>
  </conditionalFormatting>
  <conditionalFormatting sqref="G115">
    <cfRule type="expression" dxfId="1546" priority="57">
      <formula>kvartal &lt; 4</formula>
    </cfRule>
  </conditionalFormatting>
  <conditionalFormatting sqref="F123:G123">
    <cfRule type="expression" dxfId="1545" priority="56">
      <formula>kvartal &lt; 4</formula>
    </cfRule>
  </conditionalFormatting>
  <conditionalFormatting sqref="F69:G69">
    <cfRule type="expression" dxfId="1544" priority="55">
      <formula>kvartal &lt; 4</formula>
    </cfRule>
  </conditionalFormatting>
  <conditionalFormatting sqref="F72:G72">
    <cfRule type="expression" dxfId="1543" priority="54">
      <formula>kvartal &lt; 4</formula>
    </cfRule>
  </conditionalFormatting>
  <conditionalFormatting sqref="F80:G80">
    <cfRule type="expression" dxfId="1542" priority="53">
      <formula>kvartal &lt; 4</formula>
    </cfRule>
  </conditionalFormatting>
  <conditionalFormatting sqref="F83:G83">
    <cfRule type="expression" dxfId="1541" priority="52">
      <formula>kvartal &lt; 4</formula>
    </cfRule>
  </conditionalFormatting>
  <conditionalFormatting sqref="F90:G90">
    <cfRule type="expression" dxfId="1540" priority="46">
      <formula>kvartal &lt; 4</formula>
    </cfRule>
  </conditionalFormatting>
  <conditionalFormatting sqref="F93">
    <cfRule type="expression" dxfId="1539" priority="45">
      <formula>kvartal &lt; 4</formula>
    </cfRule>
  </conditionalFormatting>
  <conditionalFormatting sqref="G93">
    <cfRule type="expression" dxfId="1538" priority="44">
      <formula>kvartal &lt; 4</formula>
    </cfRule>
  </conditionalFormatting>
  <conditionalFormatting sqref="F101">
    <cfRule type="expression" dxfId="1537" priority="43">
      <formula>kvartal &lt; 4</formula>
    </cfRule>
  </conditionalFormatting>
  <conditionalFormatting sqref="G101">
    <cfRule type="expression" dxfId="1536" priority="42">
      <formula>kvartal &lt; 4</formula>
    </cfRule>
  </conditionalFormatting>
  <conditionalFormatting sqref="G104">
    <cfRule type="expression" dxfId="1535" priority="41">
      <formula>kvartal &lt; 4</formula>
    </cfRule>
  </conditionalFormatting>
  <conditionalFormatting sqref="F104">
    <cfRule type="expression" dxfId="1534" priority="40">
      <formula>kvartal &lt; 4</formula>
    </cfRule>
  </conditionalFormatting>
  <conditionalFormatting sqref="J69:K73">
    <cfRule type="expression" dxfId="1533" priority="39">
      <formula>kvartal &lt; 4</formula>
    </cfRule>
  </conditionalFormatting>
  <conditionalFormatting sqref="J74:K74">
    <cfRule type="expression" dxfId="1532" priority="38">
      <formula>kvartal &lt; 4</formula>
    </cfRule>
  </conditionalFormatting>
  <conditionalFormatting sqref="J80:K85">
    <cfRule type="expression" dxfId="1531" priority="37">
      <formula>kvartal &lt; 4</formula>
    </cfRule>
  </conditionalFormatting>
  <conditionalFormatting sqref="J90:K95">
    <cfRule type="expression" dxfId="1530" priority="34">
      <formula>kvartal &lt; 4</formula>
    </cfRule>
  </conditionalFormatting>
  <conditionalFormatting sqref="J101:K106">
    <cfRule type="expression" dxfId="1529" priority="33">
      <formula>kvartal &lt; 4</formula>
    </cfRule>
  </conditionalFormatting>
  <conditionalFormatting sqref="J115:K115">
    <cfRule type="expression" dxfId="1528" priority="32">
      <formula>kvartal &lt; 4</formula>
    </cfRule>
  </conditionalFormatting>
  <conditionalFormatting sqref="J123:K123">
    <cfRule type="expression" dxfId="1527" priority="31">
      <formula>kvartal &lt; 4</formula>
    </cfRule>
  </conditionalFormatting>
  <conditionalFormatting sqref="A50:A52">
    <cfRule type="expression" dxfId="1526" priority="12">
      <formula>kvartal &lt; 4</formula>
    </cfRule>
  </conditionalFormatting>
  <conditionalFormatting sqref="A69:A74">
    <cfRule type="expression" dxfId="1525" priority="10">
      <formula>kvartal &lt; 4</formula>
    </cfRule>
  </conditionalFormatting>
  <conditionalFormatting sqref="A80:A85">
    <cfRule type="expression" dxfId="1524" priority="9">
      <formula>kvartal &lt; 4</formula>
    </cfRule>
  </conditionalFormatting>
  <conditionalFormatting sqref="A90:A95">
    <cfRule type="expression" dxfId="1523" priority="6">
      <formula>kvartal &lt; 4</formula>
    </cfRule>
  </conditionalFormatting>
  <conditionalFormatting sqref="A101:A106">
    <cfRule type="expression" dxfId="1522" priority="5">
      <formula>kvartal &lt; 4</formula>
    </cfRule>
  </conditionalFormatting>
  <conditionalFormatting sqref="A115">
    <cfRule type="expression" dxfId="1521" priority="4">
      <formula>kvartal &lt; 4</formula>
    </cfRule>
  </conditionalFormatting>
  <conditionalFormatting sqref="A123">
    <cfRule type="expression" dxfId="1520"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O144"/>
  <sheetViews>
    <sheetView showGridLines="0" zoomScale="90" zoomScaleNormal="9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5" width="3" style="149" bestFit="1" customWidth="1"/>
    <col min="16" max="16384" width="11.42578125" style="1"/>
  </cols>
  <sheetData>
    <row r="1" spans="1:15" x14ac:dyDescent="0.2">
      <c r="A1" s="172" t="s">
        <v>145</v>
      </c>
      <c r="B1" s="641"/>
      <c r="C1" s="251" t="s">
        <v>88</v>
      </c>
      <c r="D1" s="26"/>
      <c r="E1" s="26"/>
      <c r="F1" s="26"/>
      <c r="G1" s="26"/>
      <c r="H1" s="26"/>
      <c r="I1" s="26"/>
      <c r="J1" s="26"/>
      <c r="K1" s="26"/>
      <c r="L1" s="26"/>
      <c r="M1" s="26"/>
      <c r="O1" s="430"/>
    </row>
    <row r="2" spans="1:15" ht="15.75" x14ac:dyDescent="0.25">
      <c r="A2" s="165" t="s">
        <v>28</v>
      </c>
      <c r="B2" s="731"/>
      <c r="C2" s="731"/>
      <c r="D2" s="731"/>
      <c r="E2" s="410"/>
      <c r="F2" s="731"/>
      <c r="G2" s="731"/>
      <c r="H2" s="731"/>
      <c r="I2" s="410"/>
      <c r="J2" s="731"/>
      <c r="K2" s="731"/>
      <c r="L2" s="731"/>
      <c r="M2" s="410"/>
      <c r="O2" s="148"/>
    </row>
    <row r="3" spans="1:15" ht="15.75" x14ac:dyDescent="0.25">
      <c r="A3" s="163"/>
      <c r="B3" s="410"/>
      <c r="C3" s="410"/>
      <c r="D3" s="410"/>
      <c r="E3" s="410"/>
      <c r="F3" s="410"/>
      <c r="G3" s="410"/>
      <c r="H3" s="410"/>
      <c r="I3" s="410"/>
      <c r="J3" s="410"/>
      <c r="K3" s="410"/>
      <c r="L3" s="410"/>
      <c r="M3" s="410"/>
      <c r="O3" s="148"/>
    </row>
    <row r="4" spans="1:15" x14ac:dyDescent="0.2">
      <c r="A4" s="144"/>
      <c r="B4" s="726" t="s">
        <v>0</v>
      </c>
      <c r="C4" s="727"/>
      <c r="D4" s="727"/>
      <c r="E4" s="409"/>
      <c r="F4" s="726" t="s">
        <v>1</v>
      </c>
      <c r="G4" s="727"/>
      <c r="H4" s="727"/>
      <c r="I4" s="412"/>
      <c r="J4" s="726" t="s">
        <v>2</v>
      </c>
      <c r="K4" s="727"/>
      <c r="L4" s="727"/>
      <c r="M4" s="412"/>
      <c r="O4" s="148"/>
    </row>
    <row r="5" spans="1:15" x14ac:dyDescent="0.2">
      <c r="A5" s="158"/>
      <c r="B5" s="152" t="s">
        <v>413</v>
      </c>
      <c r="C5" s="152" t="s">
        <v>414</v>
      </c>
      <c r="D5" s="247" t="s">
        <v>3</v>
      </c>
      <c r="E5" s="308" t="s">
        <v>29</v>
      </c>
      <c r="F5" s="152" t="s">
        <v>413</v>
      </c>
      <c r="G5" s="152" t="s">
        <v>414</v>
      </c>
      <c r="H5" s="247" t="s">
        <v>3</v>
      </c>
      <c r="I5" s="162" t="s">
        <v>29</v>
      </c>
      <c r="J5" s="152" t="s">
        <v>413</v>
      </c>
      <c r="K5" s="152" t="s">
        <v>414</v>
      </c>
      <c r="L5" s="247" t="s">
        <v>3</v>
      </c>
      <c r="M5" s="162" t="s">
        <v>29</v>
      </c>
      <c r="O5" s="644"/>
    </row>
    <row r="6" spans="1:15" x14ac:dyDescent="0.2">
      <c r="A6" s="642"/>
      <c r="B6" s="156"/>
      <c r="C6" s="156"/>
      <c r="D6" s="249" t="s">
        <v>4</v>
      </c>
      <c r="E6" s="156" t="s">
        <v>30</v>
      </c>
      <c r="F6" s="161"/>
      <c r="G6" s="161"/>
      <c r="H6" s="247" t="s">
        <v>4</v>
      </c>
      <c r="I6" s="156" t="s">
        <v>30</v>
      </c>
      <c r="J6" s="161"/>
      <c r="K6" s="161"/>
      <c r="L6" s="247" t="s">
        <v>4</v>
      </c>
      <c r="M6" s="156" t="s">
        <v>30</v>
      </c>
      <c r="O6" s="148"/>
    </row>
    <row r="7" spans="1:15" ht="15.75" x14ac:dyDescent="0.2">
      <c r="A7" s="14" t="s">
        <v>23</v>
      </c>
      <c r="B7" s="309">
        <v>200106.223</v>
      </c>
      <c r="C7" s="310">
        <v>211001.497</v>
      </c>
      <c r="D7" s="354">
        <f>IF(B7=0, "    ---- ", IF(ABS(ROUND(100/B7*C7-100,1))&lt;999,ROUND(100/B7*C7-100,1),IF(ROUND(100/B7*C7-100,1)&gt;999,999,-999)))</f>
        <v>5.4</v>
      </c>
      <c r="E7" s="11">
        <f>IFERROR(100/'Skjema total MA'!C7*C7,0)</f>
        <v>6.0000606123421205</v>
      </c>
      <c r="F7" s="309">
        <v>294412.42</v>
      </c>
      <c r="G7" s="310">
        <v>266465.21899999998</v>
      </c>
      <c r="H7" s="354">
        <f>IF(F7=0, "    ---- ", IF(ABS(ROUND(100/F7*G7-100,1))&lt;999,ROUND(100/F7*G7-100,1),IF(ROUND(100/F7*G7-100,1)&gt;999,999,-999)))</f>
        <v>-9.5</v>
      </c>
      <c r="I7" s="160">
        <f>IFERROR(100/'Skjema total MA'!F7*G7,0)</f>
        <v>4.8473264606352755</v>
      </c>
      <c r="J7" s="311">
        <f t="shared" ref="J7:K12" si="0">SUM(B7,F7)</f>
        <v>494518.64299999998</v>
      </c>
      <c r="K7" s="312">
        <f t="shared" si="0"/>
        <v>477466.71600000001</v>
      </c>
      <c r="L7" s="431">
        <f>IF(J7=0, "    ---- ", IF(ABS(ROUND(100/J7*K7-100,1))&lt;999,ROUND(100/J7*K7-100,1),IF(ROUND(100/J7*K7-100,1)&gt;999,999,-999)))</f>
        <v>-3.4</v>
      </c>
      <c r="M7" s="11">
        <f>IFERROR(100/'Skjema total MA'!I7*K7,0)</f>
        <v>5.297054989104697</v>
      </c>
      <c r="O7" s="148"/>
    </row>
    <row r="8" spans="1:15" ht="15.75" x14ac:dyDescent="0.2">
      <c r="A8" s="21" t="s">
        <v>25</v>
      </c>
      <c r="B8" s="284">
        <v>99855.937000000005</v>
      </c>
      <c r="C8" s="285">
        <v>101963.326</v>
      </c>
      <c r="D8" s="166">
        <f t="shared" ref="D8:D10" si="1">IF(B8=0, "    ---- ", IF(ABS(ROUND(100/B8*C8-100,1))&lt;999,ROUND(100/B8*C8-100,1),IF(ROUND(100/B8*C8-100,1)&gt;999,999,-999)))</f>
        <v>2.1</v>
      </c>
      <c r="E8" s="27">
        <f>IFERROR(100/'Skjema total MA'!C8*C8,0)</f>
        <v>4.8475022301576756</v>
      </c>
      <c r="F8" s="288"/>
      <c r="G8" s="289"/>
      <c r="H8" s="166"/>
      <c r="I8" s="176"/>
      <c r="J8" s="235">
        <f t="shared" si="0"/>
        <v>99855.937000000005</v>
      </c>
      <c r="K8" s="290">
        <f t="shared" si="0"/>
        <v>101963.326</v>
      </c>
      <c r="L8" s="257"/>
      <c r="M8" s="27">
        <f>IFERROR(100/'Skjema total MA'!I8*K8,0)</f>
        <v>4.8475022301576756</v>
      </c>
      <c r="O8" s="148"/>
    </row>
    <row r="9" spans="1:15" ht="15.75" x14ac:dyDescent="0.2">
      <c r="A9" s="21" t="s">
        <v>24</v>
      </c>
      <c r="B9" s="284">
        <v>59231.656000000003</v>
      </c>
      <c r="C9" s="285">
        <v>55546.400999999998</v>
      </c>
      <c r="D9" s="166">
        <f t="shared" si="1"/>
        <v>-6.2</v>
      </c>
      <c r="E9" s="27">
        <f>IFERROR(100/'Skjema total MA'!C9*C9,0)</f>
        <v>7.1047543359414274</v>
      </c>
      <c r="F9" s="288"/>
      <c r="G9" s="289"/>
      <c r="H9" s="166"/>
      <c r="I9" s="176"/>
      <c r="J9" s="235">
        <f t="shared" si="0"/>
        <v>59231.656000000003</v>
      </c>
      <c r="K9" s="290">
        <f t="shared" si="0"/>
        <v>55546.400999999998</v>
      </c>
      <c r="L9" s="257"/>
      <c r="M9" s="27">
        <f>IFERROR(100/'Skjema total MA'!I9*K9,0)</f>
        <v>7.1047543359414274</v>
      </c>
      <c r="O9" s="148"/>
    </row>
    <row r="10" spans="1:15" ht="15.75" x14ac:dyDescent="0.2">
      <c r="A10" s="13" t="s">
        <v>376</v>
      </c>
      <c r="B10" s="313">
        <v>334898.34100000001</v>
      </c>
      <c r="C10" s="314">
        <v>335236.36099999998</v>
      </c>
      <c r="D10" s="171">
        <f t="shared" si="1"/>
        <v>0.1</v>
      </c>
      <c r="E10" s="11">
        <f>IFERROR(100/'Skjema total MA'!C10*C10,0)</f>
        <v>1.5804478323624556</v>
      </c>
      <c r="F10" s="313">
        <v>2366582.773</v>
      </c>
      <c r="G10" s="314">
        <v>2636128.176</v>
      </c>
      <c r="H10" s="171">
        <f t="shared" ref="H10:H12" si="2">IF(F10=0, "    ---- ", IF(ABS(ROUND(100/F10*G10-100,1))&lt;999,ROUND(100/F10*G10-100,1),IF(ROUND(100/F10*G10-100,1)&gt;999,999,-999)))</f>
        <v>11.4</v>
      </c>
      <c r="I10" s="160">
        <f>IFERROR(100/'Skjema total MA'!F10*G10,0)</f>
        <v>5.9097123384467807</v>
      </c>
      <c r="J10" s="311">
        <f t="shared" si="0"/>
        <v>2701481.1140000001</v>
      </c>
      <c r="K10" s="312">
        <f t="shared" si="0"/>
        <v>2971364.537</v>
      </c>
      <c r="L10" s="432">
        <f t="shared" ref="L10:L12" si="3">IF(J10=0, "    ---- ", IF(ABS(ROUND(100/J10*K10-100,1))&lt;999,ROUND(100/J10*K10-100,1),IF(ROUND(100/J10*K10-100,1)&gt;999,999,-999)))</f>
        <v>10</v>
      </c>
      <c r="M10" s="11">
        <f>IFERROR(100/'Skjema total MA'!I10*K10,0)</f>
        <v>4.5145037138218793</v>
      </c>
      <c r="O10" s="148"/>
    </row>
    <row r="11" spans="1:15" s="43" customFormat="1" ht="15.75" x14ac:dyDescent="0.2">
      <c r="A11" s="13" t="s">
        <v>377</v>
      </c>
      <c r="B11" s="313"/>
      <c r="C11" s="314"/>
      <c r="D11" s="171"/>
      <c r="E11" s="11"/>
      <c r="F11" s="313">
        <v>53433.341999999997</v>
      </c>
      <c r="G11" s="314">
        <v>9394.7929999999997</v>
      </c>
      <c r="H11" s="171">
        <f t="shared" si="2"/>
        <v>-82.4</v>
      </c>
      <c r="I11" s="160">
        <f>IFERROR(100/'Skjema total MA'!F11*G11,0)</f>
        <v>4.5746537716037112</v>
      </c>
      <c r="J11" s="311">
        <f t="shared" si="0"/>
        <v>53433.341999999997</v>
      </c>
      <c r="K11" s="312">
        <f t="shared" si="0"/>
        <v>9394.7929999999997</v>
      </c>
      <c r="L11" s="432">
        <f t="shared" si="3"/>
        <v>-82.4</v>
      </c>
      <c r="M11" s="11">
        <f>IFERROR(100/'Skjema total MA'!I11*K11,0)</f>
        <v>4.1222009011063463</v>
      </c>
      <c r="N11" s="143"/>
      <c r="O11" s="148"/>
    </row>
    <row r="12" spans="1:15" s="43" customFormat="1" ht="15.75" x14ac:dyDescent="0.2">
      <c r="A12" s="41" t="s">
        <v>378</v>
      </c>
      <c r="B12" s="315"/>
      <c r="C12" s="316"/>
      <c r="D12" s="169"/>
      <c r="E12" s="36"/>
      <c r="F12" s="315">
        <v>18497.522000000001</v>
      </c>
      <c r="G12" s="316">
        <v>31312.755000000001</v>
      </c>
      <c r="H12" s="169">
        <f t="shared" si="2"/>
        <v>69.3</v>
      </c>
      <c r="I12" s="169">
        <f>IFERROR(100/'Skjema total MA'!F12*G12,0)</f>
        <v>18.068650663448757</v>
      </c>
      <c r="J12" s="317">
        <f t="shared" si="0"/>
        <v>18497.522000000001</v>
      </c>
      <c r="K12" s="318">
        <f t="shared" si="0"/>
        <v>31312.755000000001</v>
      </c>
      <c r="L12" s="433">
        <f t="shared" si="3"/>
        <v>69.3</v>
      </c>
      <c r="M12" s="36">
        <f>IFERROR(100/'Skjema total MA'!I12*K12,0)</f>
        <v>18.060417640580756</v>
      </c>
      <c r="N12" s="143"/>
      <c r="O12" s="148"/>
    </row>
    <row r="13" spans="1:15" s="43" customFormat="1" x14ac:dyDescent="0.2">
      <c r="A13" s="168"/>
      <c r="B13" s="145"/>
      <c r="C13" s="33"/>
      <c r="D13" s="159"/>
      <c r="E13" s="159"/>
      <c r="F13" s="145"/>
      <c r="G13" s="33"/>
      <c r="H13" s="159"/>
      <c r="I13" s="159"/>
      <c r="J13" s="48"/>
      <c r="K13" s="48"/>
      <c r="L13" s="159"/>
      <c r="M13" s="159"/>
      <c r="N13" s="143"/>
      <c r="O13" s="430"/>
    </row>
    <row r="14" spans="1:15" x14ac:dyDescent="0.2">
      <c r="A14" s="153" t="s">
        <v>286</v>
      </c>
      <c r="B14" s="26"/>
      <c r="O14" s="148"/>
    </row>
    <row r="15" spans="1:15" x14ac:dyDescent="0.2">
      <c r="F15" s="146"/>
      <c r="G15" s="146"/>
      <c r="H15" s="146"/>
      <c r="I15" s="146"/>
      <c r="J15" s="146"/>
      <c r="K15" s="146"/>
      <c r="L15" s="146"/>
      <c r="M15" s="146"/>
      <c r="O15" s="148"/>
    </row>
    <row r="16" spans="1:15" s="3" customFormat="1" ht="15.75" x14ac:dyDescent="0.25">
      <c r="A16" s="164"/>
      <c r="B16" s="148"/>
      <c r="C16" s="154"/>
      <c r="D16" s="154"/>
      <c r="E16" s="154"/>
      <c r="F16" s="154"/>
      <c r="G16" s="154"/>
      <c r="H16" s="154"/>
      <c r="I16" s="154"/>
      <c r="J16" s="154"/>
      <c r="K16" s="154"/>
      <c r="L16" s="154"/>
      <c r="M16" s="154"/>
      <c r="N16" s="148"/>
      <c r="O16" s="148"/>
    </row>
    <row r="17" spans="1:15" ht="15.75" x14ac:dyDescent="0.25">
      <c r="A17" s="147" t="s">
        <v>283</v>
      </c>
      <c r="B17" s="157"/>
      <c r="C17" s="157"/>
      <c r="D17" s="151"/>
      <c r="E17" s="151"/>
      <c r="F17" s="157"/>
      <c r="G17" s="157"/>
      <c r="H17" s="157"/>
      <c r="I17" s="157"/>
      <c r="J17" s="157"/>
      <c r="K17" s="157"/>
      <c r="L17" s="157"/>
      <c r="M17" s="157"/>
      <c r="O17" s="148"/>
    </row>
    <row r="18" spans="1:15" ht="15.75" x14ac:dyDescent="0.25">
      <c r="B18" s="729"/>
      <c r="C18" s="729"/>
      <c r="D18" s="729"/>
      <c r="E18" s="410"/>
      <c r="F18" s="729"/>
      <c r="G18" s="729"/>
      <c r="H18" s="729"/>
      <c r="I18" s="410"/>
      <c r="J18" s="729"/>
      <c r="K18" s="729"/>
      <c r="L18" s="729"/>
      <c r="M18" s="410"/>
      <c r="O18" s="148"/>
    </row>
    <row r="19" spans="1:15" x14ac:dyDescent="0.2">
      <c r="A19" s="144"/>
      <c r="B19" s="726" t="s">
        <v>0</v>
      </c>
      <c r="C19" s="727"/>
      <c r="D19" s="727"/>
      <c r="E19" s="409"/>
      <c r="F19" s="726" t="s">
        <v>1</v>
      </c>
      <c r="G19" s="727"/>
      <c r="H19" s="727"/>
      <c r="I19" s="412"/>
      <c r="J19" s="726" t="s">
        <v>2</v>
      </c>
      <c r="K19" s="727"/>
      <c r="L19" s="727"/>
      <c r="M19" s="412"/>
      <c r="O19" s="148"/>
    </row>
    <row r="20" spans="1:15" x14ac:dyDescent="0.2">
      <c r="A20" s="140" t="s">
        <v>5</v>
      </c>
      <c r="B20" s="244" t="s">
        <v>413</v>
      </c>
      <c r="C20" s="244" t="s">
        <v>414</v>
      </c>
      <c r="D20" s="162" t="s">
        <v>3</v>
      </c>
      <c r="E20" s="308" t="s">
        <v>29</v>
      </c>
      <c r="F20" s="244" t="s">
        <v>413</v>
      </c>
      <c r="G20" s="244" t="s">
        <v>414</v>
      </c>
      <c r="H20" s="162" t="s">
        <v>3</v>
      </c>
      <c r="I20" s="162" t="s">
        <v>29</v>
      </c>
      <c r="J20" s="244" t="s">
        <v>413</v>
      </c>
      <c r="K20" s="244" t="s">
        <v>414</v>
      </c>
      <c r="L20" s="162" t="s">
        <v>3</v>
      </c>
      <c r="M20" s="162" t="s">
        <v>29</v>
      </c>
      <c r="O20" s="148"/>
    </row>
    <row r="21" spans="1:15" x14ac:dyDescent="0.2">
      <c r="A21" s="643"/>
      <c r="B21" s="156"/>
      <c r="C21" s="156"/>
      <c r="D21" s="249" t="s">
        <v>4</v>
      </c>
      <c r="E21" s="420" t="s">
        <v>30</v>
      </c>
      <c r="F21" s="161"/>
      <c r="G21" s="161"/>
      <c r="H21" s="247" t="s">
        <v>4</v>
      </c>
      <c r="I21" s="156" t="s">
        <v>30</v>
      </c>
      <c r="J21" s="161"/>
      <c r="K21" s="161"/>
      <c r="L21" s="156" t="s">
        <v>4</v>
      </c>
      <c r="M21" s="156" t="s">
        <v>30</v>
      </c>
      <c r="O21" s="148"/>
    </row>
    <row r="22" spans="1:15" ht="15.75" x14ac:dyDescent="0.2">
      <c r="A22" s="14" t="s">
        <v>23</v>
      </c>
      <c r="B22" s="319">
        <v>13236.677</v>
      </c>
      <c r="C22" s="319">
        <v>12203.633</v>
      </c>
      <c r="D22" s="354">
        <f t="shared" ref="D22:D29" si="4">IF(B22=0, "    ---- ", IF(ABS(ROUND(100/B22*C22-100,1))&lt;999,ROUND(100/B22*C22-100,1),IF(ROUND(100/B22*C22-100,1)&gt;999,999,-999)))</f>
        <v>-7.8</v>
      </c>
      <c r="E22" s="11">
        <f>IFERROR(100/'Skjema total MA'!C22*C22,0)</f>
        <v>1.0164613913920924</v>
      </c>
      <c r="F22" s="321">
        <v>6751.049</v>
      </c>
      <c r="G22" s="321">
        <v>39876.353000000003</v>
      </c>
      <c r="H22" s="354">
        <f t="shared" ref="H22:H35" si="5">IF(F22=0, "    ---- ", IF(ABS(ROUND(100/F22*G22-100,1))&lt;999,ROUND(100/F22*G22-100,1),IF(ROUND(100/F22*G22-100,1)&gt;999,999,-999)))</f>
        <v>490.7</v>
      </c>
      <c r="I22" s="160">
        <f>IFERROR(100/'Skjema total MA'!F22*G22,0)</f>
        <v>5.1682409579905855</v>
      </c>
      <c r="J22" s="319">
        <f t="shared" ref="J22:K35" si="6">SUM(B22,F22)</f>
        <v>19987.725999999999</v>
      </c>
      <c r="K22" s="319">
        <f t="shared" si="6"/>
        <v>52079.986000000004</v>
      </c>
      <c r="L22" s="431">
        <f t="shared" ref="L22:L35" si="7">IF(J22=0, "    ---- ", IF(ABS(ROUND(100/J22*K22-100,1))&lt;999,ROUND(100/J22*K22-100,1),IF(ROUND(100/J22*K22-100,1)&gt;999,999,-999)))</f>
        <v>160.6</v>
      </c>
      <c r="M22" s="24">
        <f>IFERROR(100/'Skjema total MA'!I22*K22,0)</f>
        <v>2.6407519105844237</v>
      </c>
      <c r="O22" s="148"/>
    </row>
    <row r="23" spans="1:15" ht="15.75" x14ac:dyDescent="0.2">
      <c r="A23" s="619" t="s">
        <v>379</v>
      </c>
      <c r="B23" s="284"/>
      <c r="C23" s="284"/>
      <c r="D23" s="166"/>
      <c r="E23" s="11"/>
      <c r="F23" s="293"/>
      <c r="G23" s="293">
        <v>4218.8090000000002</v>
      </c>
      <c r="H23" s="171" t="str">
        <f t="shared" si="5"/>
        <v xml:space="preserve">    ---- </v>
      </c>
      <c r="I23" s="241">
        <f>IFERROR(100/'Skjema total MA'!F23*G23,0)</f>
        <v>3.3283914790985194</v>
      </c>
      <c r="J23" s="293"/>
      <c r="K23" s="293">
        <f t="shared" ref="K23:K26" si="8">SUM(C23,G23)</f>
        <v>4218.8090000000002</v>
      </c>
      <c r="L23" s="171" t="str">
        <f t="shared" si="7"/>
        <v xml:space="preserve">    ---- </v>
      </c>
      <c r="M23" s="23">
        <f>IFERROR(100/'Skjema total MA'!I23*K23,0)</f>
        <v>0.42151607945442982</v>
      </c>
      <c r="O23" s="148"/>
    </row>
    <row r="24" spans="1:15" ht="15.75" x14ac:dyDescent="0.2">
      <c r="A24" s="619" t="s">
        <v>380</v>
      </c>
      <c r="B24" s="284"/>
      <c r="C24" s="284"/>
      <c r="D24" s="166"/>
      <c r="E24" s="11"/>
      <c r="F24" s="293"/>
      <c r="G24" s="293"/>
      <c r="H24" s="171"/>
      <c r="I24" s="241"/>
      <c r="J24" s="293"/>
      <c r="K24" s="293"/>
      <c r="L24" s="166"/>
      <c r="M24" s="23"/>
      <c r="O24" s="148"/>
    </row>
    <row r="25" spans="1:15" ht="15.75" x14ac:dyDescent="0.2">
      <c r="A25" s="619" t="s">
        <v>381</v>
      </c>
      <c r="B25" s="284"/>
      <c r="C25" s="284"/>
      <c r="D25" s="166"/>
      <c r="E25" s="11"/>
      <c r="F25" s="293"/>
      <c r="G25" s="293">
        <v>1320.5219999999999</v>
      </c>
      <c r="H25" s="171" t="str">
        <f t="shared" si="5"/>
        <v xml:space="preserve">    ---- </v>
      </c>
      <c r="I25" s="241">
        <f>IFERROR(100/'Skjema total MA'!F25*G25,0)</f>
        <v>1.4258753179594725</v>
      </c>
      <c r="J25" s="293"/>
      <c r="K25" s="293">
        <f t="shared" si="8"/>
        <v>1320.5219999999999</v>
      </c>
      <c r="L25" s="171" t="str">
        <f t="shared" ref="L25:L27" si="9">IF(J25=0, "    ---- ", IF(ABS(ROUND(100/J25*K25-100,1))&lt;999,ROUND(100/J25*K25-100,1),IF(ROUND(100/J25*K25-100,1)&gt;999,999,-999)))</f>
        <v xml:space="preserve">    ---- </v>
      </c>
      <c r="M25" s="23">
        <f>IFERROR(100/'Skjema total MA'!I25*K25,0)</f>
        <v>1.1262128554530146</v>
      </c>
      <c r="O25" s="148"/>
    </row>
    <row r="26" spans="1:15" ht="15.75" x14ac:dyDescent="0.2">
      <c r="A26" s="619" t="s">
        <v>382</v>
      </c>
      <c r="B26" s="284"/>
      <c r="C26" s="284"/>
      <c r="D26" s="166"/>
      <c r="E26" s="11"/>
      <c r="F26" s="293"/>
      <c r="G26" s="293">
        <v>34337.021999999997</v>
      </c>
      <c r="H26" s="171" t="str">
        <f t="shared" si="5"/>
        <v xml:space="preserve">    ---- </v>
      </c>
      <c r="I26" s="241">
        <f>IFERROR(100/'Skjema total MA'!F26*G26,0)</f>
        <v>6.2184834404425953</v>
      </c>
      <c r="J26" s="293"/>
      <c r="K26" s="293">
        <f t="shared" si="8"/>
        <v>34337.021999999997</v>
      </c>
      <c r="L26" s="171" t="str">
        <f t="shared" si="9"/>
        <v xml:space="preserve">    ---- </v>
      </c>
      <c r="M26" s="23">
        <f>IFERROR(100/'Skjema total MA'!I26*K26,0)</f>
        <v>6.2184834404425953</v>
      </c>
      <c r="O26" s="148"/>
    </row>
    <row r="27" spans="1:15" x14ac:dyDescent="0.2">
      <c r="A27" s="619" t="s">
        <v>11</v>
      </c>
      <c r="B27" s="284"/>
      <c r="C27" s="284"/>
      <c r="D27" s="166"/>
      <c r="E27" s="11"/>
      <c r="F27" s="293"/>
      <c r="G27" s="293"/>
      <c r="H27" s="166"/>
      <c r="I27" s="241"/>
      <c r="J27" s="293"/>
      <c r="K27" s="293"/>
      <c r="L27" s="171" t="str">
        <f t="shared" si="9"/>
        <v xml:space="preserve">    ---- </v>
      </c>
      <c r="M27" s="23"/>
      <c r="O27" s="148"/>
    </row>
    <row r="28" spans="1:15" ht="15.75" x14ac:dyDescent="0.2">
      <c r="A28" s="49" t="s">
        <v>287</v>
      </c>
      <c r="B28" s="44">
        <v>13236.677</v>
      </c>
      <c r="C28" s="290">
        <v>12203.633</v>
      </c>
      <c r="D28" s="166">
        <f t="shared" si="4"/>
        <v>-7.8</v>
      </c>
      <c r="E28" s="11">
        <f>IFERROR(100/'Skjema total MA'!C28*C28,0)</f>
        <v>0.85325984872609184</v>
      </c>
      <c r="F28" s="235"/>
      <c r="G28" s="290"/>
      <c r="H28" s="166"/>
      <c r="I28" s="176"/>
      <c r="J28" s="44">
        <f t="shared" si="6"/>
        <v>13236.677</v>
      </c>
      <c r="K28" s="44">
        <f t="shared" si="6"/>
        <v>12203.633</v>
      </c>
      <c r="L28" s="257">
        <f t="shared" si="7"/>
        <v>-7.8</v>
      </c>
      <c r="M28" s="23">
        <f>IFERROR(100/'Skjema total MA'!I28*K28,0)</f>
        <v>0.85325984872609184</v>
      </c>
      <c r="O28" s="148"/>
    </row>
    <row r="29" spans="1:15" s="3" customFormat="1" ht="15.75" x14ac:dyDescent="0.2">
      <c r="A29" s="13" t="s">
        <v>376</v>
      </c>
      <c r="B29" s="237">
        <v>71440.718999999997</v>
      </c>
      <c r="C29" s="237">
        <v>88295.493000000002</v>
      </c>
      <c r="D29" s="171">
        <f t="shared" si="4"/>
        <v>23.6</v>
      </c>
      <c r="E29" s="11">
        <f>IFERROR(100/'Skjema total MA'!C29*C29,0)</f>
        <v>0.18323444664830371</v>
      </c>
      <c r="F29" s="311">
        <v>2223325.6170000001</v>
      </c>
      <c r="G29" s="311">
        <v>2197831.4640000002</v>
      </c>
      <c r="H29" s="171">
        <f t="shared" si="5"/>
        <v>-1.1000000000000001</v>
      </c>
      <c r="I29" s="160">
        <f>IFERROR(100/'Skjema total MA'!F29*G29,0)</f>
        <v>10.669370486410706</v>
      </c>
      <c r="J29" s="237">
        <f t="shared" si="6"/>
        <v>2294766.3360000001</v>
      </c>
      <c r="K29" s="237">
        <f t="shared" si="6"/>
        <v>2286126.9569999999</v>
      </c>
      <c r="L29" s="432">
        <f t="shared" si="7"/>
        <v>-0.4</v>
      </c>
      <c r="M29" s="24">
        <f>IFERROR(100/'Skjema total MA'!I29*K29,0)</f>
        <v>3.3235054071229531</v>
      </c>
      <c r="N29" s="148"/>
      <c r="O29" s="148"/>
    </row>
    <row r="30" spans="1:15" s="3" customFormat="1" ht="15.75" x14ac:dyDescent="0.2">
      <c r="A30" s="619" t="s">
        <v>379</v>
      </c>
      <c r="B30" s="284"/>
      <c r="C30" s="284"/>
      <c r="D30" s="166"/>
      <c r="E30" s="11"/>
      <c r="F30" s="293"/>
      <c r="G30" s="293">
        <v>672636.64399999997</v>
      </c>
      <c r="H30" s="171" t="str">
        <f t="shared" si="5"/>
        <v xml:space="preserve">    ---- </v>
      </c>
      <c r="I30" s="241">
        <f>IFERROR(100/'Skjema total MA'!F30*G30,0)</f>
        <v>15.25461713202151</v>
      </c>
      <c r="J30" s="293"/>
      <c r="K30" s="293">
        <f t="shared" ref="K30:K33" si="10">SUM(C30,G30)</f>
        <v>672636.64399999997</v>
      </c>
      <c r="L30" s="171" t="str">
        <f t="shared" si="7"/>
        <v xml:space="preserve">    ---- </v>
      </c>
      <c r="M30" s="23">
        <f>IFERROR(100/'Skjema total MA'!I30*K30,0)</f>
        <v>3.8163009702531276</v>
      </c>
      <c r="N30" s="148"/>
      <c r="O30" s="148"/>
    </row>
    <row r="31" spans="1:15" s="3" customFormat="1" ht="15.75" x14ac:dyDescent="0.2">
      <c r="A31" s="619" t="s">
        <v>380</v>
      </c>
      <c r="B31" s="284"/>
      <c r="C31" s="284"/>
      <c r="D31" s="166"/>
      <c r="E31" s="11"/>
      <c r="F31" s="293"/>
      <c r="G31" s="293">
        <v>1356067.973</v>
      </c>
      <c r="H31" s="171" t="str">
        <f t="shared" si="5"/>
        <v xml:space="preserve">    ---- </v>
      </c>
      <c r="I31" s="241">
        <f>IFERROR(100/'Skjema total MA'!F31*G31,0)</f>
        <v>12.982562941501447</v>
      </c>
      <c r="J31" s="293"/>
      <c r="K31" s="293">
        <f t="shared" si="10"/>
        <v>1356067.973</v>
      </c>
      <c r="L31" s="171" t="str">
        <f t="shared" si="7"/>
        <v xml:space="preserve">    ---- </v>
      </c>
      <c r="M31" s="23">
        <f>IFERROR(100/'Skjema total MA'!I31*K31,0)</f>
        <v>3.2715559916030155</v>
      </c>
      <c r="N31" s="148"/>
      <c r="O31" s="148"/>
    </row>
    <row r="32" spans="1:15" ht="15.75" x14ac:dyDescent="0.2">
      <c r="A32" s="619" t="s">
        <v>381</v>
      </c>
      <c r="B32" s="284"/>
      <c r="C32" s="284"/>
      <c r="D32" s="166"/>
      <c r="E32" s="11"/>
      <c r="F32" s="293"/>
      <c r="G32" s="293">
        <v>79108.953999999998</v>
      </c>
      <c r="H32" s="171" t="str">
        <f t="shared" si="5"/>
        <v xml:space="preserve">    ---- </v>
      </c>
      <c r="I32" s="241">
        <f>IFERROR(100/'Skjema total MA'!F32*G32,0)</f>
        <v>1.8405197962477047</v>
      </c>
      <c r="J32" s="293"/>
      <c r="K32" s="293">
        <f t="shared" si="10"/>
        <v>79108.953999999998</v>
      </c>
      <c r="L32" s="171" t="str">
        <f t="shared" si="7"/>
        <v xml:space="preserve">    ---- </v>
      </c>
      <c r="M32" s="23">
        <f>IFERROR(100/'Skjema total MA'!I32*K32,0)</f>
        <v>1.1911077796405543</v>
      </c>
      <c r="O32" s="148"/>
    </row>
    <row r="33" spans="1:15" ht="15.75" x14ac:dyDescent="0.2">
      <c r="A33" s="619" t="s">
        <v>382</v>
      </c>
      <c r="B33" s="284"/>
      <c r="C33" s="284"/>
      <c r="D33" s="166"/>
      <c r="E33" s="11"/>
      <c r="F33" s="293"/>
      <c r="G33" s="293">
        <v>90017.892999999996</v>
      </c>
      <c r="H33" s="171" t="str">
        <f t="shared" si="5"/>
        <v xml:space="preserve">    ---- </v>
      </c>
      <c r="I33" s="241">
        <f>IFERROR(100/'Skjema total MA'!F34*G33,0)</f>
        <v>179.23035860711133</v>
      </c>
      <c r="J33" s="293"/>
      <c r="K33" s="293">
        <f t="shared" si="10"/>
        <v>90017.892999999996</v>
      </c>
      <c r="L33" s="171" t="str">
        <f t="shared" si="7"/>
        <v xml:space="preserve">    ---- </v>
      </c>
      <c r="M33" s="23">
        <f>IFERROR(100/'Skjema total MA'!I34*K33,0)</f>
        <v>126.00636754082012</v>
      </c>
      <c r="O33" s="148"/>
    </row>
    <row r="34" spans="1:15" ht="15.75" x14ac:dyDescent="0.2">
      <c r="A34" s="13" t="s">
        <v>377</v>
      </c>
      <c r="B34" s="237"/>
      <c r="C34" s="312"/>
      <c r="D34" s="171"/>
      <c r="E34" s="11"/>
      <c r="F34" s="311">
        <v>21509.809000000001</v>
      </c>
      <c r="G34" s="312">
        <v>8616.0249999999996</v>
      </c>
      <c r="H34" s="171">
        <f t="shared" si="5"/>
        <v>-59.9</v>
      </c>
      <c r="I34" s="160">
        <f>IFERROR(100/'Skjema total MA'!F34*G34,0)</f>
        <v>17.1549588537674</v>
      </c>
      <c r="J34" s="237">
        <f t="shared" si="6"/>
        <v>21509.809000000001</v>
      </c>
      <c r="K34" s="237">
        <f t="shared" si="6"/>
        <v>8616.0249999999996</v>
      </c>
      <c r="L34" s="432">
        <f t="shared" si="7"/>
        <v>-59.9</v>
      </c>
      <c r="M34" s="24">
        <f>IFERROR(100/'Skjema total MA'!I34*K34,0)</f>
        <v>12.060646797086161</v>
      </c>
      <c r="O34" s="148"/>
    </row>
    <row r="35" spans="1:15" ht="15.75" x14ac:dyDescent="0.2">
      <c r="A35" s="13" t="s">
        <v>378</v>
      </c>
      <c r="B35" s="237"/>
      <c r="C35" s="312"/>
      <c r="D35" s="171"/>
      <c r="E35" s="11"/>
      <c r="F35" s="311">
        <v>16763.870999999999</v>
      </c>
      <c r="G35" s="312">
        <v>10817.683999999999</v>
      </c>
      <c r="H35" s="171">
        <f t="shared" si="5"/>
        <v>-35.5</v>
      </c>
      <c r="I35" s="160">
        <f>IFERROR(100/'Skjema total MA'!F35*G35,0)</f>
        <v>13.610160556068262</v>
      </c>
      <c r="J35" s="237">
        <f t="shared" si="6"/>
        <v>16763.870999999999</v>
      </c>
      <c r="K35" s="237">
        <f t="shared" si="6"/>
        <v>10817.683999999999</v>
      </c>
      <c r="L35" s="432">
        <f t="shared" si="7"/>
        <v>-35.5</v>
      </c>
      <c r="M35" s="24">
        <f>IFERROR(100/'Skjema total MA'!I35*K35,0)</f>
        <v>19.593847953292581</v>
      </c>
      <c r="O35" s="148"/>
    </row>
    <row r="36" spans="1:15" ht="15.75" x14ac:dyDescent="0.2">
      <c r="A36" s="12" t="s">
        <v>295</v>
      </c>
      <c r="B36" s="237"/>
      <c r="C36" s="312"/>
      <c r="D36" s="171"/>
      <c r="E36" s="11"/>
      <c r="F36" s="322"/>
      <c r="G36" s="323"/>
      <c r="H36" s="171"/>
      <c r="I36" s="434"/>
      <c r="J36" s="237"/>
      <c r="K36" s="237"/>
      <c r="L36" s="432"/>
      <c r="M36" s="24"/>
      <c r="O36" s="148"/>
    </row>
    <row r="37" spans="1:15" ht="15.75" x14ac:dyDescent="0.2">
      <c r="A37" s="12" t="s">
        <v>384</v>
      </c>
      <c r="B37" s="237"/>
      <c r="C37" s="312"/>
      <c r="D37" s="171"/>
      <c r="E37" s="11"/>
      <c r="F37" s="322"/>
      <c r="G37" s="324"/>
      <c r="H37" s="171"/>
      <c r="I37" s="434"/>
      <c r="J37" s="237"/>
      <c r="K37" s="237"/>
      <c r="L37" s="432"/>
      <c r="M37" s="24"/>
      <c r="O37" s="148"/>
    </row>
    <row r="38" spans="1:15" ht="15.75" x14ac:dyDescent="0.2">
      <c r="A38" s="12" t="s">
        <v>385</v>
      </c>
      <c r="B38" s="237"/>
      <c r="C38" s="312"/>
      <c r="D38" s="171"/>
      <c r="E38" s="24"/>
      <c r="F38" s="322"/>
      <c r="G38" s="323"/>
      <c r="H38" s="171"/>
      <c r="I38" s="434"/>
      <c r="J38" s="237"/>
      <c r="K38" s="237"/>
      <c r="L38" s="432"/>
      <c r="M38" s="24"/>
      <c r="O38" s="148"/>
    </row>
    <row r="39" spans="1:15" ht="15.75" x14ac:dyDescent="0.2">
      <c r="A39" s="18" t="s">
        <v>386</v>
      </c>
      <c r="B39" s="279"/>
      <c r="C39" s="318"/>
      <c r="D39" s="169"/>
      <c r="E39" s="36"/>
      <c r="F39" s="325"/>
      <c r="G39" s="326"/>
      <c r="H39" s="169"/>
      <c r="I39" s="169"/>
      <c r="J39" s="237"/>
      <c r="K39" s="237"/>
      <c r="L39" s="433"/>
      <c r="M39" s="36"/>
      <c r="O39" s="148"/>
    </row>
    <row r="40" spans="1:15" ht="15.75" x14ac:dyDescent="0.25">
      <c r="A40" s="47"/>
      <c r="B40" s="256"/>
      <c r="C40" s="256"/>
      <c r="D40" s="730"/>
      <c r="E40" s="730"/>
      <c r="F40" s="730"/>
      <c r="G40" s="730"/>
      <c r="H40" s="730"/>
      <c r="I40" s="730"/>
      <c r="J40" s="730"/>
      <c r="K40" s="730"/>
      <c r="L40" s="730"/>
      <c r="M40" s="411"/>
      <c r="O40" s="148"/>
    </row>
    <row r="41" spans="1:15" x14ac:dyDescent="0.2">
      <c r="A41" s="155"/>
      <c r="O41" s="148"/>
    </row>
    <row r="42" spans="1:15" ht="15.75" x14ac:dyDescent="0.25">
      <c r="A42" s="147" t="s">
        <v>284</v>
      </c>
      <c r="B42" s="731"/>
      <c r="C42" s="731"/>
      <c r="D42" s="731"/>
      <c r="E42" s="410"/>
      <c r="F42" s="732"/>
      <c r="G42" s="732"/>
      <c r="H42" s="732"/>
      <c r="I42" s="411"/>
      <c r="J42" s="732"/>
      <c r="K42" s="732"/>
      <c r="L42" s="732"/>
      <c r="M42" s="411"/>
      <c r="O42" s="148"/>
    </row>
    <row r="43" spans="1:15" ht="15.75" x14ac:dyDescent="0.25">
      <c r="A43" s="163"/>
      <c r="B43" s="407"/>
      <c r="C43" s="407"/>
      <c r="D43" s="407"/>
      <c r="E43" s="407"/>
      <c r="F43" s="411"/>
      <c r="G43" s="411"/>
      <c r="H43" s="411"/>
      <c r="I43" s="411"/>
      <c r="J43" s="411"/>
      <c r="K43" s="411"/>
      <c r="L43" s="411"/>
      <c r="M43" s="411"/>
      <c r="O43" s="148"/>
    </row>
    <row r="44" spans="1:15" ht="15.75" x14ac:dyDescent="0.25">
      <c r="A44" s="250"/>
      <c r="B44" s="726" t="s">
        <v>0</v>
      </c>
      <c r="C44" s="727"/>
      <c r="D44" s="727"/>
      <c r="E44" s="245"/>
      <c r="F44" s="411"/>
      <c r="G44" s="411"/>
      <c r="H44" s="411"/>
      <c r="I44" s="411"/>
      <c r="J44" s="411"/>
      <c r="K44" s="411"/>
      <c r="L44" s="411"/>
      <c r="M44" s="411"/>
      <c r="O44" s="148"/>
    </row>
    <row r="45" spans="1:15" s="3" customFormat="1" x14ac:dyDescent="0.2">
      <c r="A45" s="140"/>
      <c r="B45" s="173" t="s">
        <v>413</v>
      </c>
      <c r="C45" s="173" t="s">
        <v>414</v>
      </c>
      <c r="D45" s="162" t="s">
        <v>3</v>
      </c>
      <c r="E45" s="162" t="s">
        <v>29</v>
      </c>
      <c r="F45" s="175"/>
      <c r="G45" s="175"/>
      <c r="H45" s="174"/>
      <c r="I45" s="174"/>
      <c r="J45" s="175"/>
      <c r="K45" s="175"/>
      <c r="L45" s="174"/>
      <c r="M45" s="174"/>
      <c r="N45" s="148"/>
      <c r="O45" s="148"/>
    </row>
    <row r="46" spans="1:15" s="3" customFormat="1" x14ac:dyDescent="0.2">
      <c r="A46" s="643"/>
      <c r="B46" s="246"/>
      <c r="C46" s="246"/>
      <c r="D46" s="247" t="s">
        <v>4</v>
      </c>
      <c r="E46" s="156" t="s">
        <v>30</v>
      </c>
      <c r="F46" s="174"/>
      <c r="G46" s="174"/>
      <c r="H46" s="174"/>
      <c r="I46" s="174"/>
      <c r="J46" s="174"/>
      <c r="K46" s="174"/>
      <c r="L46" s="174"/>
      <c r="M46" s="174"/>
      <c r="N46" s="148"/>
      <c r="O46" s="148"/>
    </row>
    <row r="47" spans="1:15" s="3" customFormat="1" ht="15.75" x14ac:dyDescent="0.2">
      <c r="A47" s="14" t="s">
        <v>23</v>
      </c>
      <c r="B47" s="313">
        <v>6337.4849999999997</v>
      </c>
      <c r="C47" s="314">
        <v>6012.0420000000004</v>
      </c>
      <c r="D47" s="431">
        <f t="shared" ref="D47:D48" si="11">IF(B47=0, "    ---- ", IF(ABS(ROUND(100/B47*C47-100,1))&lt;999,ROUND(100/B47*C47-100,1),IF(ROUND(100/B47*C47-100,1)&gt;999,999,-999)))</f>
        <v>-5.0999999999999996</v>
      </c>
      <c r="E47" s="11">
        <f>IFERROR(100/'Skjema total MA'!C47*C47,0)</f>
        <v>0.16293355347893931</v>
      </c>
      <c r="F47" s="145"/>
      <c r="G47" s="33"/>
      <c r="H47" s="159"/>
      <c r="I47" s="159"/>
      <c r="J47" s="37"/>
      <c r="K47" s="37"/>
      <c r="L47" s="159"/>
      <c r="M47" s="159"/>
      <c r="N47" s="148"/>
      <c r="O47" s="148"/>
    </row>
    <row r="48" spans="1:15" s="3" customFormat="1" ht="15.75" x14ac:dyDescent="0.2">
      <c r="A48" s="38" t="s">
        <v>387</v>
      </c>
      <c r="B48" s="284">
        <v>6337.4849999999997</v>
      </c>
      <c r="C48" s="285">
        <v>6012.0420000000004</v>
      </c>
      <c r="D48" s="257">
        <f t="shared" si="11"/>
        <v>-5.0999999999999996</v>
      </c>
      <c r="E48" s="27">
        <f>IFERROR(100/'Skjema total MA'!C48*C48,0)</f>
        <v>0.28774052647588128</v>
      </c>
      <c r="F48" s="145"/>
      <c r="G48" s="33"/>
      <c r="H48" s="145"/>
      <c r="I48" s="145"/>
      <c r="J48" s="33"/>
      <c r="K48" s="33"/>
      <c r="L48" s="159"/>
      <c r="M48" s="159"/>
      <c r="N48" s="148"/>
      <c r="O48" s="148"/>
    </row>
    <row r="49" spans="1:15" s="3" customFormat="1" ht="15.75" x14ac:dyDescent="0.2">
      <c r="A49" s="38" t="s">
        <v>388</v>
      </c>
      <c r="B49" s="44"/>
      <c r="C49" s="290"/>
      <c r="D49" s="257"/>
      <c r="E49" s="27"/>
      <c r="F49" s="145"/>
      <c r="G49" s="33"/>
      <c r="H49" s="145"/>
      <c r="I49" s="145"/>
      <c r="J49" s="37"/>
      <c r="K49" s="37"/>
      <c r="L49" s="159"/>
      <c r="M49" s="159"/>
      <c r="N49" s="148"/>
      <c r="O49" s="148"/>
    </row>
    <row r="50" spans="1:15" s="3" customFormat="1" x14ac:dyDescent="0.2">
      <c r="A50" s="299" t="s">
        <v>6</v>
      </c>
      <c r="B50" s="293"/>
      <c r="C50" s="294"/>
      <c r="D50" s="257"/>
      <c r="E50" s="23"/>
      <c r="F50" s="145"/>
      <c r="G50" s="33"/>
      <c r="H50" s="145"/>
      <c r="I50" s="145"/>
      <c r="J50" s="33"/>
      <c r="K50" s="33"/>
      <c r="L50" s="159"/>
      <c r="M50" s="159"/>
      <c r="N50" s="148"/>
      <c r="O50" s="148"/>
    </row>
    <row r="51" spans="1:15" s="3" customFormat="1" x14ac:dyDescent="0.2">
      <c r="A51" s="299" t="s">
        <v>7</v>
      </c>
      <c r="B51" s="293"/>
      <c r="C51" s="294"/>
      <c r="D51" s="257"/>
      <c r="E51" s="23"/>
      <c r="F51" s="145"/>
      <c r="G51" s="33"/>
      <c r="H51" s="145"/>
      <c r="I51" s="145"/>
      <c r="J51" s="33"/>
      <c r="K51" s="33"/>
      <c r="L51" s="159"/>
      <c r="M51" s="159"/>
      <c r="N51" s="148"/>
      <c r="O51" s="148"/>
    </row>
    <row r="52" spans="1:15" s="3" customFormat="1" x14ac:dyDescent="0.2">
      <c r="A52" s="299" t="s">
        <v>8</v>
      </c>
      <c r="B52" s="293"/>
      <c r="C52" s="294"/>
      <c r="D52" s="257"/>
      <c r="E52" s="23"/>
      <c r="F52" s="145"/>
      <c r="G52" s="33"/>
      <c r="H52" s="145"/>
      <c r="I52" s="145"/>
      <c r="J52" s="33"/>
      <c r="K52" s="33"/>
      <c r="L52" s="159"/>
      <c r="M52" s="159"/>
      <c r="N52" s="148"/>
      <c r="O52" s="148"/>
    </row>
    <row r="53" spans="1:15" s="3" customFormat="1" ht="15.75" x14ac:dyDescent="0.2">
      <c r="A53" s="39" t="s">
        <v>389</v>
      </c>
      <c r="B53" s="313"/>
      <c r="C53" s="314"/>
      <c r="D53" s="432"/>
      <c r="E53" s="11"/>
      <c r="F53" s="145"/>
      <c r="G53" s="33"/>
      <c r="H53" s="145"/>
      <c r="I53" s="145"/>
      <c r="J53" s="33"/>
      <c r="K53" s="33"/>
      <c r="L53" s="159"/>
      <c r="M53" s="159"/>
      <c r="N53" s="148"/>
      <c r="O53" s="148"/>
    </row>
    <row r="54" spans="1:15" s="3" customFormat="1" ht="15.75" x14ac:dyDescent="0.2">
      <c r="A54" s="38" t="s">
        <v>387</v>
      </c>
      <c r="B54" s="284"/>
      <c r="C54" s="285"/>
      <c r="D54" s="257"/>
      <c r="E54" s="27"/>
      <c r="F54" s="145"/>
      <c r="G54" s="33"/>
      <c r="H54" s="145"/>
      <c r="I54" s="145"/>
      <c r="J54" s="33"/>
      <c r="K54" s="33"/>
      <c r="L54" s="159"/>
      <c r="M54" s="159"/>
      <c r="N54" s="148"/>
      <c r="O54" s="148"/>
    </row>
    <row r="55" spans="1:15" s="3" customFormat="1" ht="15.75" x14ac:dyDescent="0.2">
      <c r="A55" s="38" t="s">
        <v>388</v>
      </c>
      <c r="B55" s="284"/>
      <c r="C55" s="285"/>
      <c r="D55" s="257"/>
      <c r="E55" s="27"/>
      <c r="F55" s="145"/>
      <c r="G55" s="33"/>
      <c r="H55" s="145"/>
      <c r="I55" s="145"/>
      <c r="J55" s="33"/>
      <c r="K55" s="33"/>
      <c r="L55" s="159"/>
      <c r="M55" s="159"/>
      <c r="N55" s="148"/>
      <c r="O55" s="148"/>
    </row>
    <row r="56" spans="1:15" s="3" customFormat="1" ht="15.75" x14ac:dyDescent="0.2">
      <c r="A56" s="39" t="s">
        <v>390</v>
      </c>
      <c r="B56" s="313"/>
      <c r="C56" s="314"/>
      <c r="D56" s="432"/>
      <c r="E56" s="11"/>
      <c r="F56" s="145"/>
      <c r="G56" s="33"/>
      <c r="H56" s="145"/>
      <c r="I56" s="145"/>
      <c r="J56" s="33"/>
      <c r="K56" s="33"/>
      <c r="L56" s="159"/>
      <c r="M56" s="159"/>
      <c r="N56" s="148"/>
      <c r="O56" s="148"/>
    </row>
    <row r="57" spans="1:15" s="3" customFormat="1" ht="15.75" x14ac:dyDescent="0.2">
      <c r="A57" s="38" t="s">
        <v>387</v>
      </c>
      <c r="B57" s="284"/>
      <c r="C57" s="285"/>
      <c r="D57" s="257"/>
      <c r="E57" s="27"/>
      <c r="F57" s="145"/>
      <c r="G57" s="33"/>
      <c r="H57" s="145"/>
      <c r="I57" s="145"/>
      <c r="J57" s="33"/>
      <c r="K57" s="33"/>
      <c r="L57" s="159"/>
      <c r="M57" s="159"/>
      <c r="N57" s="148"/>
      <c r="O57" s="148"/>
    </row>
    <row r="58" spans="1:15" s="3" customFormat="1" ht="15.75" x14ac:dyDescent="0.2">
      <c r="A58" s="46" t="s">
        <v>388</v>
      </c>
      <c r="B58" s="286"/>
      <c r="C58" s="287"/>
      <c r="D58" s="258"/>
      <c r="E58" s="22"/>
      <c r="F58" s="145"/>
      <c r="G58" s="33"/>
      <c r="H58" s="145"/>
      <c r="I58" s="145"/>
      <c r="J58" s="33"/>
      <c r="K58" s="33"/>
      <c r="L58" s="159"/>
      <c r="M58" s="159"/>
      <c r="N58" s="148"/>
      <c r="O58" s="148"/>
    </row>
    <row r="59" spans="1:15" s="3" customFormat="1" ht="15.75" x14ac:dyDescent="0.25">
      <c r="A59" s="164"/>
      <c r="B59" s="154"/>
      <c r="C59" s="154"/>
      <c r="D59" s="154"/>
      <c r="E59" s="154"/>
      <c r="F59" s="142"/>
      <c r="G59" s="142"/>
      <c r="H59" s="142"/>
      <c r="I59" s="142"/>
      <c r="J59" s="142"/>
      <c r="K59" s="142"/>
      <c r="L59" s="142"/>
      <c r="M59" s="142"/>
      <c r="N59" s="148"/>
      <c r="O59" s="148"/>
    </row>
    <row r="60" spans="1:15" x14ac:dyDescent="0.2">
      <c r="A60" s="155"/>
      <c r="O60" s="148"/>
    </row>
    <row r="61" spans="1:15" ht="15.75" x14ac:dyDescent="0.25">
      <c r="A61" s="147" t="s">
        <v>285</v>
      </c>
      <c r="C61" s="26"/>
      <c r="D61" s="26"/>
      <c r="E61" s="26"/>
      <c r="F61" s="26"/>
      <c r="G61" s="26"/>
      <c r="H61" s="26"/>
      <c r="I61" s="26"/>
      <c r="J61" s="26"/>
      <c r="K61" s="26"/>
      <c r="L61" s="26"/>
      <c r="M61" s="26"/>
      <c r="O61" s="148"/>
    </row>
    <row r="62" spans="1:15" ht="15.75" x14ac:dyDescent="0.25">
      <c r="B62" s="729"/>
      <c r="C62" s="729"/>
      <c r="D62" s="729"/>
      <c r="E62" s="410"/>
      <c r="F62" s="729"/>
      <c r="G62" s="729"/>
      <c r="H62" s="729"/>
      <c r="I62" s="410"/>
      <c r="J62" s="729"/>
      <c r="K62" s="729"/>
      <c r="L62" s="729"/>
      <c r="M62" s="410"/>
      <c r="O62" s="148"/>
    </row>
    <row r="63" spans="1:15" x14ac:dyDescent="0.2">
      <c r="A63" s="144"/>
      <c r="B63" s="726" t="s">
        <v>0</v>
      </c>
      <c r="C63" s="727"/>
      <c r="D63" s="728"/>
      <c r="E63" s="408"/>
      <c r="F63" s="727" t="s">
        <v>1</v>
      </c>
      <c r="G63" s="727"/>
      <c r="H63" s="727"/>
      <c r="I63" s="412"/>
      <c r="J63" s="726" t="s">
        <v>2</v>
      </c>
      <c r="K63" s="727"/>
      <c r="L63" s="727"/>
      <c r="M63" s="412"/>
      <c r="O63" s="148"/>
    </row>
    <row r="64" spans="1:15" x14ac:dyDescent="0.2">
      <c r="A64" s="140"/>
      <c r="B64" s="152" t="s">
        <v>413</v>
      </c>
      <c r="C64" s="152" t="s">
        <v>414</v>
      </c>
      <c r="D64" s="247" t="s">
        <v>3</v>
      </c>
      <c r="E64" s="308" t="s">
        <v>29</v>
      </c>
      <c r="F64" s="152" t="s">
        <v>413</v>
      </c>
      <c r="G64" s="152" t="s">
        <v>414</v>
      </c>
      <c r="H64" s="247" t="s">
        <v>3</v>
      </c>
      <c r="I64" s="308" t="s">
        <v>29</v>
      </c>
      <c r="J64" s="152" t="s">
        <v>413</v>
      </c>
      <c r="K64" s="152" t="s">
        <v>414</v>
      </c>
      <c r="L64" s="247" t="s">
        <v>3</v>
      </c>
      <c r="M64" s="162" t="s">
        <v>29</v>
      </c>
      <c r="O64" s="148"/>
    </row>
    <row r="65" spans="1:15" x14ac:dyDescent="0.2">
      <c r="A65" s="643"/>
      <c r="B65" s="156"/>
      <c r="C65" s="156"/>
      <c r="D65" s="249" t="s">
        <v>4</v>
      </c>
      <c r="E65" s="156" t="s">
        <v>30</v>
      </c>
      <c r="F65" s="161"/>
      <c r="G65" s="161"/>
      <c r="H65" s="247" t="s">
        <v>4</v>
      </c>
      <c r="I65" s="156" t="s">
        <v>30</v>
      </c>
      <c r="J65" s="161"/>
      <c r="K65" s="207"/>
      <c r="L65" s="156" t="s">
        <v>4</v>
      </c>
      <c r="M65" s="156" t="s">
        <v>30</v>
      </c>
      <c r="O65" s="148"/>
    </row>
    <row r="66" spans="1:15" ht="15.75" x14ac:dyDescent="0.2">
      <c r="A66" s="14" t="s">
        <v>23</v>
      </c>
      <c r="B66" s="357">
        <v>77264.937999999995</v>
      </c>
      <c r="C66" s="357">
        <v>82686.683999999994</v>
      </c>
      <c r="D66" s="354">
        <f t="shared" ref="D66:D124" si="12">IF(B66=0, "    ---- ", IF(ABS(ROUND(100/B66*C66-100,1))&lt;999,ROUND(100/B66*C66-100,1),IF(ROUND(100/B66*C66-100,1)&gt;999,999,-999)))</f>
        <v>7</v>
      </c>
      <c r="E66" s="11">
        <f>IFERROR(100/'Skjema total MA'!C66*C66,0)</f>
        <v>1.1490086099748316</v>
      </c>
      <c r="F66" s="356">
        <v>985435.24300000002</v>
      </c>
      <c r="G66" s="356">
        <v>1072265.53</v>
      </c>
      <c r="H66" s="354">
        <f t="shared" ref="H66:H125" si="13">IF(F66=0, "    ---- ", IF(ABS(ROUND(100/F66*G66-100,1))&lt;999,ROUND(100/F66*G66-100,1),IF(ROUND(100/F66*G66-100,1)&gt;999,999,-999)))</f>
        <v>8.8000000000000007</v>
      </c>
      <c r="I66" s="11">
        <f>IFERROR(100/'Skjema total MA'!F66*G66,0)</f>
        <v>4.9912955003176389</v>
      </c>
      <c r="J66" s="312">
        <f t="shared" ref="J66:K79" si="14">SUM(B66,F66)</f>
        <v>1062700.1810000001</v>
      </c>
      <c r="K66" s="319">
        <f t="shared" si="14"/>
        <v>1154952.2139999999</v>
      </c>
      <c r="L66" s="432">
        <f t="shared" ref="L66:L125" si="15">IF(J66=0, "    ---- ", IF(ABS(ROUND(100/J66*K66-100,1))&lt;999,ROUND(100/J66*K66-100,1),IF(ROUND(100/J66*K66-100,1)&gt;999,999,-999)))</f>
        <v>8.6999999999999993</v>
      </c>
      <c r="M66" s="11">
        <f>IFERROR(100/'Skjema total MA'!I66*K66,0)</f>
        <v>4.0271620128496792</v>
      </c>
      <c r="O66" s="148"/>
    </row>
    <row r="67" spans="1:15" x14ac:dyDescent="0.2">
      <c r="A67" s="21" t="s">
        <v>9</v>
      </c>
      <c r="B67" s="44">
        <v>77264.937999999995</v>
      </c>
      <c r="C67" s="145">
        <v>82686.683999999994</v>
      </c>
      <c r="D67" s="166">
        <f t="shared" si="12"/>
        <v>7</v>
      </c>
      <c r="E67" s="27">
        <f>IFERROR(100/'Skjema total MA'!C67*C67,0)</f>
        <v>1.4256201091577063</v>
      </c>
      <c r="F67" s="235"/>
      <c r="G67" s="145"/>
      <c r="H67" s="166"/>
      <c r="I67" s="27"/>
      <c r="J67" s="290">
        <f t="shared" si="14"/>
        <v>77264.937999999995</v>
      </c>
      <c r="K67" s="44">
        <f t="shared" si="14"/>
        <v>82686.683999999994</v>
      </c>
      <c r="L67" s="257">
        <f t="shared" si="15"/>
        <v>7</v>
      </c>
      <c r="M67" s="27">
        <f>IFERROR(100/'Skjema total MA'!I67*K67,0)</f>
        <v>1.4256201091577063</v>
      </c>
      <c r="O67" s="148"/>
    </row>
    <row r="68" spans="1:15" x14ac:dyDescent="0.2">
      <c r="A68" s="21" t="s">
        <v>10</v>
      </c>
      <c r="B68" s="295"/>
      <c r="C68" s="296"/>
      <c r="D68" s="166"/>
      <c r="E68" s="27"/>
      <c r="F68" s="295">
        <v>985435.24300000002</v>
      </c>
      <c r="G68" s="296">
        <v>1072265.53</v>
      </c>
      <c r="H68" s="166">
        <f t="shared" si="13"/>
        <v>8.8000000000000007</v>
      </c>
      <c r="I68" s="27">
        <f>IFERROR(100/'Skjema total MA'!F68*G68,0)</f>
        <v>5.0630942384481008</v>
      </c>
      <c r="J68" s="290">
        <f t="shared" si="14"/>
        <v>985435.24300000002</v>
      </c>
      <c r="K68" s="44">
        <f t="shared" si="14"/>
        <v>1072265.53</v>
      </c>
      <c r="L68" s="257">
        <f t="shared" si="15"/>
        <v>8.8000000000000007</v>
      </c>
      <c r="M68" s="27">
        <f>IFERROR(100/'Skjema total MA'!I68*K68,0)</f>
        <v>5.031621135983964</v>
      </c>
      <c r="O68" s="148"/>
    </row>
    <row r="69" spans="1:15" ht="15.75" x14ac:dyDescent="0.2">
      <c r="A69" s="299" t="s">
        <v>391</v>
      </c>
      <c r="B69" s="284" t="s">
        <v>422</v>
      </c>
      <c r="C69" s="284" t="s">
        <v>422</v>
      </c>
      <c r="D69" s="166"/>
      <c r="E69" s="421"/>
      <c r="F69" s="284" t="s">
        <v>422</v>
      </c>
      <c r="G69" s="284" t="s">
        <v>422</v>
      </c>
      <c r="H69" s="166"/>
      <c r="I69" s="421"/>
      <c r="J69" s="293"/>
      <c r="K69" s="293"/>
      <c r="L69" s="166"/>
      <c r="M69" s="23"/>
      <c r="O69" s="148"/>
    </row>
    <row r="70" spans="1:15" x14ac:dyDescent="0.2">
      <c r="A70" s="299" t="s">
        <v>12</v>
      </c>
      <c r="B70" s="297"/>
      <c r="C70" s="298"/>
      <c r="D70" s="166"/>
      <c r="E70" s="421"/>
      <c r="F70" s="284" t="s">
        <v>422</v>
      </c>
      <c r="G70" s="284" t="s">
        <v>422</v>
      </c>
      <c r="H70" s="166"/>
      <c r="I70" s="421"/>
      <c r="J70" s="293"/>
      <c r="K70" s="293"/>
      <c r="L70" s="166"/>
      <c r="M70" s="23"/>
      <c r="O70" s="148"/>
    </row>
    <row r="71" spans="1:15" x14ac:dyDescent="0.2">
      <c r="A71" s="299" t="s">
        <v>13</v>
      </c>
      <c r="B71" s="236"/>
      <c r="C71" s="292"/>
      <c r="D71" s="166"/>
      <c r="E71" s="421"/>
      <c r="F71" s="284" t="s">
        <v>422</v>
      </c>
      <c r="G71" s="284" t="s">
        <v>422</v>
      </c>
      <c r="H71" s="166"/>
      <c r="I71" s="421"/>
      <c r="J71" s="293"/>
      <c r="K71" s="293"/>
      <c r="L71" s="166"/>
      <c r="M71" s="23"/>
      <c r="O71" s="148"/>
    </row>
    <row r="72" spans="1:15" ht="15.75" x14ac:dyDescent="0.2">
      <c r="A72" s="299" t="s">
        <v>392</v>
      </c>
      <c r="B72" s="284" t="s">
        <v>422</v>
      </c>
      <c r="C72" s="284" t="s">
        <v>422</v>
      </c>
      <c r="D72" s="166"/>
      <c r="E72" s="421"/>
      <c r="F72" s="284" t="s">
        <v>422</v>
      </c>
      <c r="G72" s="284" t="s">
        <v>422</v>
      </c>
      <c r="H72" s="166"/>
      <c r="I72" s="421"/>
      <c r="J72" s="293"/>
      <c r="K72" s="293"/>
      <c r="L72" s="166"/>
      <c r="M72" s="23"/>
      <c r="O72" s="148"/>
    </row>
    <row r="73" spans="1:15" x14ac:dyDescent="0.2">
      <c r="A73" s="299" t="s">
        <v>12</v>
      </c>
      <c r="B73" s="236"/>
      <c r="C73" s="292"/>
      <c r="D73" s="166"/>
      <c r="E73" s="421"/>
      <c r="F73" s="284" t="s">
        <v>422</v>
      </c>
      <c r="G73" s="284" t="s">
        <v>422</v>
      </c>
      <c r="H73" s="166"/>
      <c r="I73" s="421"/>
      <c r="J73" s="293"/>
      <c r="K73" s="293"/>
      <c r="L73" s="166"/>
      <c r="M73" s="23"/>
      <c r="O73" s="148"/>
    </row>
    <row r="74" spans="1:15" s="3" customFormat="1" x14ac:dyDescent="0.2">
      <c r="A74" s="299" t="s">
        <v>13</v>
      </c>
      <c r="B74" s="236"/>
      <c r="C74" s="292"/>
      <c r="D74" s="166"/>
      <c r="E74" s="421"/>
      <c r="F74" s="284" t="s">
        <v>422</v>
      </c>
      <c r="G74" s="284" t="s">
        <v>422</v>
      </c>
      <c r="H74" s="166"/>
      <c r="I74" s="421"/>
      <c r="J74" s="293"/>
      <c r="K74" s="293"/>
      <c r="L74" s="166"/>
      <c r="M74" s="23"/>
      <c r="N74" s="148"/>
      <c r="O74" s="148"/>
    </row>
    <row r="75" spans="1:15" s="3" customFormat="1" x14ac:dyDescent="0.2">
      <c r="A75" s="21" t="s">
        <v>361</v>
      </c>
      <c r="B75" s="235"/>
      <c r="C75" s="145"/>
      <c r="D75" s="166"/>
      <c r="E75" s="27"/>
      <c r="F75" s="235"/>
      <c r="G75" s="145"/>
      <c r="H75" s="166"/>
      <c r="I75" s="27"/>
      <c r="J75" s="290"/>
      <c r="K75" s="44"/>
      <c r="L75" s="257"/>
      <c r="M75" s="27"/>
      <c r="N75" s="148"/>
      <c r="O75" s="148"/>
    </row>
    <row r="76" spans="1:15" s="3" customFormat="1" x14ac:dyDescent="0.2">
      <c r="A76" s="21" t="s">
        <v>360</v>
      </c>
      <c r="B76" s="235"/>
      <c r="C76" s="145"/>
      <c r="D76" s="166"/>
      <c r="E76" s="27"/>
      <c r="F76" s="235"/>
      <c r="G76" s="145"/>
      <c r="H76" s="166"/>
      <c r="I76" s="27"/>
      <c r="J76" s="290"/>
      <c r="K76" s="44"/>
      <c r="L76" s="257"/>
      <c r="M76" s="27"/>
      <c r="N76" s="148"/>
      <c r="O76" s="148"/>
    </row>
    <row r="77" spans="1:15" ht="15.75" x14ac:dyDescent="0.2">
      <c r="A77" s="21" t="s">
        <v>393</v>
      </c>
      <c r="B77" s="235">
        <v>77264.937999999995</v>
      </c>
      <c r="C77" s="235">
        <v>82686.683999999994</v>
      </c>
      <c r="D77" s="166">
        <f t="shared" si="12"/>
        <v>7</v>
      </c>
      <c r="E77" s="27">
        <f>IFERROR(100/'Skjema total MA'!C77*C77,0)</f>
        <v>1.4191049186655385</v>
      </c>
      <c r="F77" s="235">
        <v>985435.24300000002</v>
      </c>
      <c r="G77" s="145">
        <v>1072265.5290000001</v>
      </c>
      <c r="H77" s="166">
        <f t="shared" si="13"/>
        <v>8.8000000000000007</v>
      </c>
      <c r="I77" s="27">
        <f>IFERROR(100/'Skjema total MA'!F77*G77,0)</f>
        <v>5.0654116839243937</v>
      </c>
      <c r="J77" s="290">
        <f t="shared" si="14"/>
        <v>1062700.1810000001</v>
      </c>
      <c r="K77" s="44">
        <f t="shared" si="14"/>
        <v>1154952.213</v>
      </c>
      <c r="L77" s="257">
        <f t="shared" si="15"/>
        <v>8.6999999999999993</v>
      </c>
      <c r="M77" s="27">
        <f>IFERROR(100/'Skjema total MA'!I77*K77,0)</f>
        <v>4.2783839837571271</v>
      </c>
      <c r="O77" s="148"/>
    </row>
    <row r="78" spans="1:15" x14ac:dyDescent="0.2">
      <c r="A78" s="21" t="s">
        <v>9</v>
      </c>
      <c r="B78" s="235">
        <v>77264.937999999995</v>
      </c>
      <c r="C78" s="145">
        <v>82686.683999999994</v>
      </c>
      <c r="D78" s="166">
        <f t="shared" si="12"/>
        <v>7</v>
      </c>
      <c r="E78" s="27">
        <f>IFERROR(100/'Skjema total MA'!C78*C78,0)</f>
        <v>1.4513215185186052</v>
      </c>
      <c r="F78" s="235"/>
      <c r="G78" s="145"/>
      <c r="H78" s="166"/>
      <c r="I78" s="27"/>
      <c r="J78" s="290">
        <f t="shared" si="14"/>
        <v>77264.937999999995</v>
      </c>
      <c r="K78" s="44">
        <f t="shared" si="14"/>
        <v>82686.683999999994</v>
      </c>
      <c r="L78" s="257">
        <f t="shared" si="15"/>
        <v>7</v>
      </c>
      <c r="M78" s="27">
        <f>IFERROR(100/'Skjema total MA'!I78*K78,0)</f>
        <v>1.4513215185186052</v>
      </c>
      <c r="O78" s="148"/>
    </row>
    <row r="79" spans="1:15" x14ac:dyDescent="0.2">
      <c r="A79" s="21" t="s">
        <v>10</v>
      </c>
      <c r="B79" s="295"/>
      <c r="C79" s="296"/>
      <c r="D79" s="166"/>
      <c r="E79" s="27"/>
      <c r="F79" s="295">
        <v>985435.24300000002</v>
      </c>
      <c r="G79" s="296">
        <v>1072265.5290000001</v>
      </c>
      <c r="H79" s="166">
        <f t="shared" si="13"/>
        <v>8.8000000000000007</v>
      </c>
      <c r="I79" s="27">
        <f>IFERROR(100/'Skjema total MA'!F79*G79,0)</f>
        <v>5.0654116839243937</v>
      </c>
      <c r="J79" s="290">
        <f t="shared" si="14"/>
        <v>985435.24300000002</v>
      </c>
      <c r="K79" s="44">
        <f t="shared" si="14"/>
        <v>1072265.5290000001</v>
      </c>
      <c r="L79" s="257">
        <f t="shared" si="15"/>
        <v>8.8000000000000007</v>
      </c>
      <c r="M79" s="27">
        <f>IFERROR(100/'Skjema total MA'!I79*K79,0)</f>
        <v>5.0346493860210861</v>
      </c>
      <c r="O79" s="148"/>
    </row>
    <row r="80" spans="1:15" ht="15.75" x14ac:dyDescent="0.2">
      <c r="A80" s="299" t="s">
        <v>391</v>
      </c>
      <c r="B80" s="284" t="s">
        <v>422</v>
      </c>
      <c r="C80" s="284" t="s">
        <v>422</v>
      </c>
      <c r="D80" s="166"/>
      <c r="E80" s="421"/>
      <c r="F80" s="284" t="s">
        <v>422</v>
      </c>
      <c r="G80" s="284" t="s">
        <v>422</v>
      </c>
      <c r="H80" s="166"/>
      <c r="I80" s="421"/>
      <c r="J80" s="293"/>
      <c r="K80" s="293"/>
      <c r="L80" s="166"/>
      <c r="M80" s="23"/>
      <c r="O80" s="148"/>
    </row>
    <row r="81" spans="1:15" x14ac:dyDescent="0.2">
      <c r="A81" s="299" t="s">
        <v>12</v>
      </c>
      <c r="B81" s="236"/>
      <c r="C81" s="292"/>
      <c r="D81" s="166"/>
      <c r="E81" s="421"/>
      <c r="F81" s="284" t="s">
        <v>422</v>
      </c>
      <c r="G81" s="284" t="s">
        <v>422</v>
      </c>
      <c r="H81" s="166"/>
      <c r="I81" s="421"/>
      <c r="J81" s="293"/>
      <c r="K81" s="293"/>
      <c r="L81" s="166"/>
      <c r="M81" s="23"/>
      <c r="O81" s="148"/>
    </row>
    <row r="82" spans="1:15" x14ac:dyDescent="0.2">
      <c r="A82" s="299" t="s">
        <v>13</v>
      </c>
      <c r="B82" s="236"/>
      <c r="C82" s="292"/>
      <c r="D82" s="166"/>
      <c r="E82" s="421"/>
      <c r="F82" s="284" t="s">
        <v>422</v>
      </c>
      <c r="G82" s="284" t="s">
        <v>422</v>
      </c>
      <c r="H82" s="166"/>
      <c r="I82" s="421"/>
      <c r="J82" s="293"/>
      <c r="K82" s="293"/>
      <c r="L82" s="166"/>
      <c r="M82" s="23"/>
      <c r="O82" s="148"/>
    </row>
    <row r="83" spans="1:15" ht="15.75" x14ac:dyDescent="0.2">
      <c r="A83" s="299" t="s">
        <v>392</v>
      </c>
      <c r="B83" s="284" t="s">
        <v>422</v>
      </c>
      <c r="C83" s="284" t="s">
        <v>422</v>
      </c>
      <c r="D83" s="166"/>
      <c r="E83" s="421"/>
      <c r="F83" s="284" t="s">
        <v>422</v>
      </c>
      <c r="G83" s="284" t="s">
        <v>422</v>
      </c>
      <c r="H83" s="166"/>
      <c r="I83" s="421"/>
      <c r="J83" s="293"/>
      <c r="K83" s="293"/>
      <c r="L83" s="166"/>
      <c r="M83" s="23"/>
      <c r="O83" s="148"/>
    </row>
    <row r="84" spans="1:15" x14ac:dyDescent="0.2">
      <c r="A84" s="299" t="s">
        <v>12</v>
      </c>
      <c r="B84" s="236"/>
      <c r="C84" s="292"/>
      <c r="D84" s="166"/>
      <c r="E84" s="421"/>
      <c r="F84" s="284" t="s">
        <v>422</v>
      </c>
      <c r="G84" s="284" t="s">
        <v>422</v>
      </c>
      <c r="H84" s="166"/>
      <c r="I84" s="421"/>
      <c r="J84" s="293"/>
      <c r="K84" s="293"/>
      <c r="L84" s="166"/>
      <c r="M84" s="23"/>
      <c r="O84" s="148"/>
    </row>
    <row r="85" spans="1:15" x14ac:dyDescent="0.2">
      <c r="A85" s="299" t="s">
        <v>13</v>
      </c>
      <c r="B85" s="236"/>
      <c r="C85" s="292"/>
      <c r="D85" s="166"/>
      <c r="E85" s="421"/>
      <c r="F85" s="284" t="s">
        <v>422</v>
      </c>
      <c r="G85" s="284" t="s">
        <v>422</v>
      </c>
      <c r="H85" s="166"/>
      <c r="I85" s="421"/>
      <c r="J85" s="293"/>
      <c r="K85" s="293"/>
      <c r="L85" s="166"/>
      <c r="M85" s="23"/>
      <c r="O85" s="148"/>
    </row>
    <row r="86" spans="1:15" ht="15.75" x14ac:dyDescent="0.2">
      <c r="A86" s="21" t="s">
        <v>394</v>
      </c>
      <c r="B86" s="235"/>
      <c r="C86" s="145"/>
      <c r="D86" s="166"/>
      <c r="E86" s="27"/>
      <c r="F86" s="235"/>
      <c r="G86" s="145"/>
      <c r="H86" s="166"/>
      <c r="I86" s="27"/>
      <c r="J86" s="290"/>
      <c r="K86" s="44"/>
      <c r="L86" s="257"/>
      <c r="M86" s="27"/>
      <c r="O86" s="148"/>
    </row>
    <row r="87" spans="1:15" ht="15.75" x14ac:dyDescent="0.2">
      <c r="A87" s="13" t="s">
        <v>376</v>
      </c>
      <c r="B87" s="357">
        <v>600806.35600000003</v>
      </c>
      <c r="C87" s="357">
        <v>664063.76800000004</v>
      </c>
      <c r="D87" s="171">
        <f t="shared" si="12"/>
        <v>10.5</v>
      </c>
      <c r="E87" s="11">
        <f>IFERROR(100/'Skjema total MA'!C87*C87,0)</f>
        <v>0.17214764661243251</v>
      </c>
      <c r="F87" s="356">
        <v>11497389.625</v>
      </c>
      <c r="G87" s="356">
        <v>13124475.103</v>
      </c>
      <c r="H87" s="171">
        <f t="shared" si="13"/>
        <v>14.2</v>
      </c>
      <c r="I87" s="11">
        <f>IFERROR(100/'Skjema total MA'!F87*G87,0)</f>
        <v>5.0558946030812955</v>
      </c>
      <c r="J87" s="312">
        <f t="shared" ref="J87:K111" si="16">SUM(B87,F87)</f>
        <v>12098195.981000001</v>
      </c>
      <c r="K87" s="237">
        <f t="shared" si="16"/>
        <v>13788538.870999999</v>
      </c>
      <c r="L87" s="432">
        <f t="shared" si="15"/>
        <v>14</v>
      </c>
      <c r="M87" s="11">
        <f>IFERROR(100/'Skjema total MA'!I87*K87,0)</f>
        <v>2.1366315289020288</v>
      </c>
      <c r="O87" s="148"/>
    </row>
    <row r="88" spans="1:15" x14ac:dyDescent="0.2">
      <c r="A88" s="21" t="s">
        <v>9</v>
      </c>
      <c r="B88" s="235">
        <v>600806.35600000003</v>
      </c>
      <c r="C88" s="145">
        <v>664063.76800000004</v>
      </c>
      <c r="D88" s="166">
        <f t="shared" si="12"/>
        <v>10.5</v>
      </c>
      <c r="E88" s="27">
        <f>IFERROR(100/'Skjema total MA'!C88*C88,0)</f>
        <v>0.17613443944248874</v>
      </c>
      <c r="F88" s="235"/>
      <c r="G88" s="145"/>
      <c r="H88" s="166"/>
      <c r="I88" s="27"/>
      <c r="J88" s="290">
        <f t="shared" si="16"/>
        <v>600806.35600000003</v>
      </c>
      <c r="K88" s="44">
        <f t="shared" si="16"/>
        <v>664063.76800000004</v>
      </c>
      <c r="L88" s="257">
        <f t="shared" si="15"/>
        <v>10.5</v>
      </c>
      <c r="M88" s="27">
        <f>IFERROR(100/'Skjema total MA'!I88*K88,0)</f>
        <v>0.17613443944248874</v>
      </c>
      <c r="O88" s="148"/>
    </row>
    <row r="89" spans="1:15" x14ac:dyDescent="0.2">
      <c r="A89" s="21" t="s">
        <v>10</v>
      </c>
      <c r="B89" s="235"/>
      <c r="C89" s="145"/>
      <c r="D89" s="166"/>
      <c r="E89" s="27"/>
      <c r="F89" s="235">
        <v>11497389.625</v>
      </c>
      <c r="G89" s="145">
        <v>13124475.103</v>
      </c>
      <c r="H89" s="166">
        <f t="shared" si="13"/>
        <v>14.2</v>
      </c>
      <c r="I89" s="27">
        <f>IFERROR(100/'Skjema total MA'!F89*G89,0)</f>
        <v>5.0760637916701654</v>
      </c>
      <c r="J89" s="290">
        <f t="shared" si="16"/>
        <v>11497389.625</v>
      </c>
      <c r="K89" s="44">
        <f t="shared" si="16"/>
        <v>13124475.103</v>
      </c>
      <c r="L89" s="257">
        <f t="shared" si="15"/>
        <v>14.2</v>
      </c>
      <c r="M89" s="27">
        <f>IFERROR(100/'Skjema total MA'!I89*K89,0)</f>
        <v>5.0248173699125038</v>
      </c>
      <c r="O89" s="148"/>
    </row>
    <row r="90" spans="1:15" ht="15.75" x14ac:dyDescent="0.2">
      <c r="A90" s="299" t="s">
        <v>391</v>
      </c>
      <c r="B90" s="284" t="s">
        <v>422</v>
      </c>
      <c r="C90" s="284" t="s">
        <v>422</v>
      </c>
      <c r="D90" s="166"/>
      <c r="E90" s="421"/>
      <c r="F90" s="284" t="s">
        <v>422</v>
      </c>
      <c r="G90" s="284" t="s">
        <v>422</v>
      </c>
      <c r="H90" s="166"/>
      <c r="I90" s="421"/>
      <c r="J90" s="293"/>
      <c r="K90" s="293"/>
      <c r="L90" s="166"/>
      <c r="M90" s="23"/>
      <c r="O90" s="148"/>
    </row>
    <row r="91" spans="1:15" x14ac:dyDescent="0.2">
      <c r="A91" s="299" t="s">
        <v>12</v>
      </c>
      <c r="B91" s="236"/>
      <c r="C91" s="292"/>
      <c r="D91" s="166"/>
      <c r="E91" s="421"/>
      <c r="F91" s="284" t="s">
        <v>422</v>
      </c>
      <c r="G91" s="284" t="s">
        <v>422</v>
      </c>
      <c r="H91" s="166"/>
      <c r="I91" s="421"/>
      <c r="J91" s="293"/>
      <c r="K91" s="293"/>
      <c r="L91" s="166"/>
      <c r="M91" s="23"/>
      <c r="O91" s="148"/>
    </row>
    <row r="92" spans="1:15" x14ac:dyDescent="0.2">
      <c r="A92" s="299" t="s">
        <v>13</v>
      </c>
      <c r="B92" s="236"/>
      <c r="C92" s="292"/>
      <c r="D92" s="166"/>
      <c r="E92" s="421"/>
      <c r="F92" s="284" t="s">
        <v>422</v>
      </c>
      <c r="G92" s="284" t="s">
        <v>422</v>
      </c>
      <c r="H92" s="166"/>
      <c r="I92" s="421"/>
      <c r="J92" s="293"/>
      <c r="K92" s="293"/>
      <c r="L92" s="166"/>
      <c r="M92" s="23"/>
      <c r="O92" s="148"/>
    </row>
    <row r="93" spans="1:15" ht="15.75" x14ac:dyDescent="0.2">
      <c r="A93" s="299" t="s">
        <v>392</v>
      </c>
      <c r="B93" s="284" t="s">
        <v>422</v>
      </c>
      <c r="C93" s="284" t="s">
        <v>422</v>
      </c>
      <c r="D93" s="166"/>
      <c r="E93" s="421"/>
      <c r="F93" s="284" t="s">
        <v>422</v>
      </c>
      <c r="G93" s="284" t="s">
        <v>422</v>
      </c>
      <c r="H93" s="166"/>
      <c r="I93" s="421"/>
      <c r="J93" s="293"/>
      <c r="K93" s="293"/>
      <c r="L93" s="166"/>
      <c r="M93" s="23"/>
      <c r="O93" s="148"/>
    </row>
    <row r="94" spans="1:15" x14ac:dyDescent="0.2">
      <c r="A94" s="299" t="s">
        <v>12</v>
      </c>
      <c r="B94" s="236"/>
      <c r="C94" s="292"/>
      <c r="D94" s="166"/>
      <c r="E94" s="421"/>
      <c r="F94" s="284" t="s">
        <v>422</v>
      </c>
      <c r="G94" s="284" t="s">
        <v>422</v>
      </c>
      <c r="H94" s="166"/>
      <c r="I94" s="421"/>
      <c r="J94" s="293"/>
      <c r="K94" s="293"/>
      <c r="L94" s="166"/>
      <c r="M94" s="23"/>
      <c r="O94" s="148"/>
    </row>
    <row r="95" spans="1:15" x14ac:dyDescent="0.2">
      <c r="A95" s="299" t="s">
        <v>13</v>
      </c>
      <c r="B95" s="236"/>
      <c r="C95" s="292"/>
      <c r="D95" s="166"/>
      <c r="E95" s="421"/>
      <c r="F95" s="284" t="s">
        <v>422</v>
      </c>
      <c r="G95" s="284" t="s">
        <v>422</v>
      </c>
      <c r="H95" s="166"/>
      <c r="I95" s="421"/>
      <c r="J95" s="293"/>
      <c r="K95" s="293"/>
      <c r="L95" s="166"/>
      <c r="M95" s="23"/>
      <c r="O95" s="148"/>
    </row>
    <row r="96" spans="1:15" x14ac:dyDescent="0.2">
      <c r="A96" s="21" t="s">
        <v>359</v>
      </c>
      <c r="B96" s="235"/>
      <c r="C96" s="145"/>
      <c r="D96" s="166"/>
      <c r="E96" s="27"/>
      <c r="F96" s="235"/>
      <c r="G96" s="145"/>
      <c r="H96" s="166"/>
      <c r="I96" s="27"/>
      <c r="J96" s="290"/>
      <c r="K96" s="44"/>
      <c r="L96" s="257"/>
      <c r="M96" s="27"/>
      <c r="O96" s="148"/>
    </row>
    <row r="97" spans="1:15" x14ac:dyDescent="0.2">
      <c r="A97" s="21" t="s">
        <v>358</v>
      </c>
      <c r="B97" s="235"/>
      <c r="C97" s="145"/>
      <c r="D97" s="166"/>
      <c r="E97" s="27"/>
      <c r="F97" s="235"/>
      <c r="G97" s="145"/>
      <c r="H97" s="166"/>
      <c r="I97" s="27"/>
      <c r="J97" s="290"/>
      <c r="K97" s="44"/>
      <c r="L97" s="257"/>
      <c r="M97" s="27"/>
      <c r="O97" s="148"/>
    </row>
    <row r="98" spans="1:15" ht="15.75" x14ac:dyDescent="0.2">
      <c r="A98" s="21" t="s">
        <v>393</v>
      </c>
      <c r="B98" s="235">
        <v>600806.35600000003</v>
      </c>
      <c r="C98" s="235">
        <v>664063.76800000004</v>
      </c>
      <c r="D98" s="166">
        <f t="shared" si="12"/>
        <v>10.5</v>
      </c>
      <c r="E98" s="27">
        <f>IFERROR(100/'Skjema total MA'!C98*C98,0)</f>
        <v>0.17717797489506903</v>
      </c>
      <c r="F98" s="295">
        <v>11497389.625</v>
      </c>
      <c r="G98" s="295">
        <v>13124475.103</v>
      </c>
      <c r="H98" s="166">
        <f t="shared" si="13"/>
        <v>14.2</v>
      </c>
      <c r="I98" s="27">
        <f>IFERROR(100/'Skjema total MA'!F98*G98,0)</f>
        <v>5.08989232885612</v>
      </c>
      <c r="J98" s="290">
        <f t="shared" si="16"/>
        <v>12098195.981000001</v>
      </c>
      <c r="K98" s="44">
        <f t="shared" si="16"/>
        <v>13788538.870999999</v>
      </c>
      <c r="L98" s="257">
        <f t="shared" si="15"/>
        <v>14</v>
      </c>
      <c r="M98" s="27">
        <f>IFERROR(100/'Skjema total MA'!I98*K98,0)</f>
        <v>2.1794751681065012</v>
      </c>
      <c r="O98" s="148"/>
    </row>
    <row r="99" spans="1:15" x14ac:dyDescent="0.2">
      <c r="A99" s="21" t="s">
        <v>9</v>
      </c>
      <c r="B99" s="295">
        <v>600806.35600000003</v>
      </c>
      <c r="C99" s="296">
        <v>664063.76800000004</v>
      </c>
      <c r="D99" s="166">
        <f t="shared" si="12"/>
        <v>10.5</v>
      </c>
      <c r="E99" s="27">
        <f>IFERROR(100/'Skjema total MA'!C99*C99,0)</f>
        <v>0.17843335175325337</v>
      </c>
      <c r="F99" s="235"/>
      <c r="G99" s="145"/>
      <c r="H99" s="166"/>
      <c r="I99" s="27"/>
      <c r="J99" s="290">
        <f t="shared" si="16"/>
        <v>600806.35600000003</v>
      </c>
      <c r="K99" s="44">
        <f t="shared" si="16"/>
        <v>664063.76800000004</v>
      </c>
      <c r="L99" s="257">
        <f t="shared" si="15"/>
        <v>10.5</v>
      </c>
      <c r="M99" s="27">
        <f>IFERROR(100/'Skjema total MA'!I99*K99,0)</f>
        <v>0.17843335175325337</v>
      </c>
      <c r="O99" s="148"/>
    </row>
    <row r="100" spans="1:15" x14ac:dyDescent="0.2">
      <c r="A100" s="21" t="s">
        <v>10</v>
      </c>
      <c r="B100" s="295"/>
      <c r="C100" s="296"/>
      <c r="D100" s="166"/>
      <c r="E100" s="27"/>
      <c r="F100" s="235">
        <v>11497389.625</v>
      </c>
      <c r="G100" s="235">
        <v>13124475.103</v>
      </c>
      <c r="H100" s="166">
        <f t="shared" si="13"/>
        <v>14.2</v>
      </c>
      <c r="I100" s="27">
        <f>IFERROR(100/'Skjema total MA'!F100*G100,0)</f>
        <v>5.08989232885612</v>
      </c>
      <c r="J100" s="290">
        <f t="shared" si="16"/>
        <v>11497389.625</v>
      </c>
      <c r="K100" s="44">
        <f t="shared" si="16"/>
        <v>13124475.103</v>
      </c>
      <c r="L100" s="257">
        <f t="shared" si="15"/>
        <v>14.2</v>
      </c>
      <c r="M100" s="27">
        <f>IFERROR(100/'Skjema total MA'!I100*K100,0)</f>
        <v>5.0383677263162054</v>
      </c>
      <c r="O100" s="148"/>
    </row>
    <row r="101" spans="1:15" ht="15.75" x14ac:dyDescent="0.2">
      <c r="A101" s="299" t="s">
        <v>391</v>
      </c>
      <c r="B101" s="284" t="s">
        <v>422</v>
      </c>
      <c r="C101" s="284" t="s">
        <v>422</v>
      </c>
      <c r="D101" s="166"/>
      <c r="E101" s="421"/>
      <c r="F101" s="284"/>
      <c r="G101" s="284"/>
      <c r="H101" s="166"/>
      <c r="I101" s="421"/>
      <c r="J101" s="293"/>
      <c r="K101" s="293"/>
      <c r="L101" s="166"/>
      <c r="M101" s="23"/>
      <c r="O101" s="148"/>
    </row>
    <row r="102" spans="1:15" x14ac:dyDescent="0.2">
      <c r="A102" s="299" t="s">
        <v>12</v>
      </c>
      <c r="B102" s="236"/>
      <c r="C102" s="292"/>
      <c r="D102" s="166"/>
      <c r="E102" s="421"/>
      <c r="F102" s="284"/>
      <c r="G102" s="284"/>
      <c r="H102" s="166"/>
      <c r="I102" s="421"/>
      <c r="J102" s="293"/>
      <c r="K102" s="293"/>
      <c r="L102" s="166"/>
      <c r="M102" s="23"/>
      <c r="O102" s="148"/>
    </row>
    <row r="103" spans="1:15" x14ac:dyDescent="0.2">
      <c r="A103" s="299" t="s">
        <v>13</v>
      </c>
      <c r="B103" s="236"/>
      <c r="C103" s="292"/>
      <c r="D103" s="166"/>
      <c r="E103" s="421"/>
      <c r="F103" s="284"/>
      <c r="G103" s="284"/>
      <c r="H103" s="166"/>
      <c r="I103" s="421"/>
      <c r="J103" s="293"/>
      <c r="K103" s="293"/>
      <c r="L103" s="166"/>
      <c r="M103" s="23"/>
      <c r="O103" s="148"/>
    </row>
    <row r="104" spans="1:15" ht="15.75" x14ac:dyDescent="0.2">
      <c r="A104" s="299" t="s">
        <v>392</v>
      </c>
      <c r="B104" s="284" t="s">
        <v>422</v>
      </c>
      <c r="C104" s="284" t="s">
        <v>422</v>
      </c>
      <c r="D104" s="166"/>
      <c r="E104" s="421"/>
      <c r="F104" s="284"/>
      <c r="G104" s="284"/>
      <c r="H104" s="166"/>
      <c r="I104" s="421"/>
      <c r="J104" s="293"/>
      <c r="K104" s="293"/>
      <c r="L104" s="166"/>
      <c r="M104" s="23"/>
      <c r="O104" s="148"/>
    </row>
    <row r="105" spans="1:15" x14ac:dyDescent="0.2">
      <c r="A105" s="299" t="s">
        <v>12</v>
      </c>
      <c r="B105" s="236"/>
      <c r="C105" s="292"/>
      <c r="D105" s="166"/>
      <c r="E105" s="421"/>
      <c r="F105" s="284"/>
      <c r="G105" s="284"/>
      <c r="H105" s="166"/>
      <c r="I105" s="421"/>
      <c r="J105" s="293"/>
      <c r="K105" s="293"/>
      <c r="L105" s="166"/>
      <c r="M105" s="23"/>
      <c r="O105" s="148"/>
    </row>
    <row r="106" spans="1:15" x14ac:dyDescent="0.2">
      <c r="A106" s="299" t="s">
        <v>13</v>
      </c>
      <c r="B106" s="236"/>
      <c r="C106" s="292"/>
      <c r="D106" s="166"/>
      <c r="E106" s="421"/>
      <c r="F106" s="284"/>
      <c r="G106" s="284"/>
      <c r="H106" s="166"/>
      <c r="I106" s="421"/>
      <c r="J106" s="293"/>
      <c r="K106" s="293"/>
      <c r="L106" s="166"/>
      <c r="M106" s="23"/>
      <c r="O106" s="148"/>
    </row>
    <row r="107" spans="1:15" ht="15.75" x14ac:dyDescent="0.2">
      <c r="A107" s="21" t="s">
        <v>394</v>
      </c>
      <c r="B107" s="235"/>
      <c r="C107" s="145"/>
      <c r="D107" s="166"/>
      <c r="E107" s="27"/>
      <c r="F107" s="235"/>
      <c r="G107" s="145"/>
      <c r="H107" s="166"/>
      <c r="I107" s="27"/>
      <c r="J107" s="290"/>
      <c r="K107" s="44"/>
      <c r="L107" s="257"/>
      <c r="M107" s="27"/>
      <c r="O107" s="148"/>
    </row>
    <row r="108" spans="1:15" ht="15.75" x14ac:dyDescent="0.2">
      <c r="A108" s="21" t="s">
        <v>395</v>
      </c>
      <c r="B108" s="235">
        <v>28301.484</v>
      </c>
      <c r="C108" s="235">
        <v>27500.83</v>
      </c>
      <c r="D108" s="166">
        <f t="shared" si="12"/>
        <v>-2.8</v>
      </c>
      <c r="E108" s="27">
        <f>IFERROR(100/'Skjema total MA'!C108*C108,0)</f>
        <v>8.9046992576758428E-3</v>
      </c>
      <c r="F108" s="235">
        <v>174835.685</v>
      </c>
      <c r="G108" s="235">
        <v>187258.04399999999</v>
      </c>
      <c r="H108" s="166">
        <f t="shared" si="13"/>
        <v>7.1</v>
      </c>
      <c r="I108" s="27">
        <f>IFERROR(100/'Skjema total MA'!F108*G108,0)</f>
        <v>1.1569289234354327</v>
      </c>
      <c r="J108" s="290">
        <f t="shared" si="16"/>
        <v>203137.16899999999</v>
      </c>
      <c r="K108" s="44">
        <f t="shared" si="16"/>
        <v>214758.87400000001</v>
      </c>
      <c r="L108" s="257">
        <f t="shared" si="15"/>
        <v>5.7</v>
      </c>
      <c r="M108" s="27">
        <f>IFERROR(100/'Skjema total MA'!I108*K108,0)</f>
        <v>6.6075422807593001E-2</v>
      </c>
      <c r="O108" s="148"/>
    </row>
    <row r="109" spans="1:15" ht="15.75" x14ac:dyDescent="0.2">
      <c r="A109" s="21" t="s">
        <v>396</v>
      </c>
      <c r="B109" s="235"/>
      <c r="C109" s="235"/>
      <c r="D109" s="166"/>
      <c r="E109" s="27"/>
      <c r="F109" s="235">
        <v>4001968.1060000001</v>
      </c>
      <c r="G109" s="235">
        <v>4679468.1569999997</v>
      </c>
      <c r="H109" s="166">
        <f t="shared" si="13"/>
        <v>16.899999999999999</v>
      </c>
      <c r="I109" s="27">
        <f>IFERROR(100/'Skjema total MA'!F109*G109,0)</f>
        <v>5.6891138859949804</v>
      </c>
      <c r="J109" s="290">
        <f t="shared" si="16"/>
        <v>4001968.1060000001</v>
      </c>
      <c r="K109" s="44">
        <f t="shared" si="16"/>
        <v>4679468.1569999997</v>
      </c>
      <c r="L109" s="257">
        <f t="shared" si="15"/>
        <v>16.899999999999999</v>
      </c>
      <c r="M109" s="27">
        <f>IFERROR(100/'Skjema total MA'!I109*K109,0)</f>
        <v>5.6261613108641244</v>
      </c>
      <c r="O109" s="148"/>
    </row>
    <row r="110" spans="1:15" ht="15.75" x14ac:dyDescent="0.2">
      <c r="A110" s="21" t="s">
        <v>397</v>
      </c>
      <c r="B110" s="235"/>
      <c r="C110" s="235"/>
      <c r="D110" s="166"/>
      <c r="E110" s="27"/>
      <c r="F110" s="235"/>
      <c r="G110" s="235"/>
      <c r="H110" s="166"/>
      <c r="I110" s="27"/>
      <c r="J110" s="290"/>
      <c r="K110" s="44"/>
      <c r="L110" s="257"/>
      <c r="M110" s="27"/>
      <c r="O110" s="148"/>
    </row>
    <row r="111" spans="1:15" ht="15.75" x14ac:dyDescent="0.2">
      <c r="A111" s="13" t="s">
        <v>377</v>
      </c>
      <c r="B111" s="311">
        <v>15607.153</v>
      </c>
      <c r="C111" s="159">
        <v>19237.758000000002</v>
      </c>
      <c r="D111" s="171">
        <f t="shared" si="12"/>
        <v>23.3</v>
      </c>
      <c r="E111" s="11">
        <f>IFERROR(100/'Skjema total MA'!C111*C111,0)</f>
        <v>5.3830362306010082</v>
      </c>
      <c r="F111" s="311">
        <v>586959.42500000005</v>
      </c>
      <c r="G111" s="159">
        <v>570565.75800000003</v>
      </c>
      <c r="H111" s="171">
        <f t="shared" si="13"/>
        <v>-2.8</v>
      </c>
      <c r="I111" s="11">
        <f>IFERROR(100/'Skjema total MA'!F111*G111,0)</f>
        <v>5.2763353541002056</v>
      </c>
      <c r="J111" s="312">
        <f t="shared" si="16"/>
        <v>602566.5780000001</v>
      </c>
      <c r="K111" s="237">
        <f t="shared" si="16"/>
        <v>589803.51600000006</v>
      </c>
      <c r="L111" s="432">
        <f t="shared" si="15"/>
        <v>-2.1</v>
      </c>
      <c r="M111" s="11">
        <f>IFERROR(100/'Skjema total MA'!I111*K111,0)</f>
        <v>5.2797488630789555</v>
      </c>
      <c r="O111" s="148"/>
    </row>
    <row r="112" spans="1:15" x14ac:dyDescent="0.2">
      <c r="A112" s="21" t="s">
        <v>9</v>
      </c>
      <c r="B112" s="235">
        <v>15607.153</v>
      </c>
      <c r="C112" s="145">
        <v>19237.758000000002</v>
      </c>
      <c r="D112" s="166">
        <f t="shared" si="12"/>
        <v>23.3</v>
      </c>
      <c r="E112" s="27">
        <f>IFERROR(100/'Skjema total MA'!C112*C112,0)</f>
        <v>6.2711597661143434</v>
      </c>
      <c r="F112" s="235"/>
      <c r="G112" s="145"/>
      <c r="H112" s="166"/>
      <c r="I112" s="27"/>
      <c r="J112" s="290">
        <f t="shared" ref="J112:K125" si="17">SUM(B112,F112)</f>
        <v>15607.153</v>
      </c>
      <c r="K112" s="44">
        <f t="shared" si="17"/>
        <v>19237.758000000002</v>
      </c>
      <c r="L112" s="257">
        <f t="shared" si="15"/>
        <v>23.3</v>
      </c>
      <c r="M112" s="27">
        <f>IFERROR(100/'Skjema total MA'!I112*K112,0)</f>
        <v>6.2418153211640588</v>
      </c>
      <c r="O112" s="148"/>
    </row>
    <row r="113" spans="1:15" x14ac:dyDescent="0.2">
      <c r="A113" s="21" t="s">
        <v>10</v>
      </c>
      <c r="B113" s="235"/>
      <c r="C113" s="145"/>
      <c r="D113" s="166"/>
      <c r="E113" s="27"/>
      <c r="F113" s="235">
        <v>586959.42500000005</v>
      </c>
      <c r="G113" s="145">
        <v>570565.75800000003</v>
      </c>
      <c r="H113" s="166">
        <f t="shared" si="13"/>
        <v>-2.8</v>
      </c>
      <c r="I113" s="27">
        <f>IFERROR(100/'Skjema total MA'!F113*G113,0)</f>
        <v>5.2962478766794163</v>
      </c>
      <c r="J113" s="290">
        <f t="shared" si="17"/>
        <v>586959.42500000005</v>
      </c>
      <c r="K113" s="44">
        <f t="shared" si="17"/>
        <v>570565.75800000003</v>
      </c>
      <c r="L113" s="257">
        <f t="shared" si="15"/>
        <v>-2.8</v>
      </c>
      <c r="M113" s="27">
        <f>IFERROR(100/'Skjema total MA'!I113*K113,0)</f>
        <v>5.295247287983611</v>
      </c>
      <c r="O113" s="148"/>
    </row>
    <row r="114" spans="1:15" x14ac:dyDescent="0.2">
      <c r="A114" s="21" t="s">
        <v>26</v>
      </c>
      <c r="B114" s="235"/>
      <c r="C114" s="145"/>
      <c r="D114" s="166"/>
      <c r="E114" s="27"/>
      <c r="F114" s="235"/>
      <c r="G114" s="145"/>
      <c r="H114" s="166"/>
      <c r="I114" s="27"/>
      <c r="J114" s="290"/>
      <c r="K114" s="44"/>
      <c r="L114" s="257"/>
      <c r="M114" s="27"/>
      <c r="O114" s="148"/>
    </row>
    <row r="115" spans="1:15" x14ac:dyDescent="0.2">
      <c r="A115" s="299" t="s">
        <v>15</v>
      </c>
      <c r="B115" s="284" t="s">
        <v>422</v>
      </c>
      <c r="C115" s="284" t="s">
        <v>422</v>
      </c>
      <c r="D115" s="166"/>
      <c r="E115" s="421"/>
      <c r="F115" s="284"/>
      <c r="G115" s="284"/>
      <c r="H115" s="166"/>
      <c r="I115" s="421"/>
      <c r="J115" s="293"/>
      <c r="K115" s="293"/>
      <c r="L115" s="166"/>
      <c r="M115" s="23"/>
      <c r="O115" s="148"/>
    </row>
    <row r="116" spans="1:15" ht="15.75" x14ac:dyDescent="0.2">
      <c r="A116" s="21" t="s">
        <v>398</v>
      </c>
      <c r="B116" s="235">
        <v>3188.77</v>
      </c>
      <c r="C116" s="235">
        <v>244.19300000000001</v>
      </c>
      <c r="D116" s="166">
        <f t="shared" si="12"/>
        <v>-92.3</v>
      </c>
      <c r="E116" s="27">
        <f>IFERROR(100/'Skjema total MA'!C116*C116,0)</f>
        <v>0.15944333416906475</v>
      </c>
      <c r="F116" s="235">
        <v>15715.843999999999</v>
      </c>
      <c r="G116" s="235">
        <v>766.40200000000004</v>
      </c>
      <c r="H116" s="166">
        <f t="shared" si="13"/>
        <v>-95.1</v>
      </c>
      <c r="I116" s="27">
        <f>IFERROR(100/'Skjema total MA'!F116*G116,0)</f>
        <v>34.700978769703191</v>
      </c>
      <c r="J116" s="290">
        <f t="shared" si="17"/>
        <v>18904.613999999998</v>
      </c>
      <c r="K116" s="44">
        <f t="shared" si="17"/>
        <v>1010.595</v>
      </c>
      <c r="L116" s="257">
        <f t="shared" si="15"/>
        <v>-94.7</v>
      </c>
      <c r="M116" s="27">
        <f>IFERROR(100/'Skjema total MA'!I116*K116,0)</f>
        <v>0.65047734451813444</v>
      </c>
      <c r="O116" s="148"/>
    </row>
    <row r="117" spans="1:15" ht="15.75" x14ac:dyDescent="0.2">
      <c r="A117" s="21" t="s">
        <v>399</v>
      </c>
      <c r="B117" s="235"/>
      <c r="C117" s="235"/>
      <c r="D117" s="166"/>
      <c r="E117" s="27"/>
      <c r="F117" s="235">
        <v>73162.513000000006</v>
      </c>
      <c r="G117" s="235">
        <v>58952.794999999998</v>
      </c>
      <c r="H117" s="166">
        <f t="shared" si="13"/>
        <v>-19.399999999999999</v>
      </c>
      <c r="I117" s="27">
        <f>IFERROR(100/'Skjema total MA'!F117*G117,0)</f>
        <v>3.5825466963906782</v>
      </c>
      <c r="J117" s="290">
        <f t="shared" si="17"/>
        <v>73162.513000000006</v>
      </c>
      <c r="K117" s="44">
        <f t="shared" si="17"/>
        <v>58952.794999999998</v>
      </c>
      <c r="L117" s="257">
        <f t="shared" si="15"/>
        <v>-19.399999999999999</v>
      </c>
      <c r="M117" s="27">
        <f>IFERROR(100/'Skjema total MA'!I117*K117,0)</f>
        <v>3.5825466963906782</v>
      </c>
      <c r="O117" s="148"/>
    </row>
    <row r="118" spans="1:15" ht="15.75" x14ac:dyDescent="0.2">
      <c r="A118" s="21" t="s">
        <v>397</v>
      </c>
      <c r="B118" s="235"/>
      <c r="C118" s="235"/>
      <c r="D118" s="166"/>
      <c r="E118" s="27"/>
      <c r="F118" s="235"/>
      <c r="G118" s="235"/>
      <c r="H118" s="166"/>
      <c r="I118" s="27"/>
      <c r="J118" s="290"/>
      <c r="K118" s="44"/>
      <c r="L118" s="257"/>
      <c r="M118" s="27"/>
      <c r="O118" s="148"/>
    </row>
    <row r="119" spans="1:15" ht="15.75" x14ac:dyDescent="0.2">
      <c r="A119" s="13" t="s">
        <v>378</v>
      </c>
      <c r="B119" s="311">
        <v>6681.5110000000004</v>
      </c>
      <c r="C119" s="159">
        <v>14307.946</v>
      </c>
      <c r="D119" s="171">
        <f t="shared" si="12"/>
        <v>114.1</v>
      </c>
      <c r="E119" s="11">
        <f>IFERROR(100/'Skjema total MA'!C119*C119,0)</f>
        <v>1.8017859459058336</v>
      </c>
      <c r="F119" s="311">
        <v>420369.84100000001</v>
      </c>
      <c r="G119" s="159">
        <v>674384.52099999995</v>
      </c>
      <c r="H119" s="171">
        <f t="shared" si="13"/>
        <v>60.4</v>
      </c>
      <c r="I119" s="11">
        <f>IFERROR(100/'Skjema total MA'!F119*G119,0)</f>
        <v>6.1906435932303685</v>
      </c>
      <c r="J119" s="312">
        <f t="shared" si="17"/>
        <v>427051.35200000001</v>
      </c>
      <c r="K119" s="237">
        <f t="shared" si="17"/>
        <v>688692.46699999995</v>
      </c>
      <c r="L119" s="432">
        <f t="shared" si="15"/>
        <v>61.3</v>
      </c>
      <c r="M119" s="11">
        <f>IFERROR(100/'Skjema total MA'!I119*K119,0)</f>
        <v>5.8924514004302058</v>
      </c>
      <c r="O119" s="148"/>
    </row>
    <row r="120" spans="1:15" x14ac:dyDescent="0.2">
      <c r="A120" s="21" t="s">
        <v>9</v>
      </c>
      <c r="B120" s="235">
        <v>6681.5110000000004</v>
      </c>
      <c r="C120" s="145">
        <v>14307.946</v>
      </c>
      <c r="D120" s="166">
        <f t="shared" si="12"/>
        <v>114.1</v>
      </c>
      <c r="E120" s="27">
        <f>IFERROR(100/'Skjema total MA'!C120*C120,0)</f>
        <v>3.7893144832807466</v>
      </c>
      <c r="F120" s="235"/>
      <c r="G120" s="145"/>
      <c r="H120" s="166"/>
      <c r="I120" s="27"/>
      <c r="J120" s="290">
        <f t="shared" si="17"/>
        <v>6681.5110000000004</v>
      </c>
      <c r="K120" s="44">
        <f t="shared" si="17"/>
        <v>14307.946</v>
      </c>
      <c r="L120" s="257">
        <f t="shared" si="15"/>
        <v>114.1</v>
      </c>
      <c r="M120" s="27">
        <f>IFERROR(100/'Skjema total MA'!I120*K120,0)</f>
        <v>3.7893144832807466</v>
      </c>
      <c r="O120" s="148"/>
    </row>
    <row r="121" spans="1:15" x14ac:dyDescent="0.2">
      <c r="A121" s="21" t="s">
        <v>10</v>
      </c>
      <c r="B121" s="235"/>
      <c r="C121" s="145"/>
      <c r="D121" s="166"/>
      <c r="E121" s="27"/>
      <c r="F121" s="235">
        <v>420369.84100000001</v>
      </c>
      <c r="G121" s="145">
        <v>674384.52099999995</v>
      </c>
      <c r="H121" s="166">
        <f t="shared" si="13"/>
        <v>60.4</v>
      </c>
      <c r="I121" s="27">
        <f>IFERROR(100/'Skjema total MA'!F121*G121,0)</f>
        <v>6.1906435932303685</v>
      </c>
      <c r="J121" s="290">
        <f t="shared" si="17"/>
        <v>420369.84100000001</v>
      </c>
      <c r="K121" s="44">
        <f t="shared" si="17"/>
        <v>674384.52099999995</v>
      </c>
      <c r="L121" s="257">
        <f t="shared" si="15"/>
        <v>60.4</v>
      </c>
      <c r="M121" s="27">
        <f>IFERROR(100/'Skjema total MA'!I121*K121,0)</f>
        <v>6.1752103630268866</v>
      </c>
      <c r="O121" s="148"/>
    </row>
    <row r="122" spans="1:15" x14ac:dyDescent="0.2">
      <c r="A122" s="21" t="s">
        <v>26</v>
      </c>
      <c r="B122" s="235"/>
      <c r="C122" s="145"/>
      <c r="D122" s="166"/>
      <c r="E122" s="27"/>
      <c r="F122" s="235"/>
      <c r="G122" s="145"/>
      <c r="H122" s="166"/>
      <c r="I122" s="27"/>
      <c r="J122" s="290"/>
      <c r="K122" s="44"/>
      <c r="L122" s="257"/>
      <c r="M122" s="27"/>
      <c r="O122" s="148"/>
    </row>
    <row r="123" spans="1:15" x14ac:dyDescent="0.2">
      <c r="A123" s="299" t="s">
        <v>14</v>
      </c>
      <c r="B123" s="284" t="s">
        <v>422</v>
      </c>
      <c r="C123" s="284" t="s">
        <v>422</v>
      </c>
      <c r="D123" s="166"/>
      <c r="E123" s="421"/>
      <c r="F123" s="284"/>
      <c r="G123" s="284"/>
      <c r="H123" s="166"/>
      <c r="I123" s="421"/>
      <c r="J123" s="293"/>
      <c r="K123" s="293"/>
      <c r="L123" s="166"/>
      <c r="M123" s="23"/>
      <c r="O123" s="148"/>
    </row>
    <row r="124" spans="1:15" ht="15.75" x14ac:dyDescent="0.2">
      <c r="A124" s="21" t="s">
        <v>404</v>
      </c>
      <c r="B124" s="235">
        <v>0</v>
      </c>
      <c r="C124" s="235">
        <v>16.984000000000002</v>
      </c>
      <c r="D124" s="166" t="str">
        <f t="shared" si="12"/>
        <v xml:space="preserve">    ---- </v>
      </c>
      <c r="E124" s="27">
        <f>IFERROR(100/'Skjema total MA'!C124*C124,0)</f>
        <v>1.5340382900437197E-2</v>
      </c>
      <c r="F124" s="235">
        <v>854.32100000000003</v>
      </c>
      <c r="G124" s="235">
        <v>124.96899999999999</v>
      </c>
      <c r="H124" s="166">
        <f t="shared" si="13"/>
        <v>-85.4</v>
      </c>
      <c r="I124" s="27">
        <f>IFERROR(100/'Skjema total MA'!F124*G124,0)</f>
        <v>0.48175724491092853</v>
      </c>
      <c r="J124" s="290">
        <f t="shared" si="17"/>
        <v>854.32100000000003</v>
      </c>
      <c r="K124" s="44">
        <f t="shared" si="17"/>
        <v>141.953</v>
      </c>
      <c r="L124" s="257">
        <f t="shared" si="15"/>
        <v>-83.4</v>
      </c>
      <c r="M124" s="27">
        <f>IFERROR(100/'Skjema total MA'!I124*K124,0)</f>
        <v>0.10387725154489721</v>
      </c>
      <c r="O124" s="148"/>
    </row>
    <row r="125" spans="1:15" ht="15.75" x14ac:dyDescent="0.2">
      <c r="A125" s="21" t="s">
        <v>396</v>
      </c>
      <c r="B125" s="235"/>
      <c r="C125" s="235"/>
      <c r="D125" s="166"/>
      <c r="E125" s="27"/>
      <c r="F125" s="235">
        <v>104813.59</v>
      </c>
      <c r="G125" s="235">
        <v>117030.09699999999</v>
      </c>
      <c r="H125" s="166">
        <f t="shared" si="13"/>
        <v>11.7</v>
      </c>
      <c r="I125" s="27">
        <f>IFERROR(100/'Skjema total MA'!F125*G125,0)</f>
        <v>7.5247974188497215</v>
      </c>
      <c r="J125" s="290">
        <f t="shared" si="17"/>
        <v>104813.59</v>
      </c>
      <c r="K125" s="44">
        <f t="shared" si="17"/>
        <v>117030.09699999999</v>
      </c>
      <c r="L125" s="257">
        <f t="shared" si="15"/>
        <v>11.7</v>
      </c>
      <c r="M125" s="27">
        <f>IFERROR(100/'Skjema total MA'!I125*K125,0)</f>
        <v>7.5123545506452416</v>
      </c>
      <c r="O125" s="148"/>
    </row>
    <row r="126" spans="1:15" ht="15.75" x14ac:dyDescent="0.2">
      <c r="A126" s="10" t="s">
        <v>397</v>
      </c>
      <c r="B126" s="45"/>
      <c r="C126" s="45"/>
      <c r="D126" s="167"/>
      <c r="E126" s="422"/>
      <c r="F126" s="45"/>
      <c r="G126" s="45"/>
      <c r="H126" s="167"/>
      <c r="I126" s="22"/>
      <c r="J126" s="291"/>
      <c r="K126" s="45"/>
      <c r="L126" s="258"/>
      <c r="M126" s="22"/>
      <c r="O126" s="148"/>
    </row>
    <row r="127" spans="1:15" x14ac:dyDescent="0.2">
      <c r="A127" s="155"/>
      <c r="L127" s="26"/>
      <c r="M127" s="26"/>
      <c r="N127" s="26"/>
      <c r="O127" s="148"/>
    </row>
    <row r="128" spans="1:15" x14ac:dyDescent="0.2">
      <c r="L128" s="26"/>
      <c r="M128" s="26"/>
      <c r="N128" s="26"/>
      <c r="O128" s="148"/>
    </row>
    <row r="129" spans="1:15" ht="15.75" x14ac:dyDescent="0.25">
      <c r="A129" s="165" t="s">
        <v>27</v>
      </c>
      <c r="O129" s="148"/>
    </row>
    <row r="130" spans="1:15" ht="15.75" x14ac:dyDescent="0.25">
      <c r="B130" s="729"/>
      <c r="C130" s="729"/>
      <c r="D130" s="729"/>
      <c r="E130" s="410"/>
      <c r="F130" s="729"/>
      <c r="G130" s="729"/>
      <c r="H130" s="729"/>
      <c r="I130" s="410"/>
      <c r="J130" s="729"/>
      <c r="K130" s="729"/>
      <c r="L130" s="729"/>
      <c r="M130" s="410"/>
      <c r="O130" s="148"/>
    </row>
    <row r="131" spans="1:15" s="3" customFormat="1" x14ac:dyDescent="0.2">
      <c r="A131" s="144"/>
      <c r="B131" s="726" t="s">
        <v>0</v>
      </c>
      <c r="C131" s="727"/>
      <c r="D131" s="727"/>
      <c r="E131" s="409"/>
      <c r="F131" s="726" t="s">
        <v>1</v>
      </c>
      <c r="G131" s="727"/>
      <c r="H131" s="727"/>
      <c r="I131" s="412"/>
      <c r="J131" s="726" t="s">
        <v>2</v>
      </c>
      <c r="K131" s="727"/>
      <c r="L131" s="727"/>
      <c r="M131" s="412"/>
      <c r="N131" s="148"/>
      <c r="O131" s="148"/>
    </row>
    <row r="132" spans="1:15" s="3" customFormat="1" x14ac:dyDescent="0.2">
      <c r="A132" s="140"/>
      <c r="B132" s="152" t="s">
        <v>413</v>
      </c>
      <c r="C132" s="152" t="s">
        <v>414</v>
      </c>
      <c r="D132" s="247" t="s">
        <v>3</v>
      </c>
      <c r="E132" s="308" t="s">
        <v>29</v>
      </c>
      <c r="F132" s="152" t="s">
        <v>413</v>
      </c>
      <c r="G132" s="152" t="s">
        <v>414</v>
      </c>
      <c r="H132" s="207" t="s">
        <v>3</v>
      </c>
      <c r="I132" s="162" t="s">
        <v>29</v>
      </c>
      <c r="J132" s="248" t="s">
        <v>413</v>
      </c>
      <c r="K132" s="248" t="s">
        <v>414</v>
      </c>
      <c r="L132" s="249" t="s">
        <v>3</v>
      </c>
      <c r="M132" s="162" t="s">
        <v>29</v>
      </c>
      <c r="N132" s="148"/>
      <c r="O132" s="148"/>
    </row>
    <row r="133" spans="1:15" s="3" customFormat="1" x14ac:dyDescent="0.2">
      <c r="A133" s="643"/>
      <c r="B133" s="156"/>
      <c r="C133" s="156"/>
      <c r="D133" s="249" t="s">
        <v>4</v>
      </c>
      <c r="E133" s="156" t="s">
        <v>30</v>
      </c>
      <c r="F133" s="161"/>
      <c r="G133" s="161"/>
      <c r="H133" s="207" t="s">
        <v>4</v>
      </c>
      <c r="I133" s="156" t="s">
        <v>30</v>
      </c>
      <c r="J133" s="156"/>
      <c r="K133" s="156"/>
      <c r="L133" s="150" t="s">
        <v>4</v>
      </c>
      <c r="M133" s="156" t="s">
        <v>30</v>
      </c>
      <c r="N133" s="148"/>
      <c r="O133" s="148"/>
    </row>
    <row r="134" spans="1:15" s="3" customFormat="1" ht="15.75" x14ac:dyDescent="0.2">
      <c r="A134" s="14" t="s">
        <v>400</v>
      </c>
      <c r="B134" s="237"/>
      <c r="C134" s="312"/>
      <c r="D134" s="354"/>
      <c r="E134" s="11"/>
      <c r="F134" s="319"/>
      <c r="G134" s="320"/>
      <c r="H134" s="435"/>
      <c r="I134" s="24"/>
      <c r="J134" s="321"/>
      <c r="K134" s="321"/>
      <c r="L134" s="431"/>
      <c r="M134" s="11"/>
      <c r="N134" s="148"/>
      <c r="O134" s="148"/>
    </row>
    <row r="135" spans="1:15" s="3" customFormat="1" ht="15.75" x14ac:dyDescent="0.2">
      <c r="A135" s="13" t="s">
        <v>405</v>
      </c>
      <c r="B135" s="237"/>
      <c r="C135" s="312"/>
      <c r="D135" s="171"/>
      <c r="E135" s="11"/>
      <c r="F135" s="237"/>
      <c r="G135" s="312"/>
      <c r="H135" s="436"/>
      <c r="I135" s="24"/>
      <c r="J135" s="311"/>
      <c r="K135" s="311"/>
      <c r="L135" s="432"/>
      <c r="M135" s="11"/>
      <c r="N135" s="148"/>
      <c r="O135" s="148"/>
    </row>
    <row r="136" spans="1:15" s="3" customFormat="1" ht="15.75" x14ac:dyDescent="0.2">
      <c r="A136" s="13" t="s">
        <v>402</v>
      </c>
      <c r="B136" s="237"/>
      <c r="C136" s="312"/>
      <c r="D136" s="171"/>
      <c r="E136" s="11"/>
      <c r="F136" s="237"/>
      <c r="G136" s="312"/>
      <c r="H136" s="436"/>
      <c r="I136" s="24"/>
      <c r="J136" s="311"/>
      <c r="K136" s="311"/>
      <c r="L136" s="432"/>
      <c r="M136" s="11"/>
      <c r="N136" s="148"/>
      <c r="O136" s="148"/>
    </row>
    <row r="137" spans="1:15" s="3" customFormat="1" ht="15.75" x14ac:dyDescent="0.2">
      <c r="A137" s="41" t="s">
        <v>403</v>
      </c>
      <c r="B137" s="279"/>
      <c r="C137" s="318"/>
      <c r="D137" s="169"/>
      <c r="E137" s="9"/>
      <c r="F137" s="279"/>
      <c r="G137" s="318"/>
      <c r="H137" s="437"/>
      <c r="I137" s="36"/>
      <c r="J137" s="317"/>
      <c r="K137" s="317"/>
      <c r="L137" s="433"/>
      <c r="M137" s="36"/>
      <c r="N137" s="148"/>
      <c r="O137" s="148"/>
    </row>
    <row r="138" spans="1:15" s="3" customFormat="1" x14ac:dyDescent="0.2">
      <c r="A138" s="168"/>
      <c r="B138" s="33"/>
      <c r="C138" s="33"/>
      <c r="D138" s="159"/>
      <c r="E138" s="159"/>
      <c r="F138" s="33"/>
      <c r="G138" s="33"/>
      <c r="H138" s="159"/>
      <c r="I138" s="159"/>
      <c r="J138" s="33"/>
      <c r="K138" s="33"/>
      <c r="L138" s="159"/>
      <c r="M138" s="159"/>
      <c r="N138" s="148"/>
      <c r="O138" s="148"/>
    </row>
    <row r="139" spans="1:15" x14ac:dyDescent="0.2">
      <c r="A139" s="168"/>
      <c r="B139" s="33"/>
      <c r="C139" s="33"/>
      <c r="D139" s="159"/>
      <c r="E139" s="159"/>
      <c r="F139" s="33"/>
      <c r="G139" s="33"/>
      <c r="H139" s="159"/>
      <c r="I139" s="159"/>
      <c r="J139" s="33"/>
      <c r="K139" s="33"/>
      <c r="L139" s="159"/>
      <c r="M139" s="159"/>
      <c r="N139" s="148"/>
      <c r="O139" s="148"/>
    </row>
    <row r="140" spans="1:15" x14ac:dyDescent="0.2">
      <c r="A140" s="168"/>
      <c r="B140" s="33"/>
      <c r="C140" s="33"/>
      <c r="D140" s="159"/>
      <c r="E140" s="159"/>
      <c r="F140" s="33"/>
      <c r="G140" s="33"/>
      <c r="H140" s="159"/>
      <c r="I140" s="159"/>
      <c r="J140" s="33"/>
      <c r="K140" s="33"/>
      <c r="L140" s="159"/>
      <c r="M140" s="159"/>
      <c r="N140" s="148"/>
      <c r="O140" s="148"/>
    </row>
    <row r="141" spans="1:15" x14ac:dyDescent="0.2">
      <c r="A141" s="146"/>
      <c r="B141" s="146"/>
      <c r="C141" s="146"/>
      <c r="D141" s="146"/>
      <c r="E141" s="146"/>
      <c r="F141" s="146"/>
      <c r="G141" s="146"/>
      <c r="H141" s="146"/>
      <c r="I141" s="146"/>
      <c r="J141" s="146"/>
      <c r="K141" s="146"/>
      <c r="L141" s="146"/>
      <c r="M141" s="146"/>
      <c r="N141" s="146"/>
    </row>
    <row r="142" spans="1:15" ht="15.75" x14ac:dyDescent="0.25">
      <c r="B142" s="142"/>
      <c r="C142" s="142"/>
      <c r="D142" s="142"/>
      <c r="E142" s="142"/>
      <c r="F142" s="142"/>
      <c r="G142" s="142"/>
      <c r="H142" s="142"/>
      <c r="I142" s="142"/>
      <c r="J142" s="142"/>
      <c r="K142" s="142"/>
      <c r="L142" s="142"/>
      <c r="M142" s="142"/>
      <c r="N142" s="142"/>
    </row>
    <row r="143" spans="1:15" ht="15.75" x14ac:dyDescent="0.25">
      <c r="B143" s="157"/>
      <c r="C143" s="157"/>
      <c r="D143" s="157"/>
      <c r="E143" s="157"/>
      <c r="F143" s="157"/>
      <c r="G143" s="157"/>
      <c r="H143" s="157"/>
      <c r="I143" s="157"/>
      <c r="J143" s="157"/>
      <c r="K143" s="157"/>
      <c r="L143" s="157"/>
      <c r="M143" s="157"/>
      <c r="N143" s="157"/>
      <c r="O143" s="157"/>
    </row>
    <row r="144" spans="1:15" ht="15.75" x14ac:dyDescent="0.25">
      <c r="B144" s="157"/>
      <c r="C144" s="157"/>
      <c r="D144" s="157"/>
      <c r="E144" s="157"/>
      <c r="F144" s="157"/>
      <c r="G144" s="157"/>
      <c r="H144" s="157"/>
      <c r="I144" s="157"/>
      <c r="J144" s="157"/>
      <c r="K144" s="157"/>
      <c r="L144" s="157"/>
      <c r="M144" s="157"/>
      <c r="N144" s="157"/>
      <c r="O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1519" priority="82">
      <formula>kvartal &lt; 4</formula>
    </cfRule>
  </conditionalFormatting>
  <conditionalFormatting sqref="B69">
    <cfRule type="expression" dxfId="1518" priority="61">
      <formula>kvartal &lt; 4</formula>
    </cfRule>
  </conditionalFormatting>
  <conditionalFormatting sqref="C69">
    <cfRule type="expression" dxfId="1517" priority="60">
      <formula>kvartal &lt; 4</formula>
    </cfRule>
  </conditionalFormatting>
  <conditionalFormatting sqref="B72">
    <cfRule type="expression" dxfId="1516" priority="59">
      <formula>kvartal &lt; 4</formula>
    </cfRule>
  </conditionalFormatting>
  <conditionalFormatting sqref="C72">
    <cfRule type="expression" dxfId="1515" priority="58">
      <formula>kvartal &lt; 4</formula>
    </cfRule>
  </conditionalFormatting>
  <conditionalFormatting sqref="B80">
    <cfRule type="expression" dxfId="1514" priority="57">
      <formula>kvartal &lt; 4</formula>
    </cfRule>
  </conditionalFormatting>
  <conditionalFormatting sqref="C80">
    <cfRule type="expression" dxfId="1513" priority="56">
      <formula>kvartal &lt; 4</formula>
    </cfRule>
  </conditionalFormatting>
  <conditionalFormatting sqref="B83">
    <cfRule type="expression" dxfId="1512" priority="55">
      <formula>kvartal &lt; 4</formula>
    </cfRule>
  </conditionalFormatting>
  <conditionalFormatting sqref="C83">
    <cfRule type="expression" dxfId="1511" priority="54">
      <formula>kvartal &lt; 4</formula>
    </cfRule>
  </conditionalFormatting>
  <conditionalFormatting sqref="B90">
    <cfRule type="expression" dxfId="1510" priority="53">
      <formula>kvartal &lt; 4</formula>
    </cfRule>
  </conditionalFormatting>
  <conditionalFormatting sqref="C90">
    <cfRule type="expression" dxfId="1509" priority="52">
      <formula>kvartal &lt; 4</formula>
    </cfRule>
  </conditionalFormatting>
  <conditionalFormatting sqref="B93">
    <cfRule type="expression" dxfId="1508" priority="51">
      <formula>kvartal &lt; 4</formula>
    </cfRule>
  </conditionalFormatting>
  <conditionalFormatting sqref="C93">
    <cfRule type="expression" dxfId="1507" priority="50">
      <formula>kvartal &lt; 4</formula>
    </cfRule>
  </conditionalFormatting>
  <conditionalFormatting sqref="B101">
    <cfRule type="expression" dxfId="1506" priority="49">
      <formula>kvartal &lt; 4</formula>
    </cfRule>
  </conditionalFormatting>
  <conditionalFormatting sqref="C101">
    <cfRule type="expression" dxfId="1505" priority="48">
      <formula>kvartal &lt; 4</formula>
    </cfRule>
  </conditionalFormatting>
  <conditionalFormatting sqref="B104">
    <cfRule type="expression" dxfId="1504" priority="47">
      <formula>kvartal &lt; 4</formula>
    </cfRule>
  </conditionalFormatting>
  <conditionalFormatting sqref="C104">
    <cfRule type="expression" dxfId="1503" priority="46">
      <formula>kvartal &lt; 4</formula>
    </cfRule>
  </conditionalFormatting>
  <conditionalFormatting sqref="B115">
    <cfRule type="expression" dxfId="1502" priority="45">
      <formula>kvartal &lt; 4</formula>
    </cfRule>
  </conditionalFormatting>
  <conditionalFormatting sqref="C115">
    <cfRule type="expression" dxfId="1501" priority="44">
      <formula>kvartal &lt; 4</formula>
    </cfRule>
  </conditionalFormatting>
  <conditionalFormatting sqref="B123">
    <cfRule type="expression" dxfId="1500" priority="43">
      <formula>kvartal &lt; 4</formula>
    </cfRule>
  </conditionalFormatting>
  <conditionalFormatting sqref="C123">
    <cfRule type="expression" dxfId="1499" priority="42">
      <formula>kvartal &lt; 4</formula>
    </cfRule>
  </conditionalFormatting>
  <conditionalFormatting sqref="F70">
    <cfRule type="expression" dxfId="1498" priority="41">
      <formula>kvartal &lt; 4</formula>
    </cfRule>
  </conditionalFormatting>
  <conditionalFormatting sqref="G70">
    <cfRule type="expression" dxfId="1497" priority="40">
      <formula>kvartal &lt; 4</formula>
    </cfRule>
  </conditionalFormatting>
  <conditionalFormatting sqref="F71:G71">
    <cfRule type="expression" dxfId="1496" priority="39">
      <formula>kvartal &lt; 4</formula>
    </cfRule>
  </conditionalFormatting>
  <conditionalFormatting sqref="F73:G74">
    <cfRule type="expression" dxfId="1495" priority="38">
      <formula>kvartal &lt; 4</formula>
    </cfRule>
  </conditionalFormatting>
  <conditionalFormatting sqref="F81:G82">
    <cfRule type="expression" dxfId="1494" priority="37">
      <formula>kvartal &lt; 4</formula>
    </cfRule>
  </conditionalFormatting>
  <conditionalFormatting sqref="F84:G85">
    <cfRule type="expression" dxfId="1493" priority="36">
      <formula>kvartal &lt; 4</formula>
    </cfRule>
  </conditionalFormatting>
  <conditionalFormatting sqref="F91:G92">
    <cfRule type="expression" dxfId="1492" priority="35">
      <formula>kvartal &lt; 4</formula>
    </cfRule>
  </conditionalFormatting>
  <conditionalFormatting sqref="F94:G95">
    <cfRule type="expression" dxfId="1491" priority="34">
      <formula>kvartal &lt; 4</formula>
    </cfRule>
  </conditionalFormatting>
  <conditionalFormatting sqref="F102:G103">
    <cfRule type="expression" dxfId="1490" priority="33">
      <formula>kvartal &lt; 4</formula>
    </cfRule>
  </conditionalFormatting>
  <conditionalFormatting sqref="F105:G106">
    <cfRule type="expression" dxfId="1489" priority="32">
      <formula>kvartal &lt; 4</formula>
    </cfRule>
  </conditionalFormatting>
  <conditionalFormatting sqref="F115">
    <cfRule type="expression" dxfId="1488" priority="31">
      <formula>kvartal &lt; 4</formula>
    </cfRule>
  </conditionalFormatting>
  <conditionalFormatting sqref="G115">
    <cfRule type="expression" dxfId="1487" priority="30">
      <formula>kvartal &lt; 4</formula>
    </cfRule>
  </conditionalFormatting>
  <conditionalFormatting sqref="F123:G123">
    <cfRule type="expression" dxfId="1486" priority="29">
      <formula>kvartal &lt; 4</formula>
    </cfRule>
  </conditionalFormatting>
  <conditionalFormatting sqref="F69:G69">
    <cfRule type="expression" dxfId="1485" priority="28">
      <formula>kvartal &lt; 4</formula>
    </cfRule>
  </conditionalFormatting>
  <conditionalFormatting sqref="F72:G72">
    <cfRule type="expression" dxfId="1484" priority="27">
      <formula>kvartal &lt; 4</formula>
    </cfRule>
  </conditionalFormatting>
  <conditionalFormatting sqref="F80:G80">
    <cfRule type="expression" dxfId="1483" priority="26">
      <formula>kvartal &lt; 4</formula>
    </cfRule>
  </conditionalFormatting>
  <conditionalFormatting sqref="F83:G83">
    <cfRule type="expression" dxfId="1482" priority="25">
      <formula>kvartal &lt; 4</formula>
    </cfRule>
  </conditionalFormatting>
  <conditionalFormatting sqref="F90:G90">
    <cfRule type="expression" dxfId="1481" priority="24">
      <formula>kvartal &lt; 4</formula>
    </cfRule>
  </conditionalFormatting>
  <conditionalFormatting sqref="F93">
    <cfRule type="expression" dxfId="1480" priority="23">
      <formula>kvartal &lt; 4</formula>
    </cfRule>
  </conditionalFormatting>
  <conditionalFormatting sqref="G93">
    <cfRule type="expression" dxfId="1479" priority="22">
      <formula>kvartal &lt; 4</formula>
    </cfRule>
  </conditionalFormatting>
  <conditionalFormatting sqref="F101">
    <cfRule type="expression" dxfId="1478" priority="21">
      <formula>kvartal &lt; 4</formula>
    </cfRule>
  </conditionalFormatting>
  <conditionalFormatting sqref="G101">
    <cfRule type="expression" dxfId="1477" priority="20">
      <formula>kvartal &lt; 4</formula>
    </cfRule>
  </conditionalFormatting>
  <conditionalFormatting sqref="G104">
    <cfRule type="expression" dxfId="1476" priority="19">
      <formula>kvartal &lt; 4</formula>
    </cfRule>
  </conditionalFormatting>
  <conditionalFormatting sqref="F104">
    <cfRule type="expression" dxfId="1475" priority="18">
      <formula>kvartal &lt; 4</formula>
    </cfRule>
  </conditionalFormatting>
  <conditionalFormatting sqref="J69:K73">
    <cfRule type="expression" dxfId="1474" priority="17">
      <formula>kvartal &lt; 4</formula>
    </cfRule>
  </conditionalFormatting>
  <conditionalFormatting sqref="J74:K74">
    <cfRule type="expression" dxfId="1473" priority="16">
      <formula>kvartal &lt; 4</formula>
    </cfRule>
  </conditionalFormatting>
  <conditionalFormatting sqref="J80:K85">
    <cfRule type="expression" dxfId="1472" priority="15">
      <formula>kvartal &lt; 4</formula>
    </cfRule>
  </conditionalFormatting>
  <conditionalFormatting sqref="J90:K95">
    <cfRule type="expression" dxfId="1471" priority="14">
      <formula>kvartal &lt; 4</formula>
    </cfRule>
  </conditionalFormatting>
  <conditionalFormatting sqref="J101:K106">
    <cfRule type="expression" dxfId="1470" priority="13">
      <formula>kvartal &lt; 4</formula>
    </cfRule>
  </conditionalFormatting>
  <conditionalFormatting sqref="J115:K115">
    <cfRule type="expression" dxfId="1469" priority="12">
      <formula>kvartal &lt; 4</formula>
    </cfRule>
  </conditionalFormatting>
  <conditionalFormatting sqref="J123:K123">
    <cfRule type="expression" dxfId="1468" priority="11">
      <formula>kvartal &lt; 4</formula>
    </cfRule>
  </conditionalFormatting>
  <conditionalFormatting sqref="A50:A52">
    <cfRule type="expression" dxfId="1467" priority="8">
      <formula>kvartal &lt; 4</formula>
    </cfRule>
  </conditionalFormatting>
  <conditionalFormatting sqref="A69:A74">
    <cfRule type="expression" dxfId="1466" priority="7">
      <formula>kvartal &lt; 4</formula>
    </cfRule>
  </conditionalFormatting>
  <conditionalFormatting sqref="A80:A85">
    <cfRule type="expression" dxfId="1465" priority="6">
      <formula>kvartal &lt; 4</formula>
    </cfRule>
  </conditionalFormatting>
  <conditionalFormatting sqref="A90:A95">
    <cfRule type="expression" dxfId="1464" priority="5">
      <formula>kvartal &lt; 4</formula>
    </cfRule>
  </conditionalFormatting>
  <conditionalFormatting sqref="A101:A106">
    <cfRule type="expression" dxfId="1463" priority="4">
      <formula>kvartal &lt; 4</formula>
    </cfRule>
  </conditionalFormatting>
  <conditionalFormatting sqref="A115">
    <cfRule type="expression" dxfId="1462" priority="3">
      <formula>kvartal &lt; 4</formula>
    </cfRule>
  </conditionalFormatting>
  <conditionalFormatting sqref="A123">
    <cfRule type="expression" dxfId="1461" priority="2">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A g E A A B Q S w M E F A A C A A g A w 0 l v T T / M I q 6 o A A A A + Q A A A B I A H A B D b 2 5 m a W c v U G F j a 2 F n Z S 5 4 b W w g o h g A K K A U A A A A A A A A A A A A A A A A A A A A A A A A A A A A h Y 9 N D o I w G E S v Q r q n f w R j y E d Z u B U 1 M T F u K 1 Z o h G J o s d z N h U f y C p I o 6 s 7 l T N 4 k b x 6 3 O 2 R D U w d X 1 V n d m h Q x T F G g T N E e t S l T 1 L t T O E e Z g I 0 s z r J U w Q g b m w x W p 6 h y 7 p I Q 4 r 3 H P s J t V x J O K S P 7 f L k t K t X I U B v r p C k U + q y O / 1 d I w O 4 l I z i O Z z i m P M K M U Q 5 k 6 i H X 5 s v w U R l T I D 8 l L P r a 9 Z 0 S 5 h C u 1 k C m C O R 9 Q z w B U E s D B B Q A A g A I A M N J b 0 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D S W 9 N B v r 5 6 f 4 A A A B i A Q A A E w A c A E Z v c m 1 1 b G F z L 1 N l Y 3 R p b 2 4 x L m 0 g o h g A K K A U A A A A A A A A A A A A A A A A A A A A A A A A A A A A f Y / B S s N A E I b P D f Q d h j 2 U B t I Q P Q k h I K R B p F C U B C 2 s S 9 g 0 A 8 Z s s n W y K Z X S o 4 / i k / T F u r F F 8 e J c Z m D + b / 7 5 O 1 y b S r e Q n v t V O H b G T v c q C U u Y S y M h A o X G A V s P k m S D B u k J q a z s I t m t U f l x T 4 S t e d Z U F 1 r X U 3 f P l 1 Y X s R 8 9 M n H g s W 6 N l Q k P v o 8 t K l W i v Z G + K 3 / w K W S H U 5 b d z d L V / C a Z B c H 1 y 7 0 F q J W K e c B U t c 0 b a S f + 2 C N 9 R C x Z J T H w s t D C 5 5 s c h 0 / y D W F n L W T 3 p l v h j E a 3 x y + y F g w m s O y b A s n P d I Y 7 M / 2 b h B 8 / S e y D g w s T 5 g 1 Y v Z V k p L q g / 7 O L s / b C A w u Z c J 2 q / c 0 Y n g B Q S w E C L Q A U A A I A C A D D S W 9 N P 8 w i r q g A A A D 5 A A A A E g A A A A A A A A A A A A A A A A A A A A A A Q 2 9 u Z m l n L 1 B h Y 2 t h Z 2 U u e G 1 s U E s B A i 0 A F A A C A A g A w 0 l v T Q / K 6 a u k A A A A 6 Q A A A B M A A A A A A A A A A A A A A A A A 9 A A A A F t D b 2 5 0 Z W 5 0 X 1 R 5 c G V z X S 5 4 b W x Q S w E C L Q A U A A I A C A D D S W 9 N B v r 5 6 f 4 A A A B i A Q A A E w A A A A A A A A A A A A A A A A D l A Q A A R m 9 y b X V s Y X M v U 2 V j d G l v b j E u b V B L B Q Y A A A A A A w A D A M I A A A A w 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7 D C w A A A A A A A K E 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5 h b W V V c G R h d G V k Q W Z 0 Z X J G a W x s I i B W Y W x 1 Z T 0 i b D A i I C 8 + P E V u d H J 5 I F R 5 c G U 9 I k Z p b G x F b m F i b G V k I i B W Y W x 1 Z T 0 i b D A i I C 8 + P E V u d H J 5 I F R 5 c G U 9 I k Z p b G x U b 0 R h d G F N b 2 R l b E V u Y W J s Z W Q i I F Z h b H V l P S J s M C I g L z 4 8 R W 5 0 c n k g V H l w Z T 0 i Q n V m Z m V y T m V 4 d F J l Z n J l c 2 g i I F Z h b H V l P S J s M S I g L z 4 8 R W 5 0 c n k g V H l w Z T 0 i U m V z d W x 0 V H l w Z S I g V m F s d W U 9 I n N U Y W J s Z S I g L z 4 8 R W 5 0 c n k g V H l w Z T 0 i R m l s b G V k Q 2 9 t c G x l d G V S Z X N 1 b H R U b 1 d v c m t z a G V l d C I g V m F s d W U 9 I m w x I i A v P j x F b n R y e S B U e X B l P S J S Z W N v d m V y e V R h c m d l d F N o Z W V 0 I i B W Y W x 1 Z T 0 i c 0 F y a z I i I C 8 + P E V u d H J 5 I F R 5 c G U 9 I l J l Y 2 9 2 Z X J 5 V G F y Z 2 V 0 Q 2 9 s d W 1 u I i B W Y W x 1 Z T 0 i b D E i I C 8 + P E V u d H J 5 I F R 5 c G U 9 I l J l Y 2 9 2 Z X J 5 V G F y Z 2 V 0 U m 9 3 I i B W Y W x 1 Z T 0 i b D E i I C 8 + P E V u d H J 5 I F R 5 c G U 9 I l F 1 Z X J 5 S U Q i I F Z h b H V l P S J z N G U 4 M 2 F k Z D k t Z W N j Y i 0 0 Z W Y 2 L T l j Z j g t N m I y O T h k Z j A 0 N G M 5 I i A v P j x F b n R y e S B U e X B l P S J G a W x s T G F z d F V w Z G F 0 Z W Q i I F Z h b H V l P S J k M j A x O C 0 x M S 0 x N V Q w N z o 1 N D o y M y 4 4 N j g z N z A y W i I g L z 4 8 R W 5 0 c n k g V H l w Z T 0 i R m l s b E V y c m 9 y Q 2 9 1 b n Q i I F Z h b H V l P S J s M C I g L z 4 8 R W 5 0 c n k g V H l w Z T 0 i T m F 2 a W d h d G l v b l N 0 Z X B O Y W 1 l I i B W Y W x 1 Z T 0 i c 0 5 h d m l n Y X R p b 2 4 i I C 8 + P E V u d H J 5 I F R 5 c G U 9 I k Z p b G x F c n J v c k N v Z G U i I F Z h b H V l P S J z V W 5 r b m 9 3 b i I g L z 4 8 R W 5 0 c n k g V H l w Z T 0 i R m l s b E N v b H V t b l R 5 c G V z I i B W Y W x 1 Z T 0 i c 0 J n S U N B Z 0 l D Q W d V P S I g L z 4 8 R W 5 0 c n k g V H l w Z T 0 i R m l s b E N v d W 5 0 I i B W Y W x 1 Z T 0 i b D Y 5 N D A i I C 8 + P E V u d H J 5 I F R 5 c G U 9 I k Z p b G x D b 2 x 1 b W 5 O Y W 1 l c y I g V m F s d W U 9 I n N b J n F 1 b 3 Q 7 c 8 O 4 a 2 V u w 7 h r a 2 V s J n F 1 b 3 Q 7 L C Z x d W 9 0 O 3 N l b H N r Y X B f a W Q m c X V v d D s s J n F 1 b 3 Q 7 w 6 V y J n F 1 b 3 Q 7 L C Z x d W 9 0 O 2 t 2 Y X J 0 Y W w m c X V v d D s s J n F 1 b 3 Q 7 d G F i Z W x s X 2 l k J n F 1 b 3 Q 7 L C Z x d W 9 0 O 3 J h Z F 9 p Z C Z x d W 9 0 O y w m c X V v d D t r Y X R l Z 2 9 y a V 9 p Z C Z x d W 9 0 O y w m c X V v d D t 2 Z X J k a S Z x d W 9 0 O 1 0 i I C 8 + P E V u d H J 5 I F R 5 c G U 9 I k F k Z G V k V G 9 E Y X R h T W 9 k Z W w i I F Z h b H V l P S J s M C 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R G F 0 Y S 9 L a W x k Z S 5 7 c 8 O 4 a 2 V u w 7 h r a 2 V s L D B 9 J n F 1 b 3 Q 7 L C Z x d W 9 0 O 1 N l Y 3 R p b 2 4 x L 0 R h d G E v S 2 l s Z G U u e 3 N l b H N r Y X B f a W Q s M X 0 m c X V v d D s s J n F 1 b 3 Q 7 U 2 V j d G l v b j E v R G F 0 Y S 9 L a W x k Z S 5 7 w 6 V y L D J 9 J n F 1 b 3 Q 7 L C Z x d W 9 0 O 1 N l Y 3 R p b 2 4 x L 0 R h d G E v S 2 l s Z G U u e 2 t 2 Y X J 0 Y W w s M 3 0 m c X V v d D s s J n F 1 b 3 Q 7 U 2 V j d G l v b j E v R G F 0 Y S 9 L a W x k Z S 5 7 d G F i Z W x s X 2 l k L D R 9 J n F 1 b 3 Q 7 L C Z x d W 9 0 O 1 N l Y 3 R p b 2 4 x L 0 R h d G E v S 2 l s Z G U u e 3 J h Z F 9 p Z C w 1 f S Z x d W 9 0 O y w m c X V v d D t T Z W N 0 a W 9 u M S 9 E Y X R h L 0 t p b G R l L n t r Y X R l Z 2 9 y a V 9 p Z C w 2 f S Z x d W 9 0 O y w m c X V v d D t T Z W N 0 a W 9 u M S 9 E Y X R h L 0 t p b G R l L n t 2 Z X J k a S w 3 f S Z x d W 9 0 O 1 0 s J n F 1 b 3 Q 7 Q 2 9 s d W 1 u Q 2 9 1 b n Q m c X V v d D s 6 O C w m c X V v d D t L Z X l D b 2 x 1 b W 5 O Y W 1 l c y Z x d W 9 0 O z p b X S w m c X V v d D t D b 2 x 1 b W 5 J Z G V u d G l 0 a W V z J n F 1 b 3 Q 7 O l s m c X V v d D t T Z W N 0 a W 9 u M S 9 E Y X R h L 0 t p b G R l L n t z w 7 h r Z W 7 D u G t r Z W w s M H 0 m c X V v d D s s J n F 1 b 3 Q 7 U 2 V j d G l v b j E v R G F 0 Y S 9 L a W x k Z S 5 7 c 2 V s c 2 t h c F 9 p Z C w x f S Z x d W 9 0 O y w m c X V v d D t T Z W N 0 a W 9 u M S 9 E Y X R h L 0 t p b G R l L n v D p X I s M n 0 m c X V v d D s s J n F 1 b 3 Q 7 U 2 V j d G l v b j E v R G F 0 Y S 9 L a W x k Z S 5 7 a 3 Z h c n R h b C w z f S Z x d W 9 0 O y w m c X V v d D t T Z W N 0 a W 9 u M S 9 E Y X R h L 0 t p b G R l L n t 0 Y W J l b G x f a W Q s N H 0 m c X V v d D s s J n F 1 b 3 Q 7 U 2 V j d G l v b j E v R G F 0 Y S 9 L a W x k Z S 5 7 c m F k X 2 l k L D V 9 J n F 1 b 3 Q 7 L C Z x d W 9 0 O 1 N l Y 3 R p b 2 4 x L 0 R h d G E v S 2 l s Z G U u e 2 t h d G V n b 3 J p X 2 l k L D Z 9 J n F 1 b 3 Q 7 L C Z x d W 9 0 O 1 N l Y 3 R p b 2 4 x L 0 R h d G E v S 2 l s Z G U u e 3 Z l c m R p L D d 9 J n F 1 b 3 Q 7 X S w m c X V v d D t S Z W x h d G l v b n N o a X B J b m Z v J n F 1 b 3 Q 7 O l t d f S I g L z 4 8 R W 5 0 c n k g V H l w Z T 0 i R m l s b E 9 i a m V j d F R 5 c G U i I F Z h b H V l P S J z Q 2 9 u b m V j d G l v b k 9 u b H k i I C 8 + P C 9 T d G F i b G V F b n R y a W V z P j w v S X R l b T 4 8 S X R l b T 4 8 S X R l b U x v Y 2 F 0 a W 9 u P j x J d G V t V H l w Z T 5 G b 3 J t d W x h P C 9 J d G V t V H l w Z T 4 8 S X R l b V B h d G g + U 2 V j d G l v b j E v R G F 0 Y S 9 L a W x k Z T w v S X R l b V B h d G g + P C 9 J d G V t T G 9 j Y X R p b 2 4 + P F N 0 Y W J s Z U V u d H J p Z X M g L z 4 8 L 0 l 0 Z W 0 + P E l 0 Z W 0 + P E l 0 Z W 1 M b 2 N h d G l v b j 4 8 S X R l b V R 5 c G U + R m 9 y b X V s Y T w v S X R l b V R 5 c G U + P E l 0 Z W 1 Q Y X R o P l N l Y 3 R p b 2 4 x L 0 R h d G E v U G F y Y W 1 l d G V y V m V y Z G k 8 L 0 l 0 Z W 1 Q Y X R o P j w v S X R l b U x v Y 2 F 0 a W 9 u P j x T d G F i b G V F b n R y a W V z I C 8 + P C 9 J d G V t P j w v S X R l b X M + P C 9 M b 2 N h b F B h Y 2 t h Z 2 V N Z X R h Z G F 0 Y U Z p b G U + F g A A A F B L B Q Y A A A A A A A A A A A A A A A A A A A A A A A D a A A A A A Q A A A N C M n d 8 B F d E R j H o A w E / C l + s B A A A A G z F V i p a N E 0 K t M / Y f 2 u Z i z w A A A A A C A A A A A A A D Z g A A w A A A A B A A A A B U y Y 7 J 8 / 8 D D V t 1 Z c E 9 m q o 4 A A A A A A S A A A C g A A A A E A A A A G 6 q I I O 6 j x + 9 6 j Q q 4 H 9 C O 1 N Q A A A A r 6 7 5 M O Y r T K S n 6 D G g Z L i u T y V K m u B V H U 9 0 2 M U N S 8 z W 0 9 + 5 4 M x 3 C R v 7 5 f c D B O D 9 B L z P / L Z 0 G s i n y 3 8 v 2 y s T y e z / A 2 J s Y P T I D 2 y 3 o C M x + o 2 B a 8 Q U A A A A c Y 1 P r v z l 0 3 8 L p 1 X J 4 O O H S f L b z Z M = < / 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2020-123998358-372</_dlc_DocId>
    <_dlc_DocIdUrl xmlns="6edf9311-6556-4af2-85ff-d57844cfe120">
      <Url>https://finansnorge.sharepoint.com/sites/intranett/arkiv/_layouts/15/DocIdRedir.aspx?ID=2020-123998358-372</Url>
      <Description>2020-123998358-372</Description>
    </_dlc_DocIdUrl>
  </documentManagement>
</p:properties>
</file>

<file path=customXml/itemProps1.xml><?xml version="1.0" encoding="utf-8"?>
<ds:datastoreItem xmlns:ds="http://schemas.openxmlformats.org/officeDocument/2006/customXml" ds:itemID="{1A1B0CA2-DBB9-4721-B077-92B36B8CE638}">
  <ds:schemaRefs>
    <ds:schemaRef ds:uri="http://schemas.microsoft.com/DataMashup"/>
  </ds:schemaRefs>
</ds:datastoreItem>
</file>

<file path=customXml/itemProps2.xml><?xml version="1.0" encoding="utf-8"?>
<ds:datastoreItem xmlns:ds="http://schemas.openxmlformats.org/officeDocument/2006/customXml" ds:itemID="{1DB892E7-47E2-4EBF-B295-F7268478F0F4}"/>
</file>

<file path=customXml/itemProps3.xml><?xml version="1.0" encoding="utf-8"?>
<ds:datastoreItem xmlns:ds="http://schemas.openxmlformats.org/officeDocument/2006/customXml" ds:itemID="{ACB22D17-90B9-4EB0-95A0-F156A63D7BF7}"/>
</file>

<file path=customXml/itemProps4.xml><?xml version="1.0" encoding="utf-8"?>
<ds:datastoreItem xmlns:ds="http://schemas.openxmlformats.org/officeDocument/2006/customXml" ds:itemID="{F6FC5B0E-C866-43D3-985F-495777D7716B}"/>
</file>

<file path=customXml/itemProps5.xml><?xml version="1.0" encoding="utf-8"?>
<ds:datastoreItem xmlns:ds="http://schemas.openxmlformats.org/officeDocument/2006/customXml" ds:itemID="{8121E1F6-AD6A-4B14-B179-7A704951FC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Navngitte områder</vt:lpstr>
      </vt:variant>
      <vt:variant>
        <vt:i4>4</vt:i4>
      </vt:variant>
    </vt:vector>
  </HeadingPairs>
  <TitlesOfParts>
    <vt:vector size="38" baseType="lpstr">
      <vt:lpstr>Forside</vt:lpstr>
      <vt:lpstr>Innhold</vt:lpstr>
      <vt:lpstr>Figurer</vt:lpstr>
      <vt:lpstr>Tabel 1.1</vt:lpstr>
      <vt:lpstr>Tabell 1.2</vt:lpstr>
      <vt:lpstr>Tabell 1.3</vt:lpstr>
      <vt:lpstr>Skjema total MA</vt:lpstr>
      <vt:lpstr>ACE European Group</vt:lpstr>
      <vt:lpstr>Danica Pensjonsforsikring</vt:lpstr>
      <vt:lpstr>DNB Livsforsikring</vt:lpstr>
      <vt:lpstr>Eika Forsikring AS</vt:lpstr>
      <vt:lpstr>Frende Livsforsikring</vt:lpstr>
      <vt:lpstr>Frende Skadeforsikring</vt:lpstr>
      <vt:lpstr>Gjensidige Forsikring</vt:lpstr>
      <vt:lpstr>Gjensidige Pensjon</vt:lpstr>
      <vt:lpstr>Handelsbanken Liv</vt:lpstr>
      <vt:lpstr>If Skadeforsikring NUF</vt:lpstr>
      <vt:lpstr>KLP</vt:lpstr>
      <vt:lpstr>KLP Bedriftspensjon AS</vt:lpstr>
      <vt:lpstr>KLP Skadeforsikring AS</vt:lpstr>
      <vt:lpstr>Landbruksforsikring AS</vt:lpstr>
      <vt:lpstr>NEMI Forsikring</vt:lpstr>
      <vt:lpstr>Nordea Liv </vt:lpstr>
      <vt:lpstr>Oslo Pensjonsforsikring</vt:lpstr>
      <vt:lpstr>Protector Forsikring</vt:lpstr>
      <vt:lpstr>SHB Liv</vt:lpstr>
      <vt:lpstr>Sparebank 1</vt:lpstr>
      <vt:lpstr>Storebrand Livsforsikring</vt:lpstr>
      <vt:lpstr>Telenor Forsikring</vt:lpstr>
      <vt:lpstr>Tryg Forsikring</vt:lpstr>
      <vt:lpstr>Tabell 4</vt:lpstr>
      <vt:lpstr>Tabell 6</vt:lpstr>
      <vt:lpstr>Tabell 8 </vt:lpstr>
      <vt:lpstr>Noter og kommentarer</vt:lpstr>
      <vt:lpstr>'ACE European Group'!Utskriftsområde</vt:lpstr>
      <vt:lpstr>'NEMI Forsikring'!Utskriftsområde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2018-11-19T10:37:37Z</cp:lastPrinted>
  <dcterms:created xsi:type="dcterms:W3CDTF">2010-12-15T10:21:26Z</dcterms:created>
  <dcterms:modified xsi:type="dcterms:W3CDTF">2019-01-07T12:46:40Z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abc962c9-a734-4f65-b9f8-476281090f1a</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